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https://mieplplant-my.sharepoint.com/personal/durgesh_mishra_marutisteel_in/Documents/Desktop/MIPPL/Production Sheet/"/>
    </mc:Choice>
  </mc:AlternateContent>
  <xr:revisionPtr revIDLastSave="3761" documentId="11_131F1004537C4D5D762ADCE979A0A21962D674AB" xr6:coauthVersionLast="47" xr6:coauthVersionMax="47" xr10:uidLastSave="{DBB6E78B-4D3A-4ED5-990F-451131A21B1B}"/>
  <bookViews>
    <workbookView xWindow="-120" yWindow="-120" windowWidth="20730" windowHeight="11040" tabRatio="873" xr2:uid="{00000000-000D-0000-FFFF-FFFF00000000}"/>
  </bookViews>
  <sheets>
    <sheet name="Daily Stock" sheetId="1" r:id="rId1"/>
    <sheet name="Prod." sheetId="3" r:id="rId2"/>
    <sheet name="Strip Mill" sheetId="4" r:id="rId3"/>
    <sheet name="Monthly Prod" sheetId="5" r:id="rId4"/>
    <sheet name="Billet Stock Format" sheetId="6" r:id="rId5"/>
    <sheet name="Cumulative Stock" sheetId="7" r:id="rId6"/>
    <sheet name="Daily Prod Format" sheetId="8" r:id="rId7"/>
    <sheet name="Former Calculation" sheetId="10" state="hidden" r:id="rId8"/>
    <sheet name="RM Report" sheetId="11" r:id="rId9"/>
    <sheet name="FC Report" sheetId="12" r:id="rId10"/>
    <sheet name="Durgesh" sheetId="13" r:id="rId11"/>
    <sheet name="M2M" sheetId="14" r:id="rId12"/>
    <sheet name="SCRAP" sheetId="15" r:id="rId13"/>
    <sheet name="BIS Doc" sheetId="16" r:id="rId14"/>
    <sheet name="T.C." sheetId="17" r:id="rId15"/>
    <sheet name="CALCULATION" sheetId="18" r:id="rId16"/>
  </sheets>
  <definedNames>
    <definedName name="DISPATCH">Prod.!$O$16</definedName>
    <definedName name="_xlnm.Print_Area" localSheetId="14">'T.C.'!$A$1:$U$34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7" l="1"/>
  <c r="V1216" i="8"/>
  <c r="U1216" i="8"/>
  <c r="V1215" i="8"/>
  <c r="U1215" i="8"/>
  <c r="V1214" i="8"/>
  <c r="U1214" i="8"/>
  <c r="V1213" i="8"/>
  <c r="U1213" i="8"/>
  <c r="W1212" i="8"/>
  <c r="V1212" i="8"/>
  <c r="U1212" i="8"/>
  <c r="W1211" i="8"/>
  <c r="V1211" i="8"/>
  <c r="U1211" i="8"/>
  <c r="W1210" i="8"/>
  <c r="V1210" i="8"/>
  <c r="U1210" i="8"/>
  <c r="W1209" i="8"/>
  <c r="V1209" i="8"/>
  <c r="U1209" i="8"/>
  <c r="W1208" i="8"/>
  <c r="V1208" i="8"/>
  <c r="U1208" i="8"/>
  <c r="V1207" i="8"/>
  <c r="V1217" i="8"/>
  <c r="U1207" i="8"/>
  <c r="U1205" i="8"/>
  <c r="V1176" i="8"/>
  <c r="U1176" i="8"/>
  <c r="V1175" i="8"/>
  <c r="U1175" i="8"/>
  <c r="V1174" i="8"/>
  <c r="U1174" i="8"/>
  <c r="V1173" i="8"/>
  <c r="U1173" i="8"/>
  <c r="W1172" i="8"/>
  <c r="V1172" i="8"/>
  <c r="U1172" i="8"/>
  <c r="W1171" i="8"/>
  <c r="V1171" i="8"/>
  <c r="U1171" i="8"/>
  <c r="W1170" i="8"/>
  <c r="V1170" i="8"/>
  <c r="U1170" i="8"/>
  <c r="W1169" i="8"/>
  <c r="V1169" i="8"/>
  <c r="U1169" i="8"/>
  <c r="W1168" i="8"/>
  <c r="V1168" i="8"/>
  <c r="U1168" i="8"/>
  <c r="V1167" i="8"/>
  <c r="V1177" i="8"/>
  <c r="U1167" i="8"/>
  <c r="U1165" i="8"/>
  <c r="V1136" i="8"/>
  <c r="U1136" i="8"/>
  <c r="V1135" i="8"/>
  <c r="U1135" i="8"/>
  <c r="V1134" i="8"/>
  <c r="U1134" i="8"/>
  <c r="V1133" i="8"/>
  <c r="U1133" i="8"/>
  <c r="W1132" i="8"/>
  <c r="V1132" i="8"/>
  <c r="U1132" i="8"/>
  <c r="W1131" i="8"/>
  <c r="V1131" i="8"/>
  <c r="U1131" i="8"/>
  <c r="W1130" i="8"/>
  <c r="V1130" i="8"/>
  <c r="U1130" i="8"/>
  <c r="W1129" i="8"/>
  <c r="V1129" i="8"/>
  <c r="U1129" i="8"/>
  <c r="W1128" i="8"/>
  <c r="V1128" i="8"/>
  <c r="U1128" i="8"/>
  <c r="V1127" i="8"/>
  <c r="V1137" i="8"/>
  <c r="U1127" i="8"/>
  <c r="U1125" i="8"/>
  <c r="V1096" i="8"/>
  <c r="U1096" i="8"/>
  <c r="V1095" i="8"/>
  <c r="U1095" i="8"/>
  <c r="V1094" i="8"/>
  <c r="U1094" i="8"/>
  <c r="V1093" i="8"/>
  <c r="U1093" i="8"/>
  <c r="W1092" i="8"/>
  <c r="V1092" i="8"/>
  <c r="U1092" i="8"/>
  <c r="W1091" i="8"/>
  <c r="V1091" i="8"/>
  <c r="U1091" i="8"/>
  <c r="W1090" i="8"/>
  <c r="V1090" i="8"/>
  <c r="U1090" i="8"/>
  <c r="W1089" i="8"/>
  <c r="V1089" i="8"/>
  <c r="U1089" i="8"/>
  <c r="W1088" i="8"/>
  <c r="V1088" i="8"/>
  <c r="U1088" i="8"/>
  <c r="V1087" i="8"/>
  <c r="V1097" i="8"/>
  <c r="U1087" i="8"/>
  <c r="U1085" i="8"/>
  <c r="V1056" i="8"/>
  <c r="U1056" i="8"/>
  <c r="V1055" i="8"/>
  <c r="U1055" i="8"/>
  <c r="V1054" i="8"/>
  <c r="U1054" i="8"/>
  <c r="V1053" i="8"/>
  <c r="U1053" i="8"/>
  <c r="W1052" i="8"/>
  <c r="V1052" i="8"/>
  <c r="U1052" i="8"/>
  <c r="W1051" i="8"/>
  <c r="V1051" i="8"/>
  <c r="U1051" i="8"/>
  <c r="W1050" i="8"/>
  <c r="V1050" i="8"/>
  <c r="U1050" i="8"/>
  <c r="W1049" i="8"/>
  <c r="V1049" i="8"/>
  <c r="U1049" i="8"/>
  <c r="W1048" i="8"/>
  <c r="V1048" i="8"/>
  <c r="U1048" i="8"/>
  <c r="V1047" i="8"/>
  <c r="V1057" i="8"/>
  <c r="U1047" i="8"/>
  <c r="U1045" i="8"/>
  <c r="V1016" i="8"/>
  <c r="U1016" i="8"/>
  <c r="V1015" i="8"/>
  <c r="U1015" i="8"/>
  <c r="V1014" i="8"/>
  <c r="U1014" i="8"/>
  <c r="V1013" i="8"/>
  <c r="U1013" i="8"/>
  <c r="W1012" i="8"/>
  <c r="V1012" i="8"/>
  <c r="U1012" i="8"/>
  <c r="W1011" i="8"/>
  <c r="V1011" i="8"/>
  <c r="U1011" i="8"/>
  <c r="W1010" i="8"/>
  <c r="V1010" i="8"/>
  <c r="U1010" i="8"/>
  <c r="W1009" i="8"/>
  <c r="V1009" i="8"/>
  <c r="U1009" i="8"/>
  <c r="W1008" i="8"/>
  <c r="V1008" i="8"/>
  <c r="U1008" i="8"/>
  <c r="V1007" i="8"/>
  <c r="V1017" i="8"/>
  <c r="U1007" i="8"/>
  <c r="U1005" i="8"/>
  <c r="V976" i="8"/>
  <c r="U976" i="8"/>
  <c r="V975" i="8"/>
  <c r="U975" i="8"/>
  <c r="V974" i="8"/>
  <c r="U974" i="8"/>
  <c r="V973" i="8"/>
  <c r="U973" i="8"/>
  <c r="W972" i="8"/>
  <c r="V972" i="8"/>
  <c r="U972" i="8"/>
  <c r="W971" i="8"/>
  <c r="V971" i="8"/>
  <c r="U971" i="8"/>
  <c r="W970" i="8"/>
  <c r="V970" i="8"/>
  <c r="U970" i="8"/>
  <c r="W969" i="8"/>
  <c r="V969" i="8"/>
  <c r="U969" i="8"/>
  <c r="W968" i="8"/>
  <c r="V968" i="8"/>
  <c r="U968" i="8"/>
  <c r="V967" i="8"/>
  <c r="V977" i="8"/>
  <c r="U967" i="8"/>
  <c r="U965" i="8"/>
  <c r="V936" i="8"/>
  <c r="U936" i="8"/>
  <c r="V935" i="8"/>
  <c r="U935" i="8"/>
  <c r="V934" i="8"/>
  <c r="U934" i="8"/>
  <c r="V933" i="8"/>
  <c r="U933" i="8"/>
  <c r="W932" i="8"/>
  <c r="V932" i="8"/>
  <c r="U932" i="8"/>
  <c r="W931" i="8"/>
  <c r="V931" i="8"/>
  <c r="U931" i="8"/>
  <c r="W930" i="8"/>
  <c r="V930" i="8"/>
  <c r="U930" i="8"/>
  <c r="W929" i="8"/>
  <c r="V929" i="8"/>
  <c r="U929" i="8"/>
  <c r="W928" i="8"/>
  <c r="V928" i="8"/>
  <c r="U928" i="8"/>
  <c r="V927" i="8"/>
  <c r="V937" i="8"/>
  <c r="U927" i="8"/>
  <c r="U925" i="8"/>
  <c r="V896" i="8"/>
  <c r="U896" i="8"/>
  <c r="V895" i="8"/>
  <c r="U895" i="8"/>
  <c r="V894" i="8"/>
  <c r="U894" i="8"/>
  <c r="V893" i="8"/>
  <c r="U893" i="8"/>
  <c r="W892" i="8"/>
  <c r="V892" i="8"/>
  <c r="U892" i="8"/>
  <c r="W891" i="8"/>
  <c r="V891" i="8"/>
  <c r="U891" i="8"/>
  <c r="W890" i="8"/>
  <c r="V890" i="8"/>
  <c r="U890" i="8"/>
  <c r="W889" i="8"/>
  <c r="V889" i="8"/>
  <c r="U889" i="8"/>
  <c r="W888" i="8"/>
  <c r="V888" i="8"/>
  <c r="U888" i="8"/>
  <c r="V887" i="8"/>
  <c r="V897" i="8"/>
  <c r="U887" i="8"/>
  <c r="U885" i="8"/>
  <c r="V856" i="8"/>
  <c r="U856" i="8"/>
  <c r="V855" i="8"/>
  <c r="U855" i="8"/>
  <c r="V854" i="8"/>
  <c r="U854" i="8"/>
  <c r="V853" i="8"/>
  <c r="U853" i="8"/>
  <c r="W852" i="8"/>
  <c r="V852" i="8"/>
  <c r="U852" i="8"/>
  <c r="W851" i="8"/>
  <c r="V851" i="8"/>
  <c r="U851" i="8"/>
  <c r="W850" i="8"/>
  <c r="V850" i="8"/>
  <c r="U850" i="8"/>
  <c r="W849" i="8"/>
  <c r="V849" i="8"/>
  <c r="U849" i="8"/>
  <c r="W848" i="8"/>
  <c r="V848" i="8"/>
  <c r="U848" i="8"/>
  <c r="V847" i="8"/>
  <c r="V857" i="8"/>
  <c r="U847" i="8"/>
  <c r="U845" i="8"/>
  <c r="V816" i="8"/>
  <c r="U816" i="8"/>
  <c r="V815" i="8"/>
  <c r="U815" i="8"/>
  <c r="V814" i="8"/>
  <c r="U814" i="8"/>
  <c r="V813" i="8"/>
  <c r="U813" i="8"/>
  <c r="W812" i="8"/>
  <c r="V812" i="8"/>
  <c r="U812" i="8"/>
  <c r="W811" i="8"/>
  <c r="V811" i="8"/>
  <c r="U811" i="8"/>
  <c r="W810" i="8"/>
  <c r="V810" i="8"/>
  <c r="U810" i="8"/>
  <c r="W809" i="8"/>
  <c r="V809" i="8"/>
  <c r="U809" i="8"/>
  <c r="W808" i="8"/>
  <c r="V808" i="8"/>
  <c r="U808" i="8"/>
  <c r="V807" i="8"/>
  <c r="V817" i="8"/>
  <c r="U807" i="8"/>
  <c r="U805" i="8"/>
  <c r="V776" i="8"/>
  <c r="U776" i="8"/>
  <c r="V775" i="8"/>
  <c r="U775" i="8"/>
  <c r="V774" i="8"/>
  <c r="U774" i="8"/>
  <c r="V773" i="8"/>
  <c r="U773" i="8"/>
  <c r="W772" i="8"/>
  <c r="V772" i="8"/>
  <c r="U772" i="8"/>
  <c r="W771" i="8"/>
  <c r="V771" i="8"/>
  <c r="U771" i="8"/>
  <c r="W770" i="8"/>
  <c r="V770" i="8"/>
  <c r="U770" i="8"/>
  <c r="W769" i="8"/>
  <c r="V769" i="8"/>
  <c r="U769" i="8"/>
  <c r="W768" i="8"/>
  <c r="V768" i="8"/>
  <c r="U768" i="8"/>
  <c r="V767" i="8"/>
  <c r="V777" i="8"/>
  <c r="U767" i="8"/>
  <c r="U765" i="8"/>
  <c r="V736" i="8"/>
  <c r="U736" i="8"/>
  <c r="V735" i="8"/>
  <c r="U735" i="8"/>
  <c r="V734" i="8"/>
  <c r="U734" i="8"/>
  <c r="V733" i="8"/>
  <c r="U733" i="8"/>
  <c r="W732" i="8"/>
  <c r="V732" i="8"/>
  <c r="U732" i="8"/>
  <c r="W731" i="8"/>
  <c r="V731" i="8"/>
  <c r="U731" i="8"/>
  <c r="W730" i="8"/>
  <c r="V730" i="8"/>
  <c r="U730" i="8"/>
  <c r="W729" i="8"/>
  <c r="V729" i="8"/>
  <c r="U729" i="8"/>
  <c r="W728" i="8"/>
  <c r="V728" i="8"/>
  <c r="U728" i="8"/>
  <c r="V727" i="8"/>
  <c r="V737" i="8"/>
  <c r="U727" i="8"/>
  <c r="U725" i="8"/>
  <c r="V696" i="8"/>
  <c r="U696" i="8"/>
  <c r="V695" i="8"/>
  <c r="U695" i="8"/>
  <c r="V694" i="8"/>
  <c r="U694" i="8"/>
  <c r="V693" i="8"/>
  <c r="U693" i="8"/>
  <c r="W692" i="8"/>
  <c r="V692" i="8"/>
  <c r="U692" i="8"/>
  <c r="W691" i="8"/>
  <c r="V691" i="8"/>
  <c r="U691" i="8"/>
  <c r="W690" i="8"/>
  <c r="V690" i="8"/>
  <c r="U690" i="8"/>
  <c r="W689" i="8"/>
  <c r="V689" i="8"/>
  <c r="U689" i="8"/>
  <c r="W688" i="8"/>
  <c r="V688" i="8"/>
  <c r="U688" i="8"/>
  <c r="V687" i="8"/>
  <c r="V697" i="8"/>
  <c r="U687" i="8"/>
  <c r="U685" i="8"/>
  <c r="V656" i="8"/>
  <c r="U656" i="8"/>
  <c r="V655" i="8"/>
  <c r="U655" i="8"/>
  <c r="V654" i="8"/>
  <c r="U654" i="8"/>
  <c r="V653" i="8"/>
  <c r="U653" i="8"/>
  <c r="W652" i="8"/>
  <c r="V652" i="8"/>
  <c r="U652" i="8"/>
  <c r="W651" i="8"/>
  <c r="V651" i="8"/>
  <c r="U651" i="8"/>
  <c r="W650" i="8"/>
  <c r="V650" i="8"/>
  <c r="U650" i="8"/>
  <c r="W649" i="8"/>
  <c r="V649" i="8"/>
  <c r="U649" i="8"/>
  <c r="W648" i="8"/>
  <c r="V648" i="8"/>
  <c r="U648" i="8"/>
  <c r="V647" i="8"/>
  <c r="V657" i="8"/>
  <c r="U647" i="8"/>
  <c r="U645" i="8"/>
  <c r="V616" i="8"/>
  <c r="U616" i="8"/>
  <c r="V615" i="8"/>
  <c r="U615" i="8"/>
  <c r="V614" i="8"/>
  <c r="U614" i="8"/>
  <c r="V613" i="8"/>
  <c r="U613" i="8"/>
  <c r="W612" i="8"/>
  <c r="V612" i="8"/>
  <c r="U612" i="8"/>
  <c r="W611" i="8"/>
  <c r="V611" i="8"/>
  <c r="U611" i="8"/>
  <c r="W610" i="8"/>
  <c r="V610" i="8"/>
  <c r="U610" i="8"/>
  <c r="W609" i="8"/>
  <c r="V609" i="8"/>
  <c r="U609" i="8"/>
  <c r="W608" i="8"/>
  <c r="V608" i="8"/>
  <c r="U608" i="8"/>
  <c r="V607" i="8"/>
  <c r="V617" i="8"/>
  <c r="U607" i="8"/>
  <c r="U605" i="8"/>
  <c r="V576" i="8"/>
  <c r="U576" i="8"/>
  <c r="V575" i="8"/>
  <c r="U575" i="8"/>
  <c r="V574" i="8"/>
  <c r="U574" i="8"/>
  <c r="V573" i="8"/>
  <c r="U573" i="8"/>
  <c r="W572" i="8"/>
  <c r="V572" i="8"/>
  <c r="U572" i="8"/>
  <c r="W571" i="8"/>
  <c r="V571" i="8"/>
  <c r="U571" i="8"/>
  <c r="W570" i="8"/>
  <c r="V570" i="8"/>
  <c r="U570" i="8"/>
  <c r="W569" i="8"/>
  <c r="V569" i="8"/>
  <c r="U569" i="8"/>
  <c r="W568" i="8"/>
  <c r="V568" i="8"/>
  <c r="U568" i="8"/>
  <c r="V567" i="8"/>
  <c r="V577" i="8"/>
  <c r="U567" i="8"/>
  <c r="U565" i="8"/>
  <c r="V536" i="8"/>
  <c r="U536" i="8"/>
  <c r="V535" i="8"/>
  <c r="U535" i="8"/>
  <c r="V534" i="8"/>
  <c r="U534" i="8"/>
  <c r="V533" i="8"/>
  <c r="U533" i="8"/>
  <c r="W532" i="8"/>
  <c r="V532" i="8"/>
  <c r="U532" i="8"/>
  <c r="W531" i="8"/>
  <c r="V531" i="8"/>
  <c r="U531" i="8"/>
  <c r="W530" i="8"/>
  <c r="V530" i="8"/>
  <c r="U530" i="8"/>
  <c r="W529" i="8"/>
  <c r="V529" i="8"/>
  <c r="U529" i="8"/>
  <c r="W528" i="8"/>
  <c r="V528" i="8"/>
  <c r="U528" i="8"/>
  <c r="V527" i="8"/>
  <c r="V537" i="8"/>
  <c r="U527" i="8"/>
  <c r="U525" i="8"/>
  <c r="V496" i="8"/>
  <c r="U496" i="8"/>
  <c r="V495" i="8"/>
  <c r="U495" i="8"/>
  <c r="V494" i="8"/>
  <c r="U494" i="8"/>
  <c r="V493" i="8"/>
  <c r="U493" i="8"/>
  <c r="W492" i="8"/>
  <c r="V492" i="8"/>
  <c r="U492" i="8"/>
  <c r="W491" i="8"/>
  <c r="V491" i="8"/>
  <c r="U491" i="8"/>
  <c r="W490" i="8"/>
  <c r="V490" i="8"/>
  <c r="U490" i="8"/>
  <c r="W489" i="8"/>
  <c r="V489" i="8"/>
  <c r="U489" i="8"/>
  <c r="W488" i="8"/>
  <c r="V488" i="8"/>
  <c r="U488" i="8"/>
  <c r="V487" i="8"/>
  <c r="V497" i="8"/>
  <c r="U487" i="8"/>
  <c r="U485" i="8"/>
  <c r="V456" i="8"/>
  <c r="U456" i="8"/>
  <c r="V455" i="8"/>
  <c r="U455" i="8"/>
  <c r="V454" i="8"/>
  <c r="U454" i="8"/>
  <c r="V453" i="8"/>
  <c r="U453" i="8"/>
  <c r="W452" i="8"/>
  <c r="V452" i="8"/>
  <c r="U452" i="8"/>
  <c r="W451" i="8"/>
  <c r="V451" i="8"/>
  <c r="U451" i="8"/>
  <c r="W450" i="8"/>
  <c r="V450" i="8"/>
  <c r="U450" i="8"/>
  <c r="W449" i="8"/>
  <c r="V449" i="8"/>
  <c r="U449" i="8"/>
  <c r="W448" i="8"/>
  <c r="V448" i="8"/>
  <c r="U448" i="8"/>
  <c r="V447" i="8"/>
  <c r="V457" i="8"/>
  <c r="U447" i="8"/>
  <c r="U445" i="8"/>
  <c r="V416" i="8"/>
  <c r="U416" i="8"/>
  <c r="V415" i="8"/>
  <c r="U415" i="8"/>
  <c r="V414" i="8"/>
  <c r="U414" i="8"/>
  <c r="V413" i="8"/>
  <c r="U413" i="8"/>
  <c r="W412" i="8"/>
  <c r="V412" i="8"/>
  <c r="U412" i="8"/>
  <c r="W411" i="8"/>
  <c r="V411" i="8"/>
  <c r="U411" i="8"/>
  <c r="W410" i="8"/>
  <c r="V410" i="8"/>
  <c r="U410" i="8"/>
  <c r="W409" i="8"/>
  <c r="V409" i="8"/>
  <c r="U409" i="8"/>
  <c r="W408" i="8"/>
  <c r="V408" i="8"/>
  <c r="U408" i="8"/>
  <c r="V407" i="8"/>
  <c r="V417" i="8"/>
  <c r="U407" i="8"/>
  <c r="U405" i="8"/>
  <c r="V376" i="8"/>
  <c r="U376" i="8"/>
  <c r="V375" i="8"/>
  <c r="U375" i="8"/>
  <c r="V374" i="8"/>
  <c r="U374" i="8"/>
  <c r="V373" i="8"/>
  <c r="U373" i="8"/>
  <c r="W372" i="8"/>
  <c r="V372" i="8"/>
  <c r="U372" i="8"/>
  <c r="W371" i="8"/>
  <c r="V371" i="8"/>
  <c r="U371" i="8"/>
  <c r="W370" i="8"/>
  <c r="V370" i="8"/>
  <c r="U370" i="8"/>
  <c r="W369" i="8"/>
  <c r="V369" i="8"/>
  <c r="U369" i="8"/>
  <c r="W368" i="8"/>
  <c r="V368" i="8"/>
  <c r="U368" i="8"/>
  <c r="V367" i="8"/>
  <c r="V377" i="8"/>
  <c r="U367" i="8"/>
  <c r="U365" i="8"/>
  <c r="V336" i="8"/>
  <c r="U336" i="8"/>
  <c r="V335" i="8"/>
  <c r="U335" i="8"/>
  <c r="V334" i="8"/>
  <c r="U334" i="8"/>
  <c r="V333" i="8"/>
  <c r="U333" i="8"/>
  <c r="W332" i="8"/>
  <c r="V332" i="8"/>
  <c r="U332" i="8"/>
  <c r="W331" i="8"/>
  <c r="V331" i="8"/>
  <c r="U331" i="8"/>
  <c r="W330" i="8"/>
  <c r="V330" i="8"/>
  <c r="U330" i="8"/>
  <c r="W329" i="8"/>
  <c r="V329" i="8"/>
  <c r="U329" i="8"/>
  <c r="W328" i="8"/>
  <c r="V328" i="8"/>
  <c r="U328" i="8"/>
  <c r="V327" i="8"/>
  <c r="V337" i="8"/>
  <c r="U327" i="8"/>
  <c r="U325" i="8"/>
  <c r="V296" i="8"/>
  <c r="U296" i="8"/>
  <c r="V295" i="8"/>
  <c r="U295" i="8"/>
  <c r="V294" i="8"/>
  <c r="U294" i="8"/>
  <c r="V293" i="8"/>
  <c r="U293" i="8"/>
  <c r="W292" i="8"/>
  <c r="V292" i="8"/>
  <c r="U292" i="8"/>
  <c r="W291" i="8"/>
  <c r="V291" i="8"/>
  <c r="U291" i="8"/>
  <c r="W290" i="8"/>
  <c r="V290" i="8"/>
  <c r="U290" i="8"/>
  <c r="W289" i="8"/>
  <c r="V289" i="8"/>
  <c r="U289" i="8"/>
  <c r="W288" i="8"/>
  <c r="V288" i="8"/>
  <c r="U288" i="8"/>
  <c r="V287" i="8"/>
  <c r="V297" i="8"/>
  <c r="U287" i="8"/>
  <c r="U285" i="8"/>
  <c r="V256" i="8"/>
  <c r="U256" i="8"/>
  <c r="V255" i="8"/>
  <c r="U255" i="8"/>
  <c r="V254" i="8"/>
  <c r="U254" i="8"/>
  <c r="V253" i="8"/>
  <c r="U253" i="8"/>
  <c r="W252" i="8"/>
  <c r="V252" i="8"/>
  <c r="U252" i="8"/>
  <c r="W251" i="8"/>
  <c r="V251" i="8"/>
  <c r="U251" i="8"/>
  <c r="W250" i="8"/>
  <c r="V250" i="8"/>
  <c r="U250" i="8"/>
  <c r="W249" i="8"/>
  <c r="V249" i="8"/>
  <c r="U249" i="8"/>
  <c r="W248" i="8"/>
  <c r="V248" i="8"/>
  <c r="U248" i="8"/>
  <c r="V247" i="8"/>
  <c r="V257" i="8"/>
  <c r="U247" i="8"/>
  <c r="U245" i="8"/>
  <c r="V216" i="8"/>
  <c r="U216" i="8"/>
  <c r="V215" i="8"/>
  <c r="U215" i="8"/>
  <c r="V214" i="8"/>
  <c r="U214" i="8"/>
  <c r="V213" i="8"/>
  <c r="U213" i="8"/>
  <c r="W212" i="8"/>
  <c r="V212" i="8"/>
  <c r="U212" i="8"/>
  <c r="W211" i="8"/>
  <c r="V211" i="8"/>
  <c r="U211" i="8"/>
  <c r="W210" i="8"/>
  <c r="V210" i="8"/>
  <c r="U210" i="8"/>
  <c r="W209" i="8"/>
  <c r="V209" i="8"/>
  <c r="U209" i="8"/>
  <c r="W208" i="8"/>
  <c r="V208" i="8"/>
  <c r="U208" i="8"/>
  <c r="V207" i="8"/>
  <c r="V217" i="8"/>
  <c r="U207" i="8"/>
  <c r="U205" i="8"/>
  <c r="V176" i="8"/>
  <c r="V173" i="8" s="1"/>
  <c r="V177" i="8" s="1"/>
  <c r="U176" i="8"/>
  <c r="V175" i="8"/>
  <c r="U175" i="8"/>
  <c r="V174" i="8"/>
  <c r="U174" i="8"/>
  <c r="U173" i="8"/>
  <c r="W172" i="8"/>
  <c r="V172" i="8"/>
  <c r="U172" i="8"/>
  <c r="W171" i="8"/>
  <c r="V171" i="8"/>
  <c r="U171" i="8"/>
  <c r="W170" i="8"/>
  <c r="V170" i="8"/>
  <c r="U170" i="8"/>
  <c r="W169" i="8"/>
  <c r="V169" i="8"/>
  <c r="U169" i="8"/>
  <c r="W168" i="8"/>
  <c r="V168" i="8"/>
  <c r="U168" i="8"/>
  <c r="V167" i="8"/>
  <c r="U167" i="8"/>
  <c r="U165" i="8"/>
  <c r="V136" i="8"/>
  <c r="V133" i="8"/>
  <c r="U136" i="8"/>
  <c r="V135" i="8"/>
  <c r="U135" i="8"/>
  <c r="V134" i="8"/>
  <c r="U134" i="8"/>
  <c r="U133" i="8"/>
  <c r="W132" i="8"/>
  <c r="V132" i="8"/>
  <c r="U132" i="8"/>
  <c r="W131" i="8"/>
  <c r="V131" i="8"/>
  <c r="U131" i="8"/>
  <c r="W130" i="8"/>
  <c r="V130" i="8"/>
  <c r="U130" i="8"/>
  <c r="W129" i="8"/>
  <c r="V129" i="8"/>
  <c r="U129" i="8"/>
  <c r="W128" i="8"/>
  <c r="V128" i="8"/>
  <c r="U128" i="8"/>
  <c r="V127" i="8"/>
  <c r="U127" i="8"/>
  <c r="U125" i="8"/>
  <c r="V96" i="8"/>
  <c r="U96" i="8"/>
  <c r="V95" i="8"/>
  <c r="U95" i="8"/>
  <c r="V94" i="8"/>
  <c r="U94" i="8"/>
  <c r="V93" i="8"/>
  <c r="U93" i="8"/>
  <c r="W92" i="8"/>
  <c r="V92" i="8"/>
  <c r="U92" i="8"/>
  <c r="W91" i="8"/>
  <c r="V91" i="8"/>
  <c r="U91" i="8"/>
  <c r="W90" i="8"/>
  <c r="V90" i="8"/>
  <c r="U90" i="8"/>
  <c r="W89" i="8"/>
  <c r="V89" i="8"/>
  <c r="U89" i="8"/>
  <c r="W88" i="8"/>
  <c r="V88" i="8"/>
  <c r="U88" i="8"/>
  <c r="V87" i="8"/>
  <c r="V97" i="8" s="1"/>
  <c r="U87" i="8"/>
  <c r="U85" i="8"/>
  <c r="W2" i="8"/>
  <c r="O94" i="8"/>
  <c r="N94" i="8"/>
  <c r="M94" i="8"/>
  <c r="V137" i="8"/>
  <c r="V56" i="8"/>
  <c r="V53" i="8"/>
  <c r="U56" i="8"/>
  <c r="V55" i="8"/>
  <c r="U55" i="8"/>
  <c r="V54" i="8"/>
  <c r="U54" i="8"/>
  <c r="U53" i="8"/>
  <c r="W52" i="8"/>
  <c r="V52" i="8"/>
  <c r="U52" i="8"/>
  <c r="W51" i="8"/>
  <c r="V51" i="8"/>
  <c r="U51" i="8"/>
  <c r="W50" i="8"/>
  <c r="V50" i="8"/>
  <c r="U50" i="8"/>
  <c r="W49" i="8"/>
  <c r="V49" i="8"/>
  <c r="U49" i="8"/>
  <c r="W48" i="8"/>
  <c r="V48" i="8"/>
  <c r="U48" i="8"/>
  <c r="V47" i="8"/>
  <c r="U47" i="8"/>
  <c r="U45" i="8"/>
  <c r="G27" i="8"/>
  <c r="G26" i="8"/>
  <c r="I5" i="7"/>
  <c r="Y29" i="6"/>
  <c r="Y28" i="6"/>
  <c r="AA25" i="6"/>
  <c r="AA24" i="6"/>
  <c r="AA23" i="6"/>
  <c r="Z21" i="6"/>
  <c r="AA16" i="6"/>
  <c r="Z16" i="6"/>
  <c r="Y15" i="6"/>
  <c r="Y18" i="6"/>
  <c r="V57" i="8"/>
  <c r="Q15" i="1"/>
  <c r="H23" i="6"/>
  <c r="G23" i="6"/>
  <c r="F23" i="6"/>
  <c r="E23" i="6"/>
  <c r="G22" i="6"/>
  <c r="F22" i="6"/>
  <c r="E22" i="6"/>
  <c r="G21" i="6"/>
  <c r="E21" i="6"/>
  <c r="F21" i="6"/>
  <c r="F20" i="6"/>
  <c r="F19" i="6"/>
  <c r="F18" i="6"/>
  <c r="E17" i="6"/>
  <c r="G17" i="6"/>
  <c r="G16" i="6"/>
  <c r="F16" i="6"/>
  <c r="E16" i="6"/>
  <c r="F15" i="6"/>
  <c r="E15" i="6"/>
  <c r="G15" i="6"/>
  <c r="F14" i="6"/>
  <c r="F13" i="6"/>
  <c r="F12" i="6"/>
  <c r="F11" i="6"/>
  <c r="H10" i="6"/>
  <c r="E10" i="6"/>
  <c r="G10" i="6"/>
  <c r="F9" i="6"/>
  <c r="E9" i="6"/>
  <c r="G9" i="6"/>
  <c r="F8" i="6"/>
  <c r="G7" i="6"/>
  <c r="F6" i="6"/>
  <c r="G6" i="6"/>
  <c r="A2" i="6"/>
  <c r="N18" i="4"/>
  <c r="N17" i="4"/>
  <c r="L18" i="4"/>
  <c r="K18" i="4"/>
  <c r="J18" i="4"/>
  <c r="I18" i="4"/>
  <c r="L17" i="4"/>
  <c r="K17" i="4"/>
  <c r="J17" i="4"/>
  <c r="I17" i="4"/>
  <c r="R15" i="4"/>
  <c r="Q15" i="4"/>
  <c r="Q18" i="4" s="1"/>
  <c r="P15" i="4"/>
  <c r="O15" i="4"/>
  <c r="O18" i="4" s="1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R14" i="4"/>
  <c r="Q14" i="4"/>
  <c r="P14" i="4"/>
  <c r="S14" i="4" s="1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R13" i="4"/>
  <c r="Q13" i="4"/>
  <c r="P13" i="4"/>
  <c r="O13" i="4"/>
  <c r="S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R12" i="4"/>
  <c r="Q12" i="4"/>
  <c r="P12" i="4"/>
  <c r="S12" i="4" s="1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R11" i="4"/>
  <c r="Q11" i="4"/>
  <c r="P11" i="4"/>
  <c r="O11" i="4"/>
  <c r="S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R10" i="4"/>
  <c r="Q10" i="4"/>
  <c r="P10" i="4"/>
  <c r="S10" i="4" s="1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R9" i="4"/>
  <c r="Q9" i="4"/>
  <c r="P9" i="4"/>
  <c r="O9" i="4"/>
  <c r="S9" i="4"/>
  <c r="N9" i="4"/>
  <c r="M9" i="4"/>
  <c r="L9" i="4"/>
  <c r="K9" i="4"/>
  <c r="J9" i="4"/>
  <c r="I9" i="4"/>
  <c r="H9" i="4"/>
  <c r="G9" i="4"/>
  <c r="F9" i="4"/>
  <c r="E9" i="4"/>
  <c r="D9" i="4"/>
  <c r="C9" i="4"/>
  <c r="B9" i="4"/>
  <c r="R8" i="4"/>
  <c r="Q8" i="4"/>
  <c r="P8" i="4"/>
  <c r="S8" i="4" s="1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R7" i="4"/>
  <c r="Q7" i="4"/>
  <c r="P7" i="4"/>
  <c r="O7" i="4"/>
  <c r="S7" i="4"/>
  <c r="N7" i="4"/>
  <c r="M7" i="4"/>
  <c r="L7" i="4"/>
  <c r="K7" i="4"/>
  <c r="J7" i="4"/>
  <c r="I7" i="4"/>
  <c r="H7" i="4"/>
  <c r="G7" i="4"/>
  <c r="F7" i="4"/>
  <c r="E7" i="4"/>
  <c r="D7" i="4"/>
  <c r="C7" i="4"/>
  <c r="B7" i="4"/>
  <c r="R6" i="4"/>
  <c r="Q6" i="4"/>
  <c r="P6" i="4"/>
  <c r="S6" i="4" s="1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R4" i="4"/>
  <c r="Q4" i="4"/>
  <c r="P4" i="4"/>
  <c r="O4" i="4"/>
  <c r="N4" i="4"/>
  <c r="N16" i="4"/>
  <c r="M4" i="4"/>
  <c r="L4" i="4"/>
  <c r="K4" i="4"/>
  <c r="J4" i="4"/>
  <c r="I4" i="4"/>
  <c r="H4" i="4"/>
  <c r="G4" i="4"/>
  <c r="F4" i="4"/>
  <c r="E4" i="4"/>
  <c r="D4" i="4"/>
  <c r="C4" i="4"/>
  <c r="B4" i="4"/>
  <c r="A4" i="4"/>
  <c r="AR558" i="3"/>
  <c r="AS556" i="3"/>
  <c r="AR554" i="3"/>
  <c r="AR556" i="3"/>
  <c r="AR555" i="3"/>
  <c r="AR553" i="3"/>
  <c r="AS548" i="3"/>
  <c r="AR547" i="3"/>
  <c r="AR548" i="3"/>
  <c r="AR540" i="3"/>
  <c r="AS538" i="3"/>
  <c r="AR538" i="3"/>
  <c r="AR537" i="3"/>
  <c r="AR536" i="3"/>
  <c r="AR535" i="3"/>
  <c r="AS530" i="3"/>
  <c r="AR529" i="3"/>
  <c r="AR530" i="3"/>
  <c r="AR527" i="3"/>
  <c r="AR522" i="3"/>
  <c r="AS520" i="3"/>
  <c r="AR520" i="3"/>
  <c r="AR519" i="3"/>
  <c r="AR518" i="3"/>
  <c r="AR517" i="3"/>
  <c r="AS512" i="3"/>
  <c r="AR511" i="3"/>
  <c r="AR512" i="3"/>
  <c r="AR504" i="3"/>
  <c r="AS502" i="3"/>
  <c r="AR500" i="3"/>
  <c r="AR502" i="3"/>
  <c r="AR501" i="3"/>
  <c r="AR499" i="3"/>
  <c r="AS494" i="3"/>
  <c r="AR493" i="3"/>
  <c r="AR494" i="3"/>
  <c r="AR491" i="3"/>
  <c r="AR486" i="3"/>
  <c r="AS484" i="3"/>
  <c r="AR482" i="3"/>
  <c r="AR484" i="3"/>
  <c r="AR483" i="3"/>
  <c r="AR481" i="3"/>
  <c r="AS476" i="3"/>
  <c r="AR475" i="3"/>
  <c r="AR476" i="3"/>
  <c r="AR468" i="3"/>
  <c r="AS466" i="3"/>
  <c r="AR464" i="3"/>
  <c r="AR465" i="3"/>
  <c r="AR463" i="3"/>
  <c r="AS458" i="3"/>
  <c r="AR457" i="3"/>
  <c r="AR458" i="3"/>
  <c r="AR456" i="3"/>
  <c r="AR455" i="3"/>
  <c r="AR450" i="3"/>
  <c r="AS448" i="3"/>
  <c r="AR446" i="3"/>
  <c r="AR447" i="3"/>
  <c r="AR445" i="3"/>
  <c r="AS440" i="3"/>
  <c r="AR439" i="3"/>
  <c r="AR440" i="3"/>
  <c r="AR437" i="3"/>
  <c r="AR432" i="3"/>
  <c r="AS430" i="3"/>
  <c r="AR428" i="3"/>
  <c r="AR430" i="3"/>
  <c r="AR429" i="3"/>
  <c r="AR427" i="3"/>
  <c r="AS422" i="3"/>
  <c r="AR421" i="3"/>
  <c r="AR422" i="3"/>
  <c r="AR419" i="3"/>
  <c r="AR414" i="3"/>
  <c r="AS412" i="3"/>
  <c r="AR410" i="3"/>
  <c r="AR411" i="3"/>
  <c r="AR409" i="3"/>
  <c r="AS404" i="3"/>
  <c r="AR403" i="3"/>
  <c r="AR404" i="3"/>
  <c r="AR401" i="3"/>
  <c r="AR396" i="3"/>
  <c r="AS394" i="3"/>
  <c r="AR392" i="3"/>
  <c r="AR393" i="3"/>
  <c r="AR391" i="3"/>
  <c r="AS386" i="3"/>
  <c r="AR385" i="3"/>
  <c r="AR386" i="3"/>
  <c r="AR384" i="3"/>
  <c r="AR383" i="3"/>
  <c r="AR378" i="3"/>
  <c r="AS376" i="3"/>
  <c r="AR374" i="3"/>
  <c r="AR375" i="3"/>
  <c r="AR373" i="3"/>
  <c r="AS368" i="3"/>
  <c r="AR367" i="3"/>
  <c r="AR368" i="3"/>
  <c r="AR366" i="3"/>
  <c r="AR365" i="3"/>
  <c r="AR360" i="3"/>
  <c r="AS358" i="3"/>
  <c r="AR356" i="3"/>
  <c r="AR357" i="3"/>
  <c r="AR355" i="3"/>
  <c r="AS350" i="3"/>
  <c r="AR349" i="3"/>
  <c r="AR350" i="3"/>
  <c r="AR347" i="3"/>
  <c r="AR342" i="3"/>
  <c r="AS340" i="3"/>
  <c r="AR340" i="3"/>
  <c r="AR339" i="3"/>
  <c r="AR338" i="3"/>
  <c r="AR337" i="3"/>
  <c r="AS332" i="3"/>
  <c r="AR331" i="3"/>
  <c r="AR332" i="3"/>
  <c r="AR324" i="3"/>
  <c r="AS322" i="3"/>
  <c r="AR322" i="3"/>
  <c r="AR321" i="3"/>
  <c r="AR320" i="3"/>
  <c r="AR319" i="3"/>
  <c r="AS314" i="3"/>
  <c r="AR312" i="3"/>
  <c r="AR314" i="3"/>
  <c r="AR313" i="3"/>
  <c r="AR311" i="3"/>
  <c r="AR306" i="3"/>
  <c r="AS304" i="3"/>
  <c r="AR302" i="3"/>
  <c r="AR303" i="3"/>
  <c r="AR301" i="3"/>
  <c r="AS296" i="3"/>
  <c r="AR295" i="3"/>
  <c r="AR296" i="3"/>
  <c r="AR293" i="3"/>
  <c r="AR288" i="3"/>
  <c r="AS286" i="3"/>
  <c r="AR286" i="3"/>
  <c r="AR285" i="3"/>
  <c r="AR284" i="3"/>
  <c r="AR283" i="3"/>
  <c r="AS278" i="3"/>
  <c r="AR277" i="3"/>
  <c r="AR278" i="3"/>
  <c r="AR270" i="3"/>
  <c r="AS268" i="3"/>
  <c r="AR268" i="3"/>
  <c r="AR267" i="3"/>
  <c r="AR266" i="3"/>
  <c r="AR265" i="3"/>
  <c r="AS260" i="3"/>
  <c r="AR259" i="3"/>
  <c r="AR260" i="3"/>
  <c r="AR252" i="3"/>
  <c r="AS250" i="3"/>
  <c r="AR248" i="3"/>
  <c r="AR249" i="3"/>
  <c r="AR247" i="3"/>
  <c r="AS242" i="3"/>
  <c r="AR241" i="3"/>
  <c r="AR242" i="3"/>
  <c r="AR240" i="3"/>
  <c r="AR239" i="3"/>
  <c r="AR234" i="3"/>
  <c r="AS232" i="3"/>
  <c r="AR232" i="3"/>
  <c r="AR231" i="3"/>
  <c r="AR230" i="3"/>
  <c r="AR229" i="3"/>
  <c r="AS224" i="3"/>
  <c r="AR223" i="3"/>
  <c r="AR224" i="3"/>
  <c r="AR216" i="3"/>
  <c r="AS214" i="3"/>
  <c r="AR212" i="3"/>
  <c r="AR214" i="3"/>
  <c r="AR213" i="3"/>
  <c r="AR211" i="3"/>
  <c r="AS206" i="3"/>
  <c r="AR205" i="3"/>
  <c r="AR206" i="3"/>
  <c r="AR203" i="3"/>
  <c r="AR198" i="3"/>
  <c r="AS196" i="3"/>
  <c r="AR196" i="3"/>
  <c r="AR195" i="3"/>
  <c r="AR194" i="3"/>
  <c r="AR193" i="3"/>
  <c r="AS188" i="3"/>
  <c r="AR187" i="3"/>
  <c r="AR188" i="3"/>
  <c r="AR180" i="3"/>
  <c r="AS178" i="3"/>
  <c r="AR176" i="3"/>
  <c r="AR177" i="3"/>
  <c r="AR175" i="3"/>
  <c r="AS170" i="3"/>
  <c r="AR169" i="3"/>
  <c r="AR170" i="3"/>
  <c r="AR167" i="3"/>
  <c r="AR162" i="3"/>
  <c r="AS160" i="3"/>
  <c r="AR160" i="3"/>
  <c r="AR159" i="3"/>
  <c r="AR158" i="3"/>
  <c r="AR157" i="3"/>
  <c r="AS152" i="3"/>
  <c r="AR151" i="3"/>
  <c r="AR152" i="3"/>
  <c r="AR144" i="3"/>
  <c r="AS142" i="3"/>
  <c r="AR140" i="3"/>
  <c r="AR142" i="3"/>
  <c r="AR141" i="3"/>
  <c r="AR139" i="3"/>
  <c r="AS134" i="3"/>
  <c r="AR133" i="3"/>
  <c r="AR126" i="3"/>
  <c r="AS124" i="3"/>
  <c r="AR122" i="3"/>
  <c r="AR123" i="3"/>
  <c r="AS116" i="3"/>
  <c r="AR115" i="3"/>
  <c r="AR116" i="3"/>
  <c r="AR113" i="3"/>
  <c r="AR108" i="3"/>
  <c r="AS106" i="3"/>
  <c r="AR106" i="3"/>
  <c r="AR105" i="3"/>
  <c r="AR104" i="3"/>
  <c r="AR103" i="3"/>
  <c r="AS98" i="3"/>
  <c r="AR97" i="3"/>
  <c r="AR98" i="3"/>
  <c r="AR95" i="3"/>
  <c r="AR90" i="3"/>
  <c r="AS88" i="3"/>
  <c r="AR88" i="3"/>
  <c r="AR87" i="3"/>
  <c r="AR86" i="3"/>
  <c r="AR85" i="3"/>
  <c r="AS80" i="3"/>
  <c r="AR79" i="3"/>
  <c r="AR80" i="3"/>
  <c r="AR72" i="3"/>
  <c r="AS70" i="3"/>
  <c r="AR68" i="3"/>
  <c r="AR70" i="3"/>
  <c r="AR69" i="3"/>
  <c r="AS62" i="3"/>
  <c r="AR61" i="3"/>
  <c r="AR62" i="3"/>
  <c r="AR54" i="3"/>
  <c r="AS52" i="3"/>
  <c r="AR50" i="3" s="1"/>
  <c r="AS44" i="3"/>
  <c r="AR43" i="3"/>
  <c r="AR44" i="3"/>
  <c r="AR42" i="3"/>
  <c r="AR41" i="3"/>
  <c r="AR36" i="3"/>
  <c r="AS34" i="3"/>
  <c r="AR34" i="3"/>
  <c r="AR33" i="3"/>
  <c r="AR32" i="3"/>
  <c r="AR31" i="3"/>
  <c r="AS26" i="3"/>
  <c r="AR23" i="3" s="1"/>
  <c r="AR25" i="3"/>
  <c r="AS16" i="3"/>
  <c r="AR13" i="3"/>
  <c r="AS8" i="3"/>
  <c r="AR5" i="3" s="1"/>
  <c r="P14" i="1"/>
  <c r="N14" i="1"/>
  <c r="O14" i="1"/>
  <c r="P13" i="1"/>
  <c r="O13" i="1"/>
  <c r="N13" i="1"/>
  <c r="P12" i="1"/>
  <c r="O12" i="1"/>
  <c r="N12" i="1"/>
  <c r="P11" i="1"/>
  <c r="O11" i="1"/>
  <c r="Q10" i="1"/>
  <c r="P10" i="1"/>
  <c r="O10" i="1"/>
  <c r="Q9" i="1"/>
  <c r="P9" i="1"/>
  <c r="O9" i="1"/>
  <c r="Q8" i="1"/>
  <c r="P8" i="1"/>
  <c r="O8" i="1"/>
  <c r="P7" i="1"/>
  <c r="O7" i="1"/>
  <c r="P6" i="1"/>
  <c r="O6" i="1"/>
  <c r="S4" i="4"/>
  <c r="I8" i="6"/>
  <c r="AR546" i="3"/>
  <c r="AR545" i="3"/>
  <c r="AR528" i="3"/>
  <c r="AR510" i="3"/>
  <c r="AR509" i="3"/>
  <c r="AR492" i="3"/>
  <c r="AR474" i="3"/>
  <c r="AR473" i="3"/>
  <c r="AR466" i="3"/>
  <c r="AR448" i="3"/>
  <c r="AR438" i="3"/>
  <c r="AR420" i="3"/>
  <c r="AR412" i="3"/>
  <c r="AR402" i="3"/>
  <c r="AR394" i="3"/>
  <c r="AR376" i="3"/>
  <c r="AR358" i="3"/>
  <c r="AR348" i="3"/>
  <c r="AR330" i="3"/>
  <c r="AR329" i="3"/>
  <c r="AR304" i="3"/>
  <c r="AR294" i="3"/>
  <c r="AR275" i="3"/>
  <c r="AR276" i="3"/>
  <c r="AR258" i="3"/>
  <c r="AR257" i="3"/>
  <c r="AR250" i="3"/>
  <c r="AR221" i="3"/>
  <c r="AR222" i="3"/>
  <c r="AR204" i="3"/>
  <c r="AR185" i="3"/>
  <c r="AR186" i="3"/>
  <c r="AR178" i="3"/>
  <c r="AR168" i="3"/>
  <c r="AR150" i="3"/>
  <c r="AR149" i="3"/>
  <c r="AR132" i="3"/>
  <c r="AR134" i="3"/>
  <c r="AR131" i="3"/>
  <c r="AR124" i="3"/>
  <c r="AR114" i="3"/>
  <c r="AR121" i="3"/>
  <c r="AR96" i="3"/>
  <c r="AR78" i="3"/>
  <c r="AR77" i="3"/>
  <c r="AR59" i="3"/>
  <c r="AR60" i="3"/>
  <c r="AR67" i="3"/>
  <c r="AR52" i="3"/>
  <c r="AR24" i="3"/>
  <c r="AR14" i="3"/>
  <c r="AR15" i="3"/>
  <c r="AR16" i="3"/>
  <c r="Y36" i="11"/>
  <c r="Y37" i="11"/>
  <c r="Y957" i="6"/>
  <c r="Y956" i="6"/>
  <c r="AA953" i="6"/>
  <c r="AA952" i="6"/>
  <c r="AA951" i="6"/>
  <c r="Z949" i="6"/>
  <c r="AA944" i="6"/>
  <c r="Z944" i="6"/>
  <c r="AA880" i="6"/>
  <c r="Y893" i="6"/>
  <c r="J919" i="6"/>
  <c r="AA912" i="6"/>
  <c r="Y925" i="6"/>
  <c r="Y924" i="6"/>
  <c r="AA921" i="6"/>
  <c r="AA920" i="6"/>
  <c r="AA919" i="6"/>
  <c r="Z917" i="6"/>
  <c r="Z912" i="6"/>
  <c r="B6" i="18"/>
  <c r="I9" i="7"/>
  <c r="I11" i="7"/>
  <c r="J8" i="7"/>
  <c r="M1084" i="8"/>
  <c r="L1084" i="8"/>
  <c r="P1090" i="8"/>
  <c r="L1090" i="8"/>
  <c r="K1090" i="8"/>
  <c r="M1085" i="8"/>
  <c r="O1093" i="8"/>
  <c r="N1093" i="8"/>
  <c r="M1093" i="8"/>
  <c r="L1093" i="8"/>
  <c r="K1093" i="8"/>
  <c r="AF893" i="16"/>
  <c r="Y892" i="6"/>
  <c r="AA889" i="6"/>
  <c r="AA888" i="6"/>
  <c r="AA887" i="6"/>
  <c r="Z885" i="6"/>
  <c r="Z880" i="6"/>
  <c r="U882" i="6"/>
  <c r="T882" i="6"/>
  <c r="J4" i="7"/>
  <c r="C17" i="18"/>
  <c r="C16" i="18"/>
  <c r="D16" i="18"/>
  <c r="P15" i="18"/>
  <c r="D15" i="18"/>
  <c r="H2" i="18"/>
  <c r="G2" i="18"/>
  <c r="B2" i="18"/>
  <c r="C2" i="18"/>
  <c r="K1279" i="17"/>
  <c r="AF989" i="16"/>
  <c r="AD989" i="16"/>
  <c r="AC989" i="16"/>
  <c r="B2097" i="17"/>
  <c r="AB989" i="16"/>
  <c r="AA989" i="16"/>
  <c r="I989" i="16"/>
  <c r="Z989" i="16"/>
  <c r="J989" i="16"/>
  <c r="J988" i="16" s="1"/>
  <c r="Y989" i="16"/>
  <c r="X989" i="16"/>
  <c r="W989" i="16"/>
  <c r="P989" i="16"/>
  <c r="O989" i="16"/>
  <c r="N989" i="16"/>
  <c r="K989" i="16"/>
  <c r="H989" i="16"/>
  <c r="G989" i="16"/>
  <c r="F989" i="16"/>
  <c r="F2097" i="17" s="1"/>
  <c r="D989" i="16"/>
  <c r="Q989" i="16"/>
  <c r="AF987" i="16"/>
  <c r="AE987" i="16"/>
  <c r="E2096" i="17"/>
  <c r="AD987" i="16"/>
  <c r="E987" i="16"/>
  <c r="AC987" i="16"/>
  <c r="B2096" i="17"/>
  <c r="AB987" i="16"/>
  <c r="AA987" i="16"/>
  <c r="I987" i="16"/>
  <c r="Z987" i="16"/>
  <c r="J987" i="16"/>
  <c r="Y987" i="16"/>
  <c r="X987" i="16"/>
  <c r="W987" i="16"/>
  <c r="P987" i="16"/>
  <c r="O987" i="16"/>
  <c r="N987" i="16"/>
  <c r="K987" i="16"/>
  <c r="H987" i="16"/>
  <c r="I2096" i="17" s="1"/>
  <c r="G987" i="16"/>
  <c r="F987" i="16"/>
  <c r="D987" i="16"/>
  <c r="Q987" i="16"/>
  <c r="AF985" i="16"/>
  <c r="AE985" i="16"/>
  <c r="E2095" i="17"/>
  <c r="AD985" i="16"/>
  <c r="E985" i="16"/>
  <c r="AC985" i="16"/>
  <c r="B2095" i="17"/>
  <c r="AB985" i="16"/>
  <c r="AA985" i="16"/>
  <c r="I985" i="16"/>
  <c r="Z985" i="16"/>
  <c r="Y985" i="16"/>
  <c r="X985" i="16"/>
  <c r="W985" i="16"/>
  <c r="P985" i="16"/>
  <c r="O985" i="16"/>
  <c r="N985" i="16"/>
  <c r="K985" i="16"/>
  <c r="J985" i="16"/>
  <c r="G2095" i="17" s="1"/>
  <c r="H985" i="16"/>
  <c r="G985" i="16"/>
  <c r="S985" i="16" s="1"/>
  <c r="F985" i="16"/>
  <c r="F2095" i="17" s="1"/>
  <c r="D985" i="16"/>
  <c r="Q985" i="16"/>
  <c r="AF983" i="16"/>
  <c r="AD983" i="16"/>
  <c r="E983" i="16"/>
  <c r="AC983" i="16"/>
  <c r="B2094" i="17"/>
  <c r="AB983" i="16"/>
  <c r="AA983" i="16"/>
  <c r="I983" i="16"/>
  <c r="I982" i="16" s="1"/>
  <c r="Z983" i="16"/>
  <c r="Y983" i="16"/>
  <c r="X983" i="16"/>
  <c r="W983" i="16"/>
  <c r="P983" i="16"/>
  <c r="O983" i="16"/>
  <c r="N983" i="16"/>
  <c r="K983" i="16"/>
  <c r="J983" i="16"/>
  <c r="G2094" i="17" s="1"/>
  <c r="H983" i="16"/>
  <c r="G983" i="16"/>
  <c r="H2094" i="17" s="1"/>
  <c r="K2094" i="17" s="1"/>
  <c r="F983" i="16"/>
  <c r="F2094" i="17" s="1"/>
  <c r="D983" i="16"/>
  <c r="Q983" i="16"/>
  <c r="AF981" i="16"/>
  <c r="AD981" i="16"/>
  <c r="E981" i="16"/>
  <c r="AC981" i="16"/>
  <c r="B2093" i="17"/>
  <c r="AB981" i="16"/>
  <c r="AA981" i="16"/>
  <c r="I981" i="16"/>
  <c r="Z981" i="16"/>
  <c r="J981" i="16"/>
  <c r="G2093" i="17" s="1"/>
  <c r="Y981" i="16"/>
  <c r="X981" i="16"/>
  <c r="W981" i="16"/>
  <c r="P981" i="16"/>
  <c r="O981" i="16"/>
  <c r="N981" i="16"/>
  <c r="K981" i="16"/>
  <c r="H981" i="16"/>
  <c r="I2093" i="17" s="1"/>
  <c r="G981" i="16"/>
  <c r="S981" i="16" s="1"/>
  <c r="F981" i="16"/>
  <c r="F2093" i="17" s="1"/>
  <c r="D981" i="16"/>
  <c r="Q981" i="16"/>
  <c r="AF979" i="16"/>
  <c r="AE979" i="16"/>
  <c r="E2092" i="17"/>
  <c r="AD979" i="16"/>
  <c r="E979" i="16"/>
  <c r="AC979" i="16"/>
  <c r="B2092" i="17"/>
  <c r="AB979" i="16"/>
  <c r="AA979" i="16"/>
  <c r="I979" i="16"/>
  <c r="Z979" i="16"/>
  <c r="J979" i="16"/>
  <c r="Y979" i="16"/>
  <c r="X979" i="16"/>
  <c r="W979" i="16"/>
  <c r="P979" i="16"/>
  <c r="O979" i="16"/>
  <c r="N979" i="16"/>
  <c r="K979" i="16"/>
  <c r="H979" i="16"/>
  <c r="G979" i="16"/>
  <c r="F979" i="16"/>
  <c r="D979" i="16"/>
  <c r="Q979" i="16"/>
  <c r="AF977" i="16"/>
  <c r="AE977" i="16"/>
  <c r="E2063" i="17"/>
  <c r="AD977" i="16"/>
  <c r="E977" i="16"/>
  <c r="AC977" i="16"/>
  <c r="B2063" i="17"/>
  <c r="AB977" i="16"/>
  <c r="AA977" i="16"/>
  <c r="I977" i="16"/>
  <c r="Z977" i="16"/>
  <c r="Y977" i="16"/>
  <c r="X977" i="16"/>
  <c r="W977" i="16"/>
  <c r="P977" i="16"/>
  <c r="O977" i="16"/>
  <c r="N977" i="16"/>
  <c r="K977" i="16"/>
  <c r="J977" i="16"/>
  <c r="G2063" i="17" s="1"/>
  <c r="H977" i="16"/>
  <c r="I2063" i="17" s="1"/>
  <c r="G977" i="16"/>
  <c r="S977" i="16" s="1"/>
  <c r="F977" i="16"/>
  <c r="D977" i="16"/>
  <c r="Q977" i="16"/>
  <c r="AF975" i="16"/>
  <c r="AD975" i="16"/>
  <c r="E975" i="16"/>
  <c r="AC975" i="16"/>
  <c r="B2062" i="17"/>
  <c r="AB975" i="16"/>
  <c r="AA975" i="16"/>
  <c r="I975" i="16"/>
  <c r="I974" i="16" s="1"/>
  <c r="Z975" i="16"/>
  <c r="Y975" i="16"/>
  <c r="X975" i="16"/>
  <c r="W975" i="16"/>
  <c r="P975" i="16"/>
  <c r="O975" i="16"/>
  <c r="N975" i="16"/>
  <c r="K975" i="16"/>
  <c r="J975" i="16"/>
  <c r="G2062" i="17" s="1"/>
  <c r="H975" i="16"/>
  <c r="G975" i="16"/>
  <c r="H2062" i="17" s="1"/>
  <c r="K2062" i="17" s="1"/>
  <c r="F975" i="16"/>
  <c r="F2062" i="17" s="1"/>
  <c r="D975" i="16"/>
  <c r="Q975" i="16"/>
  <c r="AF973" i="16"/>
  <c r="AD973" i="16"/>
  <c r="E973" i="16"/>
  <c r="AC973" i="16"/>
  <c r="B2061" i="17"/>
  <c r="AB973" i="16"/>
  <c r="AA973" i="16"/>
  <c r="I973" i="16"/>
  <c r="Z973" i="16"/>
  <c r="J973" i="16"/>
  <c r="G2061" i="17" s="1"/>
  <c r="Y973" i="16"/>
  <c r="X973" i="16"/>
  <c r="W973" i="16"/>
  <c r="P973" i="16"/>
  <c r="O973" i="16"/>
  <c r="N973" i="16"/>
  <c r="K973" i="16"/>
  <c r="H973" i="16"/>
  <c r="G973" i="16"/>
  <c r="F973" i="16"/>
  <c r="F2061" i="17" s="1"/>
  <c r="D973" i="16"/>
  <c r="Q973" i="16"/>
  <c r="AF971" i="16"/>
  <c r="AE971" i="16"/>
  <c r="E2060" i="17"/>
  <c r="AD971" i="16"/>
  <c r="E971" i="16"/>
  <c r="AC971" i="16"/>
  <c r="B2060" i="17"/>
  <c r="AB971" i="16"/>
  <c r="AA971" i="16"/>
  <c r="I971" i="16"/>
  <c r="Z971" i="16"/>
  <c r="J971" i="16"/>
  <c r="Y971" i="16"/>
  <c r="X971" i="16"/>
  <c r="W971" i="16"/>
  <c r="P971" i="16"/>
  <c r="O971" i="16"/>
  <c r="N971" i="16"/>
  <c r="K971" i="16"/>
  <c r="H971" i="16"/>
  <c r="G971" i="16"/>
  <c r="F971" i="16"/>
  <c r="D971" i="16"/>
  <c r="Q971" i="16"/>
  <c r="AF969" i="16"/>
  <c r="AE969" i="16"/>
  <c r="E2059" i="17"/>
  <c r="AD969" i="16"/>
  <c r="E969" i="16"/>
  <c r="AC969" i="16"/>
  <c r="B2059" i="17"/>
  <c r="AB969" i="16"/>
  <c r="AA969" i="16"/>
  <c r="I969" i="16"/>
  <c r="Z969" i="16"/>
  <c r="Y969" i="16"/>
  <c r="X969" i="16"/>
  <c r="W969" i="16"/>
  <c r="P969" i="16"/>
  <c r="O969" i="16"/>
  <c r="N969" i="16"/>
  <c r="K969" i="16"/>
  <c r="J969" i="16"/>
  <c r="G2059" i="17" s="1"/>
  <c r="H969" i="16"/>
  <c r="I2059" i="17" s="1"/>
  <c r="G969" i="16"/>
  <c r="F969" i="16"/>
  <c r="F2059" i="17" s="1"/>
  <c r="D969" i="16"/>
  <c r="Q969" i="16"/>
  <c r="AF967" i="16"/>
  <c r="AD967" i="16"/>
  <c r="E967" i="16"/>
  <c r="AC967" i="16"/>
  <c r="B2058" i="17"/>
  <c r="AB967" i="16"/>
  <c r="AA967" i="16"/>
  <c r="I967" i="16"/>
  <c r="J2058" i="17" s="1"/>
  <c r="Z967" i="16"/>
  <c r="J967" i="16"/>
  <c r="Y967" i="16"/>
  <c r="X967" i="16"/>
  <c r="F967" i="16"/>
  <c r="W967" i="16"/>
  <c r="C2058" i="17"/>
  <c r="V967" i="16"/>
  <c r="P967" i="16"/>
  <c r="O967" i="16"/>
  <c r="N967" i="16"/>
  <c r="K967" i="16"/>
  <c r="H967" i="16"/>
  <c r="G967" i="16"/>
  <c r="G966" i="16" s="1"/>
  <c r="D967" i="16"/>
  <c r="Q967" i="16"/>
  <c r="B967" i="16"/>
  <c r="B966" i="16"/>
  <c r="A963" i="16"/>
  <c r="AF957" i="16"/>
  <c r="AD957" i="16"/>
  <c r="AC957" i="16"/>
  <c r="AB957" i="16"/>
  <c r="H957" i="16"/>
  <c r="AA957" i="16"/>
  <c r="I957" i="16"/>
  <c r="J2029" i="17" s="1"/>
  <c r="Z957" i="16"/>
  <c r="J957" i="16"/>
  <c r="J956" i="16" s="1"/>
  <c r="Y957" i="16"/>
  <c r="G957" i="16"/>
  <c r="X957" i="16"/>
  <c r="F957" i="16"/>
  <c r="F956" i="16" s="1"/>
  <c r="W957" i="16"/>
  <c r="C2029" i="17"/>
  <c r="P957" i="16"/>
  <c r="O957" i="16"/>
  <c r="N957" i="16"/>
  <c r="K957" i="16"/>
  <c r="AF955" i="16"/>
  <c r="AD955" i="16"/>
  <c r="AE955" i="16"/>
  <c r="E2028" i="17"/>
  <c r="AC955" i="16"/>
  <c r="AB955" i="16"/>
  <c r="H955" i="16"/>
  <c r="AA955" i="16"/>
  <c r="I955" i="16"/>
  <c r="L955" i="16" s="1"/>
  <c r="Z955" i="16"/>
  <c r="Y955" i="16"/>
  <c r="X955" i="16"/>
  <c r="F955" i="16"/>
  <c r="W955" i="16"/>
  <c r="C2028" i="17"/>
  <c r="P955" i="16"/>
  <c r="O955" i="16"/>
  <c r="N955" i="16"/>
  <c r="K955" i="16"/>
  <c r="J955" i="16"/>
  <c r="G955" i="16"/>
  <c r="H2028" i="17" s="1"/>
  <c r="K2028" i="17" s="1"/>
  <c r="B954" i="16"/>
  <c r="B955" i="16"/>
  <c r="AF953" i="16"/>
  <c r="AD953" i="16"/>
  <c r="E953" i="16"/>
  <c r="AC953" i="16"/>
  <c r="AB953" i="16"/>
  <c r="H953" i="16"/>
  <c r="L953" i="16" s="1"/>
  <c r="AA953" i="16"/>
  <c r="I953" i="16"/>
  <c r="J2027" i="17" s="1"/>
  <c r="Z953" i="16"/>
  <c r="J953" i="16"/>
  <c r="G2027" i="17" s="1"/>
  <c r="Y953" i="16"/>
  <c r="G953" i="16"/>
  <c r="X953" i="16"/>
  <c r="W953" i="16"/>
  <c r="C2027" i="17"/>
  <c r="P953" i="16"/>
  <c r="O953" i="16"/>
  <c r="N953" i="16"/>
  <c r="K953" i="16"/>
  <c r="F953" i="16"/>
  <c r="B952" i="16"/>
  <c r="B953" i="16"/>
  <c r="AF951" i="16"/>
  <c r="AD951" i="16"/>
  <c r="AE951" i="16"/>
  <c r="E2026" i="17"/>
  <c r="AC951" i="16"/>
  <c r="AB951" i="16"/>
  <c r="H951" i="16"/>
  <c r="AA951" i="16"/>
  <c r="I951" i="16"/>
  <c r="Z951" i="16"/>
  <c r="Y951" i="16"/>
  <c r="X951" i="16"/>
  <c r="W951" i="16"/>
  <c r="C2026" i="17"/>
  <c r="P951" i="16"/>
  <c r="O951" i="16"/>
  <c r="N951" i="16"/>
  <c r="K951" i="16"/>
  <c r="J951" i="16"/>
  <c r="G951" i="16"/>
  <c r="H2026" i="17" s="1"/>
  <c r="K2026" i="17" s="1"/>
  <c r="F951" i="16"/>
  <c r="F950" i="16" s="1"/>
  <c r="E951" i="16"/>
  <c r="AF949" i="16"/>
  <c r="AD949" i="16"/>
  <c r="E949" i="16"/>
  <c r="AC949" i="16"/>
  <c r="AB949" i="16"/>
  <c r="H949" i="16"/>
  <c r="AA949" i="16"/>
  <c r="I949" i="16"/>
  <c r="J2025" i="17" s="1"/>
  <c r="Z949" i="16"/>
  <c r="J949" i="16"/>
  <c r="Y949" i="16"/>
  <c r="G949" i="16"/>
  <c r="X949" i="16"/>
  <c r="W949" i="16"/>
  <c r="C2025" i="17"/>
  <c r="P949" i="16"/>
  <c r="O949" i="16"/>
  <c r="N949" i="16"/>
  <c r="K949" i="16"/>
  <c r="F949" i="16"/>
  <c r="F2025" i="17" s="1"/>
  <c r="AF947" i="16"/>
  <c r="AD947" i="16"/>
  <c r="AC947" i="16"/>
  <c r="AB947" i="16"/>
  <c r="AA947" i="16"/>
  <c r="I947" i="16"/>
  <c r="J2024" i="17" s="1"/>
  <c r="Z947" i="16"/>
  <c r="Y947" i="16"/>
  <c r="G947" i="16"/>
  <c r="H2024" i="17" s="1"/>
  <c r="K2024" i="17" s="1"/>
  <c r="X947" i="16"/>
  <c r="W947" i="16"/>
  <c r="C2024" i="17"/>
  <c r="P947" i="16"/>
  <c r="O947" i="16"/>
  <c r="N947" i="16"/>
  <c r="K947" i="16"/>
  <c r="J947" i="16"/>
  <c r="J946" i="16" s="1"/>
  <c r="H947" i="16"/>
  <c r="I2024" i="17" s="1"/>
  <c r="F947" i="16"/>
  <c r="F2024" i="17" s="1"/>
  <c r="E947" i="16"/>
  <c r="AF945" i="16"/>
  <c r="AD945" i="16"/>
  <c r="AE945" i="16"/>
  <c r="E1995" i="17"/>
  <c r="AC945" i="16"/>
  <c r="AB945" i="16"/>
  <c r="H945" i="16"/>
  <c r="AA945" i="16"/>
  <c r="I945" i="16"/>
  <c r="J1995" i="17" s="1"/>
  <c r="Z945" i="16"/>
  <c r="J945" i="16"/>
  <c r="Y945" i="16"/>
  <c r="G945" i="16"/>
  <c r="X945" i="16"/>
  <c r="W945" i="16"/>
  <c r="C1995" i="17"/>
  <c r="P945" i="16"/>
  <c r="O945" i="16"/>
  <c r="N945" i="16"/>
  <c r="K945" i="16"/>
  <c r="F945" i="16"/>
  <c r="F1995" i="17" s="1"/>
  <c r="AF943" i="16"/>
  <c r="AD943" i="16"/>
  <c r="AE943" i="16"/>
  <c r="E1994" i="17"/>
  <c r="AC943" i="16"/>
  <c r="AB943" i="16"/>
  <c r="H943" i="16"/>
  <c r="AA943" i="16"/>
  <c r="I943" i="16"/>
  <c r="I942" i="16" s="1"/>
  <c r="Z943" i="16"/>
  <c r="Y943" i="16"/>
  <c r="G943" i="16"/>
  <c r="H1994" i="17" s="1"/>
  <c r="K1994" i="17" s="1"/>
  <c r="X943" i="16"/>
  <c r="W943" i="16"/>
  <c r="C1994" i="17"/>
  <c r="P943" i="16"/>
  <c r="O943" i="16"/>
  <c r="N943" i="16"/>
  <c r="K943" i="16"/>
  <c r="J943" i="16"/>
  <c r="G1994" i="17" s="1"/>
  <c r="F943" i="16"/>
  <c r="M943" i="16" s="1"/>
  <c r="AF941" i="16"/>
  <c r="AD941" i="16"/>
  <c r="AC941" i="16"/>
  <c r="AB941" i="16"/>
  <c r="H941" i="16"/>
  <c r="I1993" i="17" s="1"/>
  <c r="AA941" i="16"/>
  <c r="I941" i="16"/>
  <c r="J1993" i="17" s="1"/>
  <c r="Z941" i="16"/>
  <c r="J941" i="16"/>
  <c r="J940" i="16" s="1"/>
  <c r="Y941" i="16"/>
  <c r="G941" i="16"/>
  <c r="X941" i="16"/>
  <c r="F941" i="16"/>
  <c r="F1993" i="17" s="1"/>
  <c r="W941" i="16"/>
  <c r="C1993" i="17"/>
  <c r="P941" i="16"/>
  <c r="O941" i="16"/>
  <c r="N941" i="16"/>
  <c r="K941" i="16"/>
  <c r="B940" i="16"/>
  <c r="B941" i="16"/>
  <c r="AF939" i="16"/>
  <c r="AD939" i="16"/>
  <c r="AC939" i="16"/>
  <c r="AB939" i="16"/>
  <c r="H939" i="16"/>
  <c r="I1992" i="17" s="1"/>
  <c r="AA939" i="16"/>
  <c r="I939" i="16"/>
  <c r="L939" i="16" s="1"/>
  <c r="Z939" i="16"/>
  <c r="Y939" i="16"/>
  <c r="X939" i="16"/>
  <c r="F939" i="16"/>
  <c r="W939" i="16"/>
  <c r="C1992" i="17"/>
  <c r="P939" i="16"/>
  <c r="O939" i="16"/>
  <c r="N939" i="16"/>
  <c r="K939" i="16"/>
  <c r="J939" i="16"/>
  <c r="G939" i="16"/>
  <c r="H1992" i="17" s="1"/>
  <c r="K1992" i="17" s="1"/>
  <c r="B938" i="16"/>
  <c r="B939" i="16"/>
  <c r="AF937" i="16"/>
  <c r="AD937" i="16"/>
  <c r="AC937" i="16"/>
  <c r="AB937" i="16"/>
  <c r="H937" i="16"/>
  <c r="I1991" i="17" s="1"/>
  <c r="AA937" i="16"/>
  <c r="I937" i="16"/>
  <c r="J1991" i="17" s="1"/>
  <c r="Z937" i="16"/>
  <c r="J937" i="16"/>
  <c r="Y937" i="16"/>
  <c r="G937" i="16"/>
  <c r="H1991" i="17" s="1"/>
  <c r="K1991" i="17" s="1"/>
  <c r="X937" i="16"/>
  <c r="F937" i="16"/>
  <c r="F1991" i="17" s="1"/>
  <c r="W937" i="16"/>
  <c r="C1991" i="17"/>
  <c r="P937" i="16"/>
  <c r="O937" i="16"/>
  <c r="N937" i="16"/>
  <c r="K937" i="16"/>
  <c r="AF935" i="16"/>
  <c r="AD935" i="16"/>
  <c r="E935" i="16"/>
  <c r="AC935" i="16"/>
  <c r="B1990" i="17"/>
  <c r="AB935" i="16"/>
  <c r="AA935" i="16"/>
  <c r="I935" i="16"/>
  <c r="J1990" i="17" s="1"/>
  <c r="Z935" i="16"/>
  <c r="J935" i="16"/>
  <c r="G1990" i="17" s="1"/>
  <c r="Y935" i="16"/>
  <c r="X935" i="16"/>
  <c r="F935" i="16"/>
  <c r="W935" i="16"/>
  <c r="V935" i="16"/>
  <c r="P935" i="16"/>
  <c r="O935" i="16"/>
  <c r="N935" i="16"/>
  <c r="K935" i="16"/>
  <c r="H935" i="16"/>
  <c r="H934" i="16" s="1"/>
  <c r="G935" i="16"/>
  <c r="A931" i="16"/>
  <c r="P927" i="16"/>
  <c r="O927" i="16"/>
  <c r="N927" i="16"/>
  <c r="K927" i="16"/>
  <c r="J927" i="16"/>
  <c r="J926" i="16" s="1"/>
  <c r="I927" i="16"/>
  <c r="I926" i="16" s="1"/>
  <c r="H927" i="16"/>
  <c r="H926" i="16" s="1"/>
  <c r="G927" i="16"/>
  <c r="F927" i="16"/>
  <c r="F926" i="16" s="1"/>
  <c r="E927" i="16"/>
  <c r="D927" i="16"/>
  <c r="Q927" i="16"/>
  <c r="B927" i="16"/>
  <c r="B926" i="16"/>
  <c r="AF925" i="16"/>
  <c r="AD925" i="16"/>
  <c r="E925" i="16"/>
  <c r="AC925" i="16"/>
  <c r="B1961" i="17"/>
  <c r="AB925" i="16"/>
  <c r="H925" i="16"/>
  <c r="I1961" i="17" s="1"/>
  <c r="AA925" i="16"/>
  <c r="I925" i="16"/>
  <c r="I924" i="16" s="1"/>
  <c r="Z925" i="16"/>
  <c r="J925" i="16"/>
  <c r="G1961" i="17" s="1"/>
  <c r="Y925" i="16"/>
  <c r="G925" i="16"/>
  <c r="X925" i="16"/>
  <c r="F925" i="16"/>
  <c r="F1961" i="17" s="1"/>
  <c r="W925" i="16"/>
  <c r="P925" i="16"/>
  <c r="O925" i="16"/>
  <c r="N925" i="16"/>
  <c r="K925" i="16"/>
  <c r="AF923" i="16"/>
  <c r="AD923" i="16"/>
  <c r="E923" i="16"/>
  <c r="AC923" i="16"/>
  <c r="B1960" i="17"/>
  <c r="AB923" i="16"/>
  <c r="H923" i="16"/>
  <c r="I1960" i="17" s="1"/>
  <c r="AA923" i="16"/>
  <c r="I923" i="16"/>
  <c r="Z923" i="16"/>
  <c r="Y923" i="16"/>
  <c r="X923" i="16"/>
  <c r="F923" i="16"/>
  <c r="W923" i="16"/>
  <c r="P923" i="16"/>
  <c r="O923" i="16"/>
  <c r="N923" i="16"/>
  <c r="K923" i="16"/>
  <c r="J923" i="16"/>
  <c r="G1960" i="17" s="1"/>
  <c r="G923" i="16"/>
  <c r="G922" i="16" s="1"/>
  <c r="D923" i="16"/>
  <c r="Q923" i="16"/>
  <c r="AF921" i="16"/>
  <c r="AD921" i="16"/>
  <c r="E921" i="16"/>
  <c r="AC921" i="16"/>
  <c r="B1959" i="17"/>
  <c r="AB921" i="16"/>
  <c r="H921" i="16"/>
  <c r="I1959" i="17" s="1"/>
  <c r="AA921" i="16"/>
  <c r="I921" i="16"/>
  <c r="L921" i="16" s="1"/>
  <c r="Z921" i="16"/>
  <c r="J921" i="16"/>
  <c r="Y921" i="16"/>
  <c r="G921" i="16"/>
  <c r="H1959" i="17" s="1"/>
  <c r="K1959" i="17" s="1"/>
  <c r="X921" i="16"/>
  <c r="W921" i="16"/>
  <c r="P921" i="16"/>
  <c r="O921" i="16"/>
  <c r="N921" i="16"/>
  <c r="K921" i="16"/>
  <c r="F921" i="16"/>
  <c r="F1959" i="17" s="1"/>
  <c r="AF919" i="16"/>
  <c r="AD919" i="16"/>
  <c r="E919" i="16"/>
  <c r="AC919" i="16"/>
  <c r="B1958" i="17"/>
  <c r="AB919" i="16"/>
  <c r="H919" i="16"/>
  <c r="AA919" i="16"/>
  <c r="I919" i="16"/>
  <c r="J1958" i="17" s="1"/>
  <c r="Z919" i="16"/>
  <c r="Y919" i="16"/>
  <c r="X919" i="16"/>
  <c r="F919" i="16"/>
  <c r="M919" i="16" s="1"/>
  <c r="W919" i="16"/>
  <c r="P919" i="16"/>
  <c r="O919" i="16"/>
  <c r="N919" i="16"/>
  <c r="K919" i="16"/>
  <c r="J919" i="16"/>
  <c r="G919" i="16"/>
  <c r="G918" i="16" s="1"/>
  <c r="AF917" i="16"/>
  <c r="AD917" i="16"/>
  <c r="E917" i="16"/>
  <c r="AC917" i="16"/>
  <c r="B1957" i="17"/>
  <c r="AB917" i="16"/>
  <c r="H917" i="16"/>
  <c r="AA917" i="16"/>
  <c r="I917" i="16"/>
  <c r="J1957" i="17" s="1"/>
  <c r="Z917" i="16"/>
  <c r="J917" i="16"/>
  <c r="J916" i="16" s="1"/>
  <c r="Y917" i="16"/>
  <c r="G917" i="16"/>
  <c r="H1957" i="17" s="1"/>
  <c r="K1957" i="17" s="1"/>
  <c r="X917" i="16"/>
  <c r="F917" i="16"/>
  <c r="W917" i="16"/>
  <c r="P917" i="16"/>
  <c r="O917" i="16"/>
  <c r="N917" i="16"/>
  <c r="K917" i="16"/>
  <c r="AF915" i="16"/>
  <c r="AD915" i="16"/>
  <c r="AE915" i="16"/>
  <c r="E1956" i="17"/>
  <c r="AC915" i="16"/>
  <c r="B1956" i="17"/>
  <c r="AB915" i="16"/>
  <c r="H915" i="16"/>
  <c r="AA915" i="16"/>
  <c r="I915" i="16"/>
  <c r="Z915" i="16"/>
  <c r="Y915" i="16"/>
  <c r="X915" i="16"/>
  <c r="W915" i="16"/>
  <c r="C1956" i="17"/>
  <c r="P915" i="16"/>
  <c r="O915" i="16"/>
  <c r="N915" i="16"/>
  <c r="K915" i="16"/>
  <c r="J915" i="16"/>
  <c r="G915" i="16"/>
  <c r="S915" i="16" s="1"/>
  <c r="F915" i="16"/>
  <c r="F1956" i="17" s="1"/>
  <c r="AF913" i="16"/>
  <c r="AD913" i="16"/>
  <c r="E913" i="16"/>
  <c r="AC913" i="16"/>
  <c r="B1927" i="17"/>
  <c r="AB913" i="16"/>
  <c r="H913" i="16"/>
  <c r="AA913" i="16"/>
  <c r="I913" i="16"/>
  <c r="Z913" i="16"/>
  <c r="Y913" i="16"/>
  <c r="X913" i="16"/>
  <c r="F913" i="16"/>
  <c r="F1927" i="17" s="1"/>
  <c r="W913" i="16"/>
  <c r="C1927" i="17"/>
  <c r="P913" i="16"/>
  <c r="O913" i="16"/>
  <c r="N913" i="16"/>
  <c r="K913" i="16"/>
  <c r="J913" i="16"/>
  <c r="G1927" i="17" s="1"/>
  <c r="G913" i="16"/>
  <c r="AF911" i="16"/>
  <c r="AD911" i="16"/>
  <c r="E911" i="16"/>
  <c r="AC911" i="16"/>
  <c r="B1926" i="17"/>
  <c r="AB911" i="16"/>
  <c r="H911" i="16"/>
  <c r="I1926" i="17" s="1"/>
  <c r="AA911" i="16"/>
  <c r="I911" i="16"/>
  <c r="Z911" i="16"/>
  <c r="Y911" i="16"/>
  <c r="G911" i="16"/>
  <c r="X911" i="16"/>
  <c r="W911" i="16"/>
  <c r="C1926" i="17"/>
  <c r="P911" i="16"/>
  <c r="O911" i="16"/>
  <c r="N911" i="16"/>
  <c r="K911" i="16"/>
  <c r="J911" i="16"/>
  <c r="F911" i="16"/>
  <c r="AF909" i="16"/>
  <c r="AD909" i="16"/>
  <c r="E909" i="16"/>
  <c r="AC909" i="16"/>
  <c r="B1925" i="17"/>
  <c r="AB909" i="16"/>
  <c r="H909" i="16"/>
  <c r="I1925" i="17" s="1"/>
  <c r="AA909" i="16"/>
  <c r="I909" i="16"/>
  <c r="J1925" i="17" s="1"/>
  <c r="Z909" i="16"/>
  <c r="Y909" i="16"/>
  <c r="X909" i="16"/>
  <c r="F909" i="16"/>
  <c r="W909" i="16"/>
  <c r="C1925" i="17"/>
  <c r="P909" i="16"/>
  <c r="O909" i="16"/>
  <c r="N909" i="16"/>
  <c r="K909" i="16"/>
  <c r="J909" i="16"/>
  <c r="G909" i="16"/>
  <c r="S909" i="16" s="1"/>
  <c r="AF907" i="16"/>
  <c r="AD907" i="16"/>
  <c r="E907" i="16"/>
  <c r="AC907" i="16"/>
  <c r="B1924" i="17"/>
  <c r="AB907" i="16"/>
  <c r="AA907" i="16"/>
  <c r="I907" i="16"/>
  <c r="I906" i="16" s="1"/>
  <c r="Z907" i="16"/>
  <c r="Y907" i="16"/>
  <c r="G907" i="16"/>
  <c r="X907" i="16"/>
  <c r="W907" i="16"/>
  <c r="C1924" i="17"/>
  <c r="P907" i="16"/>
  <c r="O907" i="16"/>
  <c r="N907" i="16"/>
  <c r="K907" i="16"/>
  <c r="J907" i="16"/>
  <c r="H907" i="16"/>
  <c r="F907" i="16"/>
  <c r="F1924" i="17" s="1"/>
  <c r="AF905" i="16"/>
  <c r="AD905" i="16"/>
  <c r="E905" i="16"/>
  <c r="AC905" i="16"/>
  <c r="B1923" i="17"/>
  <c r="AB905" i="16"/>
  <c r="H905" i="16"/>
  <c r="I1923" i="17" s="1"/>
  <c r="AA905" i="16"/>
  <c r="I905" i="16"/>
  <c r="Z905" i="16"/>
  <c r="Y905" i="16"/>
  <c r="X905" i="16"/>
  <c r="F905" i="16"/>
  <c r="W905" i="16"/>
  <c r="C1923" i="17"/>
  <c r="P905" i="16"/>
  <c r="O905" i="16"/>
  <c r="N905" i="16"/>
  <c r="K905" i="16"/>
  <c r="J905" i="16"/>
  <c r="G1923" i="17" s="1"/>
  <c r="G905" i="16"/>
  <c r="AF903" i="16"/>
  <c r="AD903" i="16"/>
  <c r="E903" i="16"/>
  <c r="AC903" i="16"/>
  <c r="B1922" i="17"/>
  <c r="AB903" i="16"/>
  <c r="AA903" i="16"/>
  <c r="I903" i="16"/>
  <c r="Z903" i="16"/>
  <c r="J903" i="16"/>
  <c r="G1922" i="17" s="1"/>
  <c r="Y903" i="16"/>
  <c r="G903" i="16"/>
  <c r="H1922" i="17" s="1"/>
  <c r="K1922" i="17" s="1"/>
  <c r="X903" i="16"/>
  <c r="W903" i="16"/>
  <c r="C1922" i="17"/>
  <c r="V903" i="16"/>
  <c r="A899" i="16"/>
  <c r="P903" i="16"/>
  <c r="O903" i="16"/>
  <c r="N903" i="16"/>
  <c r="K903" i="16"/>
  <c r="H903" i="16"/>
  <c r="F903" i="16"/>
  <c r="F1922" i="17" s="1"/>
  <c r="D903" i="16"/>
  <c r="Q903" i="16"/>
  <c r="AC893" i="16"/>
  <c r="B1893" i="17"/>
  <c r="AB893" i="16"/>
  <c r="H893" i="16"/>
  <c r="AA893" i="16"/>
  <c r="I893" i="16"/>
  <c r="J1893" i="17" s="1"/>
  <c r="Z893" i="16"/>
  <c r="Y893" i="16"/>
  <c r="G893" i="16"/>
  <c r="H1893" i="17" s="1"/>
  <c r="K1893" i="17" s="1"/>
  <c r="X893" i="16"/>
  <c r="W893" i="16"/>
  <c r="C1893" i="17"/>
  <c r="P893" i="16"/>
  <c r="O893" i="16"/>
  <c r="N893" i="16"/>
  <c r="K893" i="16"/>
  <c r="J893" i="16"/>
  <c r="G1893" i="17" s="1"/>
  <c r="F893" i="16"/>
  <c r="AC891" i="16"/>
  <c r="B1892" i="17"/>
  <c r="AB891" i="16"/>
  <c r="AA891" i="16"/>
  <c r="Z891" i="16"/>
  <c r="Y891" i="16"/>
  <c r="G891" i="16"/>
  <c r="S891" i="16" s="1"/>
  <c r="X891" i="16"/>
  <c r="F891" i="16"/>
  <c r="W891" i="16"/>
  <c r="C1892" i="17"/>
  <c r="P891" i="16"/>
  <c r="O891" i="16"/>
  <c r="N891" i="16"/>
  <c r="K891" i="16"/>
  <c r="J891" i="16"/>
  <c r="I891" i="16"/>
  <c r="H891" i="16"/>
  <c r="B890" i="16"/>
  <c r="B891" i="16"/>
  <c r="AC889" i="16"/>
  <c r="B1891" i="17"/>
  <c r="AB889" i="16"/>
  <c r="AA889" i="16"/>
  <c r="Z889" i="16"/>
  <c r="Y889" i="16"/>
  <c r="G889" i="16"/>
  <c r="S889" i="16" s="1"/>
  <c r="X889" i="16"/>
  <c r="F889" i="16"/>
  <c r="F1891" i="17" s="1"/>
  <c r="W889" i="16"/>
  <c r="C1891" i="17"/>
  <c r="P889" i="16"/>
  <c r="O889" i="16"/>
  <c r="N889" i="16"/>
  <c r="K889" i="16"/>
  <c r="J889" i="16"/>
  <c r="G1891" i="17" s="1"/>
  <c r="I889" i="16"/>
  <c r="H889" i="16"/>
  <c r="I1891" i="17" s="1"/>
  <c r="B888" i="16"/>
  <c r="B889" i="16"/>
  <c r="AC887" i="16"/>
  <c r="B1890" i="17"/>
  <c r="AB887" i="16"/>
  <c r="H887" i="16"/>
  <c r="I1890" i="17" s="1"/>
  <c r="AA887" i="16"/>
  <c r="I887" i="16"/>
  <c r="Z887" i="16"/>
  <c r="Y887" i="16"/>
  <c r="G887" i="16"/>
  <c r="X887" i="16"/>
  <c r="F887" i="16"/>
  <c r="W887" i="16"/>
  <c r="C1890" i="17"/>
  <c r="P887" i="16"/>
  <c r="O887" i="16"/>
  <c r="N887" i="16"/>
  <c r="K887" i="16"/>
  <c r="J887" i="16"/>
  <c r="G1890" i="17" s="1"/>
  <c r="AC885" i="16"/>
  <c r="B1889" i="17"/>
  <c r="AB885" i="16"/>
  <c r="AA885" i="16"/>
  <c r="I885" i="16"/>
  <c r="Z885" i="16"/>
  <c r="Y885" i="16"/>
  <c r="G885" i="16"/>
  <c r="X885" i="16"/>
  <c r="W885" i="16"/>
  <c r="C1889" i="17"/>
  <c r="P885" i="16"/>
  <c r="O885" i="16"/>
  <c r="N885" i="16"/>
  <c r="K885" i="16"/>
  <c r="J885" i="16"/>
  <c r="H885" i="16"/>
  <c r="L885" i="16" s="1"/>
  <c r="F885" i="16"/>
  <c r="AC883" i="16"/>
  <c r="B1888" i="17"/>
  <c r="AB883" i="16"/>
  <c r="AA883" i="16"/>
  <c r="I883" i="16"/>
  <c r="J1888" i="17" s="1"/>
  <c r="Z883" i="16"/>
  <c r="Y883" i="16"/>
  <c r="G883" i="16"/>
  <c r="H1888" i="17" s="1"/>
  <c r="K1888" i="17" s="1"/>
  <c r="X883" i="16"/>
  <c r="W883" i="16"/>
  <c r="C1888" i="17"/>
  <c r="P883" i="16"/>
  <c r="O883" i="16"/>
  <c r="N883" i="16"/>
  <c r="K883" i="16"/>
  <c r="J883" i="16"/>
  <c r="G1888" i="17" s="1"/>
  <c r="H883" i="16"/>
  <c r="F883" i="16"/>
  <c r="AC881" i="16"/>
  <c r="B1859" i="17"/>
  <c r="AB881" i="16"/>
  <c r="AA881" i="16"/>
  <c r="I881" i="16"/>
  <c r="Z881" i="16"/>
  <c r="Y881" i="16"/>
  <c r="G881" i="16"/>
  <c r="X881" i="16"/>
  <c r="F881" i="16"/>
  <c r="W881" i="16"/>
  <c r="C1859" i="17"/>
  <c r="P881" i="16"/>
  <c r="O881" i="16"/>
  <c r="N881" i="16"/>
  <c r="K881" i="16"/>
  <c r="J881" i="16"/>
  <c r="H881" i="16"/>
  <c r="I1859" i="17" s="1"/>
  <c r="AC879" i="16"/>
  <c r="B1858" i="17"/>
  <c r="AB879" i="16"/>
  <c r="AA879" i="16"/>
  <c r="I879" i="16"/>
  <c r="J1858" i="17" s="1"/>
  <c r="Z879" i="16"/>
  <c r="Y879" i="16"/>
  <c r="G879" i="16"/>
  <c r="H1858" i="17" s="1"/>
  <c r="K1858" i="17" s="1"/>
  <c r="X879" i="16"/>
  <c r="W879" i="16"/>
  <c r="C1858" i="17"/>
  <c r="P879" i="16"/>
  <c r="O879" i="16"/>
  <c r="N879" i="16"/>
  <c r="K879" i="16"/>
  <c r="J879" i="16"/>
  <c r="H879" i="16"/>
  <c r="F879" i="16"/>
  <c r="AC877" i="16"/>
  <c r="B1857" i="17"/>
  <c r="AB877" i="16"/>
  <c r="H877" i="16"/>
  <c r="AA877" i="16"/>
  <c r="I877" i="16"/>
  <c r="Z877" i="16"/>
  <c r="Y877" i="16"/>
  <c r="G877" i="16"/>
  <c r="G876" i="16" s="1"/>
  <c r="X877" i="16"/>
  <c r="W877" i="16"/>
  <c r="C1857" i="17"/>
  <c r="P877" i="16"/>
  <c r="O877" i="16"/>
  <c r="N877" i="16"/>
  <c r="K877" i="16"/>
  <c r="J877" i="16"/>
  <c r="F877" i="16"/>
  <c r="AC875" i="16"/>
  <c r="B1856" i="17"/>
  <c r="AB875" i="16"/>
  <c r="AA875" i="16"/>
  <c r="Z875" i="16"/>
  <c r="Y875" i="16"/>
  <c r="G875" i="16"/>
  <c r="G874" i="16" s="1"/>
  <c r="X875" i="16"/>
  <c r="F875" i="16"/>
  <c r="W875" i="16"/>
  <c r="C1856" i="17"/>
  <c r="P875" i="16"/>
  <c r="O875" i="16"/>
  <c r="N875" i="16"/>
  <c r="K875" i="16"/>
  <c r="J875" i="16"/>
  <c r="I875" i="16"/>
  <c r="H875" i="16"/>
  <c r="B874" i="16"/>
  <c r="B875" i="16"/>
  <c r="AC873" i="16"/>
  <c r="B1855" i="17"/>
  <c r="AB873" i="16"/>
  <c r="AA873" i="16"/>
  <c r="Z873" i="16"/>
  <c r="Y873" i="16"/>
  <c r="G873" i="16"/>
  <c r="S873" i="16" s="1"/>
  <c r="X873" i="16"/>
  <c r="F873" i="16"/>
  <c r="W873" i="16"/>
  <c r="C1855" i="17"/>
  <c r="P873" i="16"/>
  <c r="O873" i="16"/>
  <c r="N873" i="16"/>
  <c r="K873" i="16"/>
  <c r="J873" i="16"/>
  <c r="I873" i="16"/>
  <c r="H873" i="16"/>
  <c r="B872" i="16"/>
  <c r="B873" i="16"/>
  <c r="AC871" i="16"/>
  <c r="B1854" i="17"/>
  <c r="AB871" i="16"/>
  <c r="H871" i="16"/>
  <c r="AA871" i="16"/>
  <c r="I871" i="16"/>
  <c r="Z871" i="16"/>
  <c r="Y871" i="16"/>
  <c r="G871" i="16"/>
  <c r="S871" i="16" s="1"/>
  <c r="X871" i="16"/>
  <c r="W871" i="16"/>
  <c r="C1854" i="17"/>
  <c r="V871" i="16"/>
  <c r="A867" i="16"/>
  <c r="P871" i="16"/>
  <c r="O871" i="16"/>
  <c r="N871" i="16"/>
  <c r="K871" i="16"/>
  <c r="J871" i="16"/>
  <c r="F871" i="16"/>
  <c r="AC861" i="16"/>
  <c r="B1825" i="17"/>
  <c r="AB861" i="16"/>
  <c r="AA861" i="16"/>
  <c r="I861" i="16"/>
  <c r="J1825" i="17" s="1"/>
  <c r="Z861" i="16"/>
  <c r="Y861" i="16"/>
  <c r="G861" i="16"/>
  <c r="H1825" i="17" s="1"/>
  <c r="K1825" i="17" s="1"/>
  <c r="X861" i="16"/>
  <c r="F861" i="16"/>
  <c r="W861" i="16"/>
  <c r="C1825" i="17"/>
  <c r="P861" i="16"/>
  <c r="O861" i="16"/>
  <c r="N861" i="16"/>
  <c r="K861" i="16"/>
  <c r="J861" i="16"/>
  <c r="H861" i="16"/>
  <c r="D861" i="16"/>
  <c r="Q861" i="16"/>
  <c r="AC859" i="16"/>
  <c r="B1824" i="17"/>
  <c r="AB859" i="16"/>
  <c r="H859" i="16"/>
  <c r="AA859" i="16"/>
  <c r="I859" i="16"/>
  <c r="Z859" i="16"/>
  <c r="Y859" i="16"/>
  <c r="G859" i="16"/>
  <c r="X859" i="16"/>
  <c r="F859" i="16"/>
  <c r="F1824" i="17" s="1"/>
  <c r="W859" i="16"/>
  <c r="C1824" i="17"/>
  <c r="P859" i="16"/>
  <c r="O859" i="16"/>
  <c r="N859" i="16"/>
  <c r="K859" i="16"/>
  <c r="J859" i="16"/>
  <c r="D859" i="16"/>
  <c r="Q859" i="16"/>
  <c r="AC857" i="16"/>
  <c r="B1823" i="17"/>
  <c r="AB857" i="16"/>
  <c r="AA857" i="16"/>
  <c r="Z857" i="16"/>
  <c r="Y857" i="16"/>
  <c r="G857" i="16"/>
  <c r="H1823" i="17" s="1"/>
  <c r="K1823" i="17" s="1"/>
  <c r="X857" i="16"/>
  <c r="F857" i="16"/>
  <c r="W857" i="16"/>
  <c r="C1823" i="17"/>
  <c r="P857" i="16"/>
  <c r="O857" i="16"/>
  <c r="N857" i="16"/>
  <c r="K857" i="16"/>
  <c r="J857" i="16"/>
  <c r="G1823" i="17" s="1"/>
  <c r="I857" i="16"/>
  <c r="H857" i="16"/>
  <c r="B856" i="16"/>
  <c r="B857" i="16"/>
  <c r="AC855" i="16"/>
  <c r="B1822" i="17"/>
  <c r="AB855" i="16"/>
  <c r="AA855" i="16"/>
  <c r="Z855" i="16"/>
  <c r="Y855" i="16"/>
  <c r="G855" i="16"/>
  <c r="H1822" i="17" s="1"/>
  <c r="K1822" i="17" s="1"/>
  <c r="X855" i="16"/>
  <c r="F855" i="16"/>
  <c r="W855" i="16"/>
  <c r="C1822" i="17"/>
  <c r="P855" i="16"/>
  <c r="O855" i="16"/>
  <c r="N855" i="16"/>
  <c r="K855" i="16"/>
  <c r="J855" i="16"/>
  <c r="I855" i="16"/>
  <c r="H855" i="16"/>
  <c r="B854" i="16"/>
  <c r="B855" i="16"/>
  <c r="AC853" i="16"/>
  <c r="B1821" i="17"/>
  <c r="AB853" i="16"/>
  <c r="AA853" i="16"/>
  <c r="Z853" i="16"/>
  <c r="Y853" i="16"/>
  <c r="G853" i="16"/>
  <c r="M853" i="16" s="1"/>
  <c r="X853" i="16"/>
  <c r="F853" i="16"/>
  <c r="F1821" i="17" s="1"/>
  <c r="W853" i="16"/>
  <c r="C1821" i="17"/>
  <c r="P853" i="16"/>
  <c r="O853" i="16"/>
  <c r="N853" i="16"/>
  <c r="K853" i="16"/>
  <c r="J853" i="16"/>
  <c r="I853" i="16"/>
  <c r="H853" i="16"/>
  <c r="B852" i="16"/>
  <c r="B853" i="16"/>
  <c r="AC851" i="16"/>
  <c r="B1820" i="17"/>
  <c r="AB851" i="16"/>
  <c r="H851" i="16"/>
  <c r="H850" i="16" s="1"/>
  <c r="AA851" i="16"/>
  <c r="Z851" i="16"/>
  <c r="Y851" i="16"/>
  <c r="G851" i="16"/>
  <c r="S851" i="16" s="1"/>
  <c r="X851" i="16"/>
  <c r="F851" i="16"/>
  <c r="W851" i="16"/>
  <c r="C1820" i="17"/>
  <c r="P851" i="16"/>
  <c r="O851" i="16"/>
  <c r="N851" i="16"/>
  <c r="K851" i="16"/>
  <c r="J851" i="16"/>
  <c r="I851" i="16"/>
  <c r="B850" i="16"/>
  <c r="B851" i="16"/>
  <c r="AC849" i="16"/>
  <c r="B1791" i="17"/>
  <c r="AB849" i="16"/>
  <c r="H849" i="16"/>
  <c r="AA849" i="16"/>
  <c r="Z849" i="16"/>
  <c r="Y849" i="16"/>
  <c r="G849" i="16"/>
  <c r="H1791" i="17" s="1"/>
  <c r="K1791" i="17" s="1"/>
  <c r="X849" i="16"/>
  <c r="F849" i="16"/>
  <c r="W849" i="16"/>
  <c r="C1791" i="17"/>
  <c r="P849" i="16"/>
  <c r="O849" i="16"/>
  <c r="N849" i="16"/>
  <c r="K849" i="16"/>
  <c r="J849" i="16"/>
  <c r="G1791" i="17" s="1"/>
  <c r="I849" i="16"/>
  <c r="B848" i="16"/>
  <c r="B849" i="16"/>
  <c r="AC847" i="16"/>
  <c r="B1790" i="17"/>
  <c r="AB847" i="16"/>
  <c r="H847" i="16"/>
  <c r="I1790" i="17" s="1"/>
  <c r="AA847" i="16"/>
  <c r="I847" i="16"/>
  <c r="Z847" i="16"/>
  <c r="Y847" i="16"/>
  <c r="G847" i="16"/>
  <c r="X847" i="16"/>
  <c r="F847" i="16"/>
  <c r="F846" i="16" s="1"/>
  <c r="W847" i="16"/>
  <c r="C1790" i="17"/>
  <c r="P847" i="16"/>
  <c r="O847" i="16"/>
  <c r="N847" i="16"/>
  <c r="K847" i="16"/>
  <c r="J847" i="16"/>
  <c r="J846" i="16" s="1"/>
  <c r="AC845" i="16"/>
  <c r="B1789" i="17"/>
  <c r="AB845" i="16"/>
  <c r="H845" i="16"/>
  <c r="AA845" i="16"/>
  <c r="Z845" i="16"/>
  <c r="Y845" i="16"/>
  <c r="G845" i="16"/>
  <c r="X845" i="16"/>
  <c r="F845" i="16"/>
  <c r="F1789" i="17" s="1"/>
  <c r="W845" i="16"/>
  <c r="C1789" i="17"/>
  <c r="P845" i="16"/>
  <c r="O845" i="16"/>
  <c r="N845" i="16"/>
  <c r="K845" i="16"/>
  <c r="J845" i="16"/>
  <c r="G1789" i="17" s="1"/>
  <c r="I845" i="16"/>
  <c r="B844" i="16"/>
  <c r="B845" i="16"/>
  <c r="AC843" i="16"/>
  <c r="B1788" i="17"/>
  <c r="AB843" i="16"/>
  <c r="H843" i="16"/>
  <c r="AA843" i="16"/>
  <c r="I843" i="16"/>
  <c r="Z843" i="16"/>
  <c r="Y843" i="16"/>
  <c r="G843" i="16"/>
  <c r="H1788" i="17" s="1"/>
  <c r="K1788" i="17" s="1"/>
  <c r="X843" i="16"/>
  <c r="F843" i="16"/>
  <c r="F842" i="16" s="1"/>
  <c r="W843" i="16"/>
  <c r="C1788" i="17"/>
  <c r="P843" i="16"/>
  <c r="O843" i="16"/>
  <c r="N843" i="16"/>
  <c r="K843" i="16"/>
  <c r="J843" i="16"/>
  <c r="AC841" i="16"/>
  <c r="B1787" i="17"/>
  <c r="AB841" i="16"/>
  <c r="H841" i="16"/>
  <c r="AA841" i="16"/>
  <c r="Z841" i="16"/>
  <c r="Y841" i="16"/>
  <c r="G841" i="16"/>
  <c r="H1787" i="17" s="1"/>
  <c r="K1787" i="17" s="1"/>
  <c r="X841" i="16"/>
  <c r="F841" i="16"/>
  <c r="W841" i="16"/>
  <c r="C1787" i="17"/>
  <c r="P841" i="16"/>
  <c r="O841" i="16"/>
  <c r="N841" i="16"/>
  <c r="K841" i="16"/>
  <c r="J841" i="16"/>
  <c r="J840" i="16" s="1"/>
  <c r="I841" i="16"/>
  <c r="B840" i="16"/>
  <c r="B841" i="16"/>
  <c r="AC839" i="16"/>
  <c r="AB839" i="16"/>
  <c r="H839" i="16"/>
  <c r="I1786" i="17" s="1"/>
  <c r="AA839" i="16"/>
  <c r="I839" i="16"/>
  <c r="Z839" i="16"/>
  <c r="J839" i="16"/>
  <c r="Y839" i="16"/>
  <c r="G839" i="16"/>
  <c r="X839" i="16"/>
  <c r="W839" i="16"/>
  <c r="C1786" i="17"/>
  <c r="V839" i="16"/>
  <c r="A835" i="16"/>
  <c r="P839" i="16"/>
  <c r="O839" i="16"/>
  <c r="N839" i="16"/>
  <c r="K839" i="16"/>
  <c r="F839" i="16"/>
  <c r="B838" i="16"/>
  <c r="B839" i="16"/>
  <c r="AC829" i="16"/>
  <c r="B1757" i="17"/>
  <c r="AB829" i="16"/>
  <c r="H829" i="16"/>
  <c r="AA829" i="16"/>
  <c r="I829" i="16"/>
  <c r="J1757" i="17" s="1"/>
  <c r="Z829" i="16"/>
  <c r="Y829" i="16"/>
  <c r="X829" i="16"/>
  <c r="F829" i="16"/>
  <c r="F828" i="16" s="1"/>
  <c r="W829" i="16"/>
  <c r="P829" i="16"/>
  <c r="O829" i="16"/>
  <c r="N829" i="16"/>
  <c r="K829" i="16"/>
  <c r="J829" i="16"/>
  <c r="G1757" i="17" s="1"/>
  <c r="G829" i="16"/>
  <c r="G828" i="16" s="1"/>
  <c r="D829" i="16"/>
  <c r="Q829" i="16"/>
  <c r="AC827" i="16"/>
  <c r="B1756" i="17"/>
  <c r="AB827" i="16"/>
  <c r="AA827" i="16"/>
  <c r="I827" i="16"/>
  <c r="Z827" i="16"/>
  <c r="Y827" i="16"/>
  <c r="G827" i="16"/>
  <c r="G826" i="16" s="1"/>
  <c r="X827" i="16"/>
  <c r="F827" i="16"/>
  <c r="W827" i="16"/>
  <c r="P827" i="16"/>
  <c r="O827" i="16"/>
  <c r="N827" i="16"/>
  <c r="K827" i="16"/>
  <c r="J827" i="16"/>
  <c r="H827" i="16"/>
  <c r="AC825" i="16"/>
  <c r="B1755" i="17"/>
  <c r="AB825" i="16"/>
  <c r="H825" i="16"/>
  <c r="AA825" i="16"/>
  <c r="I825" i="16"/>
  <c r="J1755" i="17" s="1"/>
  <c r="Z825" i="16"/>
  <c r="Y825" i="16"/>
  <c r="X825" i="16"/>
  <c r="F825" i="16"/>
  <c r="F824" i="16" s="1"/>
  <c r="W825" i="16"/>
  <c r="P825" i="16"/>
  <c r="O825" i="16"/>
  <c r="N825" i="16"/>
  <c r="K825" i="16"/>
  <c r="J825" i="16"/>
  <c r="G1755" i="17" s="1"/>
  <c r="G825" i="16"/>
  <c r="G824" i="16" s="1"/>
  <c r="AC823" i="16"/>
  <c r="B1754" i="17"/>
  <c r="AB823" i="16"/>
  <c r="H823" i="16"/>
  <c r="I1754" i="17" s="1"/>
  <c r="AA823" i="16"/>
  <c r="I823" i="16"/>
  <c r="Z823" i="16"/>
  <c r="Y823" i="16"/>
  <c r="X823" i="16"/>
  <c r="F823" i="16"/>
  <c r="F1754" i="17" s="1"/>
  <c r="W823" i="16"/>
  <c r="P823" i="16"/>
  <c r="O823" i="16"/>
  <c r="N823" i="16"/>
  <c r="K823" i="16"/>
  <c r="J823" i="16"/>
  <c r="G823" i="16"/>
  <c r="G822" i="16" s="1"/>
  <c r="D823" i="16"/>
  <c r="Q823" i="16"/>
  <c r="AC821" i="16"/>
  <c r="B1753" i="17"/>
  <c r="AB821" i="16"/>
  <c r="H821" i="16"/>
  <c r="H820" i="16" s="1"/>
  <c r="AA821" i="16"/>
  <c r="I821" i="16"/>
  <c r="J1753" i="17" s="1"/>
  <c r="Z821" i="16"/>
  <c r="Y821" i="16"/>
  <c r="X821" i="16"/>
  <c r="F821" i="16"/>
  <c r="F1753" i="17" s="1"/>
  <c r="W821" i="16"/>
  <c r="P821" i="16"/>
  <c r="O821" i="16"/>
  <c r="N821" i="16"/>
  <c r="K821" i="16"/>
  <c r="J821" i="16"/>
  <c r="J820" i="16" s="1"/>
  <c r="G821" i="16"/>
  <c r="G820" i="16" s="1"/>
  <c r="D821" i="16"/>
  <c r="Q821" i="16"/>
  <c r="AC819" i="16"/>
  <c r="B1752" i="17"/>
  <c r="AB819" i="16"/>
  <c r="H819" i="16"/>
  <c r="AA819" i="16"/>
  <c r="I819" i="16"/>
  <c r="Z819" i="16"/>
  <c r="Y819" i="16"/>
  <c r="X819" i="16"/>
  <c r="F819" i="16"/>
  <c r="W819" i="16"/>
  <c r="P819" i="16"/>
  <c r="O819" i="16"/>
  <c r="N819" i="16"/>
  <c r="K819" i="16"/>
  <c r="J819" i="16"/>
  <c r="G819" i="16"/>
  <c r="AC817" i="16"/>
  <c r="B1723" i="17"/>
  <c r="AB817" i="16"/>
  <c r="H817" i="16"/>
  <c r="AA817" i="16"/>
  <c r="I817" i="16"/>
  <c r="J1723" i="17" s="1"/>
  <c r="Z817" i="16"/>
  <c r="Y817" i="16"/>
  <c r="X817" i="16"/>
  <c r="F817" i="16"/>
  <c r="F816" i="16" s="1"/>
  <c r="W817" i="16"/>
  <c r="P817" i="16"/>
  <c r="O817" i="16"/>
  <c r="N817" i="16"/>
  <c r="K817" i="16"/>
  <c r="J817" i="16"/>
  <c r="G817" i="16"/>
  <c r="G816" i="16" s="1"/>
  <c r="D817" i="16"/>
  <c r="Q817" i="16"/>
  <c r="AC815" i="16"/>
  <c r="B1722" i="17"/>
  <c r="AB815" i="16"/>
  <c r="AA815" i="16"/>
  <c r="I815" i="16"/>
  <c r="I814" i="16" s="1"/>
  <c r="Z815" i="16"/>
  <c r="Y815" i="16"/>
  <c r="X815" i="16"/>
  <c r="F815" i="16"/>
  <c r="F814" i="16" s="1"/>
  <c r="W815" i="16"/>
  <c r="P815" i="16"/>
  <c r="O815" i="16"/>
  <c r="N815" i="16"/>
  <c r="K815" i="16"/>
  <c r="J815" i="16"/>
  <c r="H815" i="16"/>
  <c r="I1722" i="17" s="1"/>
  <c r="G815" i="16"/>
  <c r="D815" i="16"/>
  <c r="Q815" i="16"/>
  <c r="AC813" i="16"/>
  <c r="B1721" i="17"/>
  <c r="AB813" i="16"/>
  <c r="H813" i="16"/>
  <c r="AA813" i="16"/>
  <c r="I813" i="16"/>
  <c r="Z813" i="16"/>
  <c r="Y813" i="16"/>
  <c r="X813" i="16"/>
  <c r="F813" i="16"/>
  <c r="F1721" i="17" s="1"/>
  <c r="W813" i="16"/>
  <c r="P813" i="16"/>
  <c r="O813" i="16"/>
  <c r="N813" i="16"/>
  <c r="K813" i="16"/>
  <c r="J813" i="16"/>
  <c r="G813" i="16"/>
  <c r="G812" i="16" s="1"/>
  <c r="AC811" i="16"/>
  <c r="B1720" i="17"/>
  <c r="AB811" i="16"/>
  <c r="H811" i="16"/>
  <c r="I1720" i="17" s="1"/>
  <c r="AA811" i="16"/>
  <c r="I811" i="16"/>
  <c r="Z811" i="16"/>
  <c r="Y811" i="16"/>
  <c r="X811" i="16"/>
  <c r="F811" i="16"/>
  <c r="W811" i="16"/>
  <c r="P811" i="16"/>
  <c r="O811" i="16"/>
  <c r="N811" i="16"/>
  <c r="K811" i="16"/>
  <c r="J811" i="16"/>
  <c r="G811" i="16"/>
  <c r="D811" i="16"/>
  <c r="Q811" i="16"/>
  <c r="AC809" i="16"/>
  <c r="B1719" i="17"/>
  <c r="AB809" i="16"/>
  <c r="AA809" i="16"/>
  <c r="I809" i="16"/>
  <c r="Z809" i="16"/>
  <c r="Y809" i="16"/>
  <c r="X809" i="16"/>
  <c r="F809" i="16"/>
  <c r="F1719" i="17" s="1"/>
  <c r="W809" i="16"/>
  <c r="P809" i="16"/>
  <c r="O809" i="16"/>
  <c r="N809" i="16"/>
  <c r="K809" i="16"/>
  <c r="J809" i="16"/>
  <c r="H809" i="16"/>
  <c r="H808" i="16" s="1"/>
  <c r="G809" i="16"/>
  <c r="S809" i="16" s="1"/>
  <c r="D809" i="16"/>
  <c r="Q809" i="16"/>
  <c r="AC807" i="16"/>
  <c r="B1718" i="17"/>
  <c r="AB807" i="16"/>
  <c r="H807" i="16"/>
  <c r="AA807" i="16"/>
  <c r="Z807" i="16"/>
  <c r="J807" i="16"/>
  <c r="G1718" i="17" s="1"/>
  <c r="Y807" i="16"/>
  <c r="G807" i="16"/>
  <c r="S807" i="16" s="1"/>
  <c r="X807" i="16"/>
  <c r="F807" i="16"/>
  <c r="F806" i="16" s="1"/>
  <c r="W807" i="16"/>
  <c r="C1718" i="17"/>
  <c r="V807" i="16"/>
  <c r="P807" i="16"/>
  <c r="O807" i="16"/>
  <c r="N807" i="16"/>
  <c r="K807" i="16"/>
  <c r="I807" i="16"/>
  <c r="B806" i="16"/>
  <c r="B807" i="16"/>
  <c r="A803" i="16"/>
  <c r="AC797" i="16"/>
  <c r="B1689" i="17"/>
  <c r="AB797" i="16"/>
  <c r="AA797" i="16"/>
  <c r="I797" i="16"/>
  <c r="J1689" i="17" s="1"/>
  <c r="Z797" i="16"/>
  <c r="Y797" i="16"/>
  <c r="G797" i="16"/>
  <c r="X797" i="16"/>
  <c r="W797" i="16"/>
  <c r="P797" i="16"/>
  <c r="O797" i="16"/>
  <c r="N797" i="16"/>
  <c r="K797" i="16"/>
  <c r="J797" i="16"/>
  <c r="J796" i="16" s="1"/>
  <c r="H797" i="16"/>
  <c r="F797" i="16"/>
  <c r="F1689" i="17" s="1"/>
  <c r="AC795" i="16"/>
  <c r="B1688" i="17"/>
  <c r="AB795" i="16"/>
  <c r="AA795" i="16"/>
  <c r="I795" i="16"/>
  <c r="Z795" i="16"/>
  <c r="J795" i="16"/>
  <c r="Y795" i="16"/>
  <c r="X795" i="16"/>
  <c r="W795" i="16"/>
  <c r="P795" i="16"/>
  <c r="O795" i="16"/>
  <c r="N795" i="16"/>
  <c r="K795" i="16"/>
  <c r="H795" i="16"/>
  <c r="G795" i="16"/>
  <c r="F795" i="16"/>
  <c r="F1688" i="17" s="1"/>
  <c r="AC793" i="16"/>
  <c r="B1687" i="17"/>
  <c r="AB793" i="16"/>
  <c r="H793" i="16"/>
  <c r="AA793" i="16"/>
  <c r="I793" i="16"/>
  <c r="Z793" i="16"/>
  <c r="Y793" i="16"/>
  <c r="X793" i="16"/>
  <c r="W793" i="16"/>
  <c r="P793" i="16"/>
  <c r="O793" i="16"/>
  <c r="N793" i="16"/>
  <c r="K793" i="16"/>
  <c r="J793" i="16"/>
  <c r="G1687" i="17" s="1"/>
  <c r="G793" i="16"/>
  <c r="F793" i="16"/>
  <c r="F792" i="16" s="1"/>
  <c r="AC791" i="16"/>
  <c r="AB791" i="16"/>
  <c r="AA791" i="16"/>
  <c r="Z791" i="16"/>
  <c r="J791" i="16"/>
  <c r="G1686" i="17" s="1"/>
  <c r="Y791" i="16"/>
  <c r="X791" i="16"/>
  <c r="W791" i="16"/>
  <c r="C1686" i="17"/>
  <c r="P791" i="16"/>
  <c r="O791" i="16"/>
  <c r="N791" i="16"/>
  <c r="K791" i="16"/>
  <c r="I791" i="16"/>
  <c r="J1686" i="17" s="1"/>
  <c r="H791" i="16"/>
  <c r="I1686" i="17" s="1"/>
  <c r="G791" i="16"/>
  <c r="G790" i="16" s="1"/>
  <c r="F791" i="16"/>
  <c r="AC789" i="16"/>
  <c r="AB789" i="16"/>
  <c r="H789" i="16"/>
  <c r="AA789" i="16"/>
  <c r="I789" i="16"/>
  <c r="J1685" i="17" s="1"/>
  <c r="Z789" i="16"/>
  <c r="Y789" i="16"/>
  <c r="G789" i="16"/>
  <c r="X789" i="16"/>
  <c r="W789" i="16"/>
  <c r="C1685" i="17"/>
  <c r="P789" i="16"/>
  <c r="O789" i="16"/>
  <c r="N789" i="16"/>
  <c r="K789" i="16"/>
  <c r="J789" i="16"/>
  <c r="F789" i="16"/>
  <c r="F1685" i="17" s="1"/>
  <c r="AC787" i="16"/>
  <c r="AB787" i="16"/>
  <c r="AA787" i="16"/>
  <c r="Z787" i="16"/>
  <c r="J787" i="16"/>
  <c r="Y787" i="16"/>
  <c r="G787" i="16"/>
  <c r="X787" i="16"/>
  <c r="W787" i="16"/>
  <c r="C1684" i="17"/>
  <c r="P787" i="16"/>
  <c r="O787" i="16"/>
  <c r="N787" i="16"/>
  <c r="K787" i="16"/>
  <c r="I787" i="16"/>
  <c r="J1684" i="17" s="1"/>
  <c r="H787" i="16"/>
  <c r="I1684" i="17" s="1"/>
  <c r="F787" i="16"/>
  <c r="B786" i="16"/>
  <c r="B787" i="16"/>
  <c r="AC785" i="16"/>
  <c r="AB785" i="16"/>
  <c r="H785" i="16"/>
  <c r="AA785" i="16"/>
  <c r="I785" i="16"/>
  <c r="Z785" i="16"/>
  <c r="Y785" i="16"/>
  <c r="G785" i="16"/>
  <c r="S785" i="16" s="1"/>
  <c r="X785" i="16"/>
  <c r="W785" i="16"/>
  <c r="C1655" i="17"/>
  <c r="P785" i="16"/>
  <c r="O785" i="16"/>
  <c r="N785" i="16"/>
  <c r="K785" i="16"/>
  <c r="J785" i="16"/>
  <c r="G1655" i="17" s="1"/>
  <c r="F785" i="16"/>
  <c r="F1655" i="17" s="1"/>
  <c r="B784" i="16"/>
  <c r="B785" i="16"/>
  <c r="AC783" i="16"/>
  <c r="AB783" i="16"/>
  <c r="H783" i="16"/>
  <c r="AA783" i="16"/>
  <c r="Z783" i="16"/>
  <c r="J783" i="16"/>
  <c r="G1654" i="17" s="1"/>
  <c r="Y783" i="16"/>
  <c r="X783" i="16"/>
  <c r="W783" i="16"/>
  <c r="C1654" i="17"/>
  <c r="P783" i="16"/>
  <c r="O783" i="16"/>
  <c r="N783" i="16"/>
  <c r="K783" i="16"/>
  <c r="I783" i="16"/>
  <c r="G783" i="16"/>
  <c r="G782" i="16" s="1"/>
  <c r="F783" i="16"/>
  <c r="AC781" i="16"/>
  <c r="AB781" i="16"/>
  <c r="H781" i="16"/>
  <c r="L781" i="16" s="1"/>
  <c r="AA781" i="16"/>
  <c r="I781" i="16"/>
  <c r="Z781" i="16"/>
  <c r="Y781" i="16"/>
  <c r="G781" i="16"/>
  <c r="X781" i="16"/>
  <c r="W781" i="16"/>
  <c r="C1653" i="17"/>
  <c r="P781" i="16"/>
  <c r="O781" i="16"/>
  <c r="N781" i="16"/>
  <c r="K781" i="16"/>
  <c r="J781" i="16"/>
  <c r="J780" i="16" s="1"/>
  <c r="F781" i="16"/>
  <c r="AC779" i="16"/>
  <c r="AB779" i="16"/>
  <c r="AA779" i="16"/>
  <c r="Z779" i="16"/>
  <c r="J779" i="16"/>
  <c r="Y779" i="16"/>
  <c r="G779" i="16"/>
  <c r="X779" i="16"/>
  <c r="W779" i="16"/>
  <c r="C1652" i="17"/>
  <c r="P779" i="16"/>
  <c r="O779" i="16"/>
  <c r="N779" i="16"/>
  <c r="K779" i="16"/>
  <c r="I779" i="16"/>
  <c r="J1652" i="17" s="1"/>
  <c r="H779" i="16"/>
  <c r="I1652" i="17" s="1"/>
  <c r="F779" i="16"/>
  <c r="B778" i="16"/>
  <c r="B779" i="16"/>
  <c r="AC777" i="16"/>
  <c r="AB777" i="16"/>
  <c r="H777" i="16"/>
  <c r="AA777" i="16"/>
  <c r="I777" i="16"/>
  <c r="J1651" i="17" s="1"/>
  <c r="Z777" i="16"/>
  <c r="Y777" i="16"/>
  <c r="G777" i="16"/>
  <c r="X777" i="16"/>
  <c r="W777" i="16"/>
  <c r="C1651" i="17"/>
  <c r="P777" i="16"/>
  <c r="O777" i="16"/>
  <c r="N777" i="16"/>
  <c r="K777" i="16"/>
  <c r="J777" i="16"/>
  <c r="F777" i="16"/>
  <c r="B776" i="16"/>
  <c r="B777" i="16"/>
  <c r="AC775" i="16"/>
  <c r="B1650" i="17"/>
  <c r="AB775" i="16"/>
  <c r="H775" i="16"/>
  <c r="H774" i="16" s="1"/>
  <c r="AA775" i="16"/>
  <c r="I775" i="16"/>
  <c r="I774" i="16" s="1"/>
  <c r="Z775" i="16"/>
  <c r="J775" i="16"/>
  <c r="Y775" i="16"/>
  <c r="X775" i="16"/>
  <c r="W775" i="16"/>
  <c r="V775" i="16"/>
  <c r="A771" i="16"/>
  <c r="P775" i="16"/>
  <c r="O775" i="16"/>
  <c r="N775" i="16"/>
  <c r="K775" i="16"/>
  <c r="G775" i="16"/>
  <c r="F775" i="16"/>
  <c r="F1650" i="17" s="1"/>
  <c r="AC765" i="16"/>
  <c r="B1621" i="17"/>
  <c r="AB765" i="16"/>
  <c r="AA765" i="16"/>
  <c r="Z765" i="16"/>
  <c r="J765" i="16"/>
  <c r="Y765" i="16"/>
  <c r="G765" i="16"/>
  <c r="S765" i="16" s="1"/>
  <c r="X765" i="16"/>
  <c r="F765" i="16"/>
  <c r="F764" i="16" s="1"/>
  <c r="W765" i="16"/>
  <c r="C1621" i="17"/>
  <c r="P765" i="16"/>
  <c r="O765" i="16"/>
  <c r="N765" i="16"/>
  <c r="K765" i="16"/>
  <c r="I765" i="16"/>
  <c r="J1621" i="17" s="1"/>
  <c r="H765" i="16"/>
  <c r="B764" i="16"/>
  <c r="B765" i="16"/>
  <c r="AC763" i="16"/>
  <c r="B1620" i="17"/>
  <c r="AB763" i="16"/>
  <c r="H763" i="16"/>
  <c r="AA763" i="16"/>
  <c r="Z763" i="16"/>
  <c r="J763" i="16"/>
  <c r="G1620" i="17" s="1"/>
  <c r="Y763" i="16"/>
  <c r="G763" i="16"/>
  <c r="S763" i="16" s="1"/>
  <c r="X763" i="16"/>
  <c r="F763" i="16"/>
  <c r="F762" i="16" s="1"/>
  <c r="W763" i="16"/>
  <c r="C1620" i="17"/>
  <c r="P763" i="16"/>
  <c r="O763" i="16"/>
  <c r="N763" i="16"/>
  <c r="K763" i="16"/>
  <c r="I763" i="16"/>
  <c r="D763" i="16"/>
  <c r="Q763" i="16"/>
  <c r="B762" i="16"/>
  <c r="B763" i="16"/>
  <c r="AC761" i="16"/>
  <c r="B1619" i="17"/>
  <c r="AB761" i="16"/>
  <c r="H761" i="16"/>
  <c r="AA761" i="16"/>
  <c r="I761" i="16"/>
  <c r="J1619" i="17" s="1"/>
  <c r="Z761" i="16"/>
  <c r="J761" i="16"/>
  <c r="Y761" i="16"/>
  <c r="G761" i="16"/>
  <c r="X761" i="16"/>
  <c r="F761" i="16"/>
  <c r="F1619" i="17" s="1"/>
  <c r="W761" i="16"/>
  <c r="C1619" i="17"/>
  <c r="P761" i="16"/>
  <c r="O761" i="16"/>
  <c r="N761" i="16"/>
  <c r="K761" i="16"/>
  <c r="D761" i="16"/>
  <c r="Q761" i="16"/>
  <c r="B760" i="16"/>
  <c r="B761" i="16"/>
  <c r="AC759" i="16"/>
  <c r="B1618" i="17"/>
  <c r="AB759" i="16"/>
  <c r="H759" i="16"/>
  <c r="AA759" i="16"/>
  <c r="I759" i="16"/>
  <c r="Z759" i="16"/>
  <c r="Y759" i="16"/>
  <c r="X759" i="16"/>
  <c r="F759" i="16"/>
  <c r="F1618" i="17" s="1"/>
  <c r="W759" i="16"/>
  <c r="C1618" i="17"/>
  <c r="P759" i="16"/>
  <c r="O759" i="16"/>
  <c r="N759" i="16"/>
  <c r="K759" i="16"/>
  <c r="J759" i="16"/>
  <c r="G759" i="16"/>
  <c r="D759" i="16"/>
  <c r="Q759" i="16"/>
  <c r="AC757" i="16"/>
  <c r="B1617" i="17"/>
  <c r="AB757" i="16"/>
  <c r="H757" i="16"/>
  <c r="I1617" i="17" s="1"/>
  <c r="AA757" i="16"/>
  <c r="I757" i="16"/>
  <c r="Z757" i="16"/>
  <c r="Y757" i="16"/>
  <c r="X757" i="16"/>
  <c r="F757" i="16"/>
  <c r="F756" i="16" s="1"/>
  <c r="W757" i="16"/>
  <c r="C1617" i="17"/>
  <c r="P757" i="16"/>
  <c r="O757" i="16"/>
  <c r="N757" i="16"/>
  <c r="K757" i="16"/>
  <c r="J757" i="16"/>
  <c r="G757" i="16"/>
  <c r="M757" i="16" s="1"/>
  <c r="AC755" i="16"/>
  <c r="B1616" i="17"/>
  <c r="AB755" i="16"/>
  <c r="H755" i="16"/>
  <c r="AA755" i="16"/>
  <c r="I755" i="16"/>
  <c r="J1616" i="17" s="1"/>
  <c r="Z755" i="16"/>
  <c r="Y755" i="16"/>
  <c r="X755" i="16"/>
  <c r="F755" i="16"/>
  <c r="W755" i="16"/>
  <c r="C1616" i="17"/>
  <c r="P755" i="16"/>
  <c r="O755" i="16"/>
  <c r="N755" i="16"/>
  <c r="K755" i="16"/>
  <c r="J755" i="16"/>
  <c r="G1616" i="17" s="1"/>
  <c r="G755" i="16"/>
  <c r="D755" i="16"/>
  <c r="Q755" i="16"/>
  <c r="AC753" i="16"/>
  <c r="B1587" i="17"/>
  <c r="AB753" i="16"/>
  <c r="H753" i="16"/>
  <c r="AA753" i="16"/>
  <c r="I753" i="16"/>
  <c r="Z753" i="16"/>
  <c r="Y753" i="16"/>
  <c r="X753" i="16"/>
  <c r="F753" i="16"/>
  <c r="W753" i="16"/>
  <c r="C1587" i="17"/>
  <c r="P753" i="16"/>
  <c r="O753" i="16"/>
  <c r="N753" i="16"/>
  <c r="K753" i="16"/>
  <c r="J753" i="16"/>
  <c r="G1587" i="17" s="1"/>
  <c r="G753" i="16"/>
  <c r="D753" i="16"/>
  <c r="Q753" i="16"/>
  <c r="AC751" i="16"/>
  <c r="B1586" i="17"/>
  <c r="AB751" i="16"/>
  <c r="H751" i="16"/>
  <c r="AA751" i="16"/>
  <c r="I751" i="16"/>
  <c r="Z751" i="16"/>
  <c r="Y751" i="16"/>
  <c r="X751" i="16"/>
  <c r="F751" i="16"/>
  <c r="W751" i="16"/>
  <c r="C1586" i="17"/>
  <c r="P751" i="16"/>
  <c r="O751" i="16"/>
  <c r="N751" i="16"/>
  <c r="K751" i="16"/>
  <c r="J751" i="16"/>
  <c r="G751" i="16"/>
  <c r="AC749" i="16"/>
  <c r="B1585" i="17"/>
  <c r="AB749" i="16"/>
  <c r="H749" i="16"/>
  <c r="AA749" i="16"/>
  <c r="I749" i="16"/>
  <c r="Z749" i="16"/>
  <c r="Y749" i="16"/>
  <c r="X749" i="16"/>
  <c r="F749" i="16"/>
  <c r="F748" i="16" s="1"/>
  <c r="W749" i="16"/>
  <c r="C1585" i="17"/>
  <c r="P749" i="16"/>
  <c r="O749" i="16"/>
  <c r="N749" i="16"/>
  <c r="K749" i="16"/>
  <c r="J749" i="16"/>
  <c r="G1585" i="17" s="1"/>
  <c r="G749" i="16"/>
  <c r="H1585" i="17" s="1"/>
  <c r="K1585" i="17" s="1"/>
  <c r="D749" i="16"/>
  <c r="Q749" i="16"/>
  <c r="AC747" i="16"/>
  <c r="B1584" i="17"/>
  <c r="AB747" i="16"/>
  <c r="AA747" i="16"/>
  <c r="I747" i="16"/>
  <c r="J1584" i="17" s="1"/>
  <c r="Z747" i="16"/>
  <c r="Y747" i="16"/>
  <c r="G747" i="16"/>
  <c r="X747" i="16"/>
  <c r="F747" i="16"/>
  <c r="W747" i="16"/>
  <c r="C1584" i="17"/>
  <c r="P747" i="16"/>
  <c r="O747" i="16"/>
  <c r="N747" i="16"/>
  <c r="K747" i="16"/>
  <c r="J747" i="16"/>
  <c r="H747" i="16"/>
  <c r="AC745" i="16"/>
  <c r="B1583" i="17"/>
  <c r="AB745" i="16"/>
  <c r="H745" i="16"/>
  <c r="AA745" i="16"/>
  <c r="I745" i="16"/>
  <c r="Z745" i="16"/>
  <c r="Y745" i="16"/>
  <c r="X745" i="16"/>
  <c r="F745" i="16"/>
  <c r="W745" i="16"/>
  <c r="C1583" i="17"/>
  <c r="P745" i="16"/>
  <c r="O745" i="16"/>
  <c r="N745" i="16"/>
  <c r="K745" i="16"/>
  <c r="J745" i="16"/>
  <c r="G1583" i="17" s="1"/>
  <c r="G745" i="16"/>
  <c r="D745" i="16"/>
  <c r="Q745" i="16"/>
  <c r="AC743" i="16"/>
  <c r="B1582" i="17"/>
  <c r="AB743" i="16"/>
  <c r="H743" i="16"/>
  <c r="I1582" i="17" s="1"/>
  <c r="AA743" i="16"/>
  <c r="I743" i="16"/>
  <c r="J1582" i="17" s="1"/>
  <c r="Z743" i="16"/>
  <c r="J743" i="16"/>
  <c r="G1582" i="17" s="1"/>
  <c r="Y743" i="16"/>
  <c r="X743" i="16"/>
  <c r="F743" i="16"/>
  <c r="F742" i="16" s="1"/>
  <c r="W743" i="16"/>
  <c r="C1582" i="17"/>
  <c r="V743" i="16"/>
  <c r="A739" i="16"/>
  <c r="P743" i="16"/>
  <c r="O743" i="16"/>
  <c r="N743" i="16"/>
  <c r="K743" i="16"/>
  <c r="G743" i="16"/>
  <c r="S743" i="16" s="1"/>
  <c r="D743" i="16"/>
  <c r="Q743" i="16"/>
  <c r="AC733" i="16"/>
  <c r="B1553" i="17"/>
  <c r="AB733" i="16"/>
  <c r="H733" i="16"/>
  <c r="AA733" i="16"/>
  <c r="I733" i="16"/>
  <c r="Z733" i="16"/>
  <c r="Y733" i="16"/>
  <c r="X733" i="16"/>
  <c r="W733" i="16"/>
  <c r="P733" i="16"/>
  <c r="O733" i="16"/>
  <c r="N733" i="16"/>
  <c r="K733" i="16"/>
  <c r="J733" i="16"/>
  <c r="G733" i="16"/>
  <c r="G732" i="16" s="1"/>
  <c r="F733" i="16"/>
  <c r="AC731" i="16"/>
  <c r="B1552" i="17"/>
  <c r="AB731" i="16"/>
  <c r="H731" i="16"/>
  <c r="AA731" i="16"/>
  <c r="I731" i="16"/>
  <c r="Z731" i="16"/>
  <c r="Y731" i="16"/>
  <c r="X731" i="16"/>
  <c r="W731" i="16"/>
  <c r="P731" i="16"/>
  <c r="O731" i="16"/>
  <c r="N731" i="16"/>
  <c r="K731" i="16"/>
  <c r="J731" i="16"/>
  <c r="G731" i="16"/>
  <c r="S731" i="16" s="1"/>
  <c r="F731" i="16"/>
  <c r="AC729" i="16"/>
  <c r="B1551" i="17"/>
  <c r="AB729" i="16"/>
  <c r="AA729" i="16"/>
  <c r="I729" i="16"/>
  <c r="J1551" i="17" s="1"/>
  <c r="Z729" i="16"/>
  <c r="Y729" i="16"/>
  <c r="G729" i="16"/>
  <c r="X729" i="16"/>
  <c r="W729" i="16"/>
  <c r="P729" i="16"/>
  <c r="O729" i="16"/>
  <c r="N729" i="16"/>
  <c r="K729" i="16"/>
  <c r="J729" i="16"/>
  <c r="H729" i="16"/>
  <c r="F729" i="16"/>
  <c r="AC727" i="16"/>
  <c r="B1550" i="17"/>
  <c r="AB727" i="16"/>
  <c r="H727" i="16"/>
  <c r="AA727" i="16"/>
  <c r="I727" i="16"/>
  <c r="J1550" i="17" s="1"/>
  <c r="Z727" i="16"/>
  <c r="Y727" i="16"/>
  <c r="X727" i="16"/>
  <c r="F727" i="16"/>
  <c r="W727" i="16"/>
  <c r="P727" i="16"/>
  <c r="O727" i="16"/>
  <c r="N727" i="16"/>
  <c r="K727" i="16"/>
  <c r="J727" i="16"/>
  <c r="G1550" i="17" s="1"/>
  <c r="G727" i="16"/>
  <c r="G726" i="16" s="1"/>
  <c r="AC725" i="16"/>
  <c r="B1549" i="17"/>
  <c r="AB725" i="16"/>
  <c r="H725" i="16"/>
  <c r="AA725" i="16"/>
  <c r="I725" i="16"/>
  <c r="Z725" i="16"/>
  <c r="Y725" i="16"/>
  <c r="X725" i="16"/>
  <c r="W725" i="16"/>
  <c r="P725" i="16"/>
  <c r="O725" i="16"/>
  <c r="N725" i="16"/>
  <c r="K725" i="16"/>
  <c r="J725" i="16"/>
  <c r="G725" i="16"/>
  <c r="G724" i="16" s="1"/>
  <c r="F725" i="16"/>
  <c r="AC723" i="16"/>
  <c r="B1548" i="17"/>
  <c r="AB723" i="16"/>
  <c r="H723" i="16"/>
  <c r="AA723" i="16"/>
  <c r="I723" i="16"/>
  <c r="Z723" i="16"/>
  <c r="Y723" i="16"/>
  <c r="X723" i="16"/>
  <c r="W723" i="16"/>
  <c r="P723" i="16"/>
  <c r="O723" i="16"/>
  <c r="N723" i="16"/>
  <c r="K723" i="16"/>
  <c r="J723" i="16"/>
  <c r="G723" i="16"/>
  <c r="H1548" i="17" s="1"/>
  <c r="K1548" i="17" s="1"/>
  <c r="F723" i="16"/>
  <c r="AC721" i="16"/>
  <c r="B1519" i="17"/>
  <c r="AB721" i="16"/>
  <c r="AA721" i="16"/>
  <c r="I721" i="16"/>
  <c r="J1519" i="17" s="1"/>
  <c r="Z721" i="16"/>
  <c r="Y721" i="16"/>
  <c r="G721" i="16"/>
  <c r="G720" i="16" s="1"/>
  <c r="X721" i="16"/>
  <c r="W721" i="16"/>
  <c r="P721" i="16"/>
  <c r="O721" i="16"/>
  <c r="N721" i="16"/>
  <c r="K721" i="16"/>
  <c r="J721" i="16"/>
  <c r="H721" i="16"/>
  <c r="F721" i="16"/>
  <c r="F1519" i="17" s="1"/>
  <c r="AC719" i="16"/>
  <c r="B1518" i="17"/>
  <c r="AB719" i="16"/>
  <c r="H719" i="16"/>
  <c r="I1518" i="17" s="1"/>
  <c r="AA719" i="16"/>
  <c r="I719" i="16"/>
  <c r="I718" i="16" s="1"/>
  <c r="Z719" i="16"/>
  <c r="Y719" i="16"/>
  <c r="X719" i="16"/>
  <c r="F719" i="16"/>
  <c r="W719" i="16"/>
  <c r="P719" i="16"/>
  <c r="O719" i="16"/>
  <c r="N719" i="16"/>
  <c r="K719" i="16"/>
  <c r="J719" i="16"/>
  <c r="G719" i="16"/>
  <c r="G718" i="16" s="1"/>
  <c r="AC717" i="16"/>
  <c r="B1517" i="17"/>
  <c r="AB717" i="16"/>
  <c r="H717" i="16"/>
  <c r="AA717" i="16"/>
  <c r="I717" i="16"/>
  <c r="Z717" i="16"/>
  <c r="Y717" i="16"/>
  <c r="X717" i="16"/>
  <c r="W717" i="16"/>
  <c r="P717" i="16"/>
  <c r="O717" i="16"/>
  <c r="N717" i="16"/>
  <c r="K717" i="16"/>
  <c r="J717" i="16"/>
  <c r="G1517" i="17" s="1"/>
  <c r="G717" i="16"/>
  <c r="G716" i="16" s="1"/>
  <c r="F717" i="16"/>
  <c r="F1517" i="17" s="1"/>
  <c r="AC715" i="16"/>
  <c r="B1516" i="17"/>
  <c r="AB715" i="16"/>
  <c r="H715" i="16"/>
  <c r="AA715" i="16"/>
  <c r="I715" i="16"/>
  <c r="Z715" i="16"/>
  <c r="Y715" i="16"/>
  <c r="X715" i="16"/>
  <c r="W715" i="16"/>
  <c r="P715" i="16"/>
  <c r="O715" i="16"/>
  <c r="N715" i="16"/>
  <c r="K715" i="16"/>
  <c r="J715" i="16"/>
  <c r="G715" i="16"/>
  <c r="H1516" i="17" s="1"/>
  <c r="K1516" i="17" s="1"/>
  <c r="F715" i="16"/>
  <c r="AC713" i="16"/>
  <c r="B1515" i="17"/>
  <c r="AB713" i="16"/>
  <c r="AA713" i="16"/>
  <c r="I713" i="16"/>
  <c r="J1515" i="17" s="1"/>
  <c r="Z713" i="16"/>
  <c r="Y713" i="16"/>
  <c r="G713" i="16"/>
  <c r="G712" i="16" s="1"/>
  <c r="X713" i="16"/>
  <c r="W713" i="16"/>
  <c r="P713" i="16"/>
  <c r="O713" i="16"/>
  <c r="N713" i="16"/>
  <c r="K713" i="16"/>
  <c r="J713" i="16"/>
  <c r="H713" i="16"/>
  <c r="F713" i="16"/>
  <c r="F1515" i="17" s="1"/>
  <c r="AC711" i="16"/>
  <c r="B1514" i="17"/>
  <c r="AB711" i="16"/>
  <c r="H711" i="16"/>
  <c r="I1514" i="17" s="1"/>
  <c r="AA711" i="16"/>
  <c r="I711" i="16"/>
  <c r="Z711" i="16"/>
  <c r="J711" i="16"/>
  <c r="G1514" i="17" s="1"/>
  <c r="Y711" i="16"/>
  <c r="X711" i="16"/>
  <c r="F711" i="16"/>
  <c r="F1514" i="17" s="1"/>
  <c r="W711" i="16"/>
  <c r="V711" i="16"/>
  <c r="P711" i="16"/>
  <c r="O711" i="16"/>
  <c r="N711" i="16"/>
  <c r="K711" i="16"/>
  <c r="G711" i="16"/>
  <c r="S711" i="16" s="1"/>
  <c r="A707" i="16"/>
  <c r="AC701" i="16"/>
  <c r="B1485" i="17"/>
  <c r="AB701" i="16"/>
  <c r="AA701" i="16"/>
  <c r="Z701" i="16"/>
  <c r="J701" i="16"/>
  <c r="G1485" i="17" s="1"/>
  <c r="Y701" i="16"/>
  <c r="G701" i="16"/>
  <c r="H1485" i="17" s="1"/>
  <c r="K1485" i="17" s="1"/>
  <c r="X701" i="16"/>
  <c r="W701" i="16"/>
  <c r="C1485" i="17"/>
  <c r="P701" i="16"/>
  <c r="O701" i="16"/>
  <c r="N701" i="16"/>
  <c r="K701" i="16"/>
  <c r="I701" i="16"/>
  <c r="H701" i="16"/>
  <c r="F701" i="16"/>
  <c r="B700" i="16"/>
  <c r="B701" i="16"/>
  <c r="AC699" i="16"/>
  <c r="B1484" i="17"/>
  <c r="AB699" i="16"/>
  <c r="H699" i="16"/>
  <c r="I1484" i="17" s="1"/>
  <c r="AA699" i="16"/>
  <c r="Z699" i="16"/>
  <c r="J699" i="16"/>
  <c r="G1484" i="17" s="1"/>
  <c r="Y699" i="16"/>
  <c r="G699" i="16"/>
  <c r="X699" i="16"/>
  <c r="W699" i="16"/>
  <c r="C1484" i="17"/>
  <c r="P699" i="16"/>
  <c r="O699" i="16"/>
  <c r="N699" i="16"/>
  <c r="K699" i="16"/>
  <c r="I699" i="16"/>
  <c r="F699" i="16"/>
  <c r="F1484" i="17" s="1"/>
  <c r="B698" i="16"/>
  <c r="B699" i="16"/>
  <c r="AC697" i="16"/>
  <c r="B1483" i="17"/>
  <c r="AB697" i="16"/>
  <c r="H697" i="16"/>
  <c r="AA697" i="16"/>
  <c r="I697" i="16"/>
  <c r="Z697" i="16"/>
  <c r="J697" i="16"/>
  <c r="G1483" i="17" s="1"/>
  <c r="Y697" i="16"/>
  <c r="G697" i="16"/>
  <c r="S697" i="16" s="1"/>
  <c r="X697" i="16"/>
  <c r="W697" i="16"/>
  <c r="C1483" i="17"/>
  <c r="P697" i="16"/>
  <c r="O697" i="16"/>
  <c r="N697" i="16"/>
  <c r="K697" i="16"/>
  <c r="F697" i="16"/>
  <c r="B696" i="16"/>
  <c r="B697" i="16"/>
  <c r="AC695" i="16"/>
  <c r="B1482" i="17"/>
  <c r="AB695" i="16"/>
  <c r="H695" i="16"/>
  <c r="AA695" i="16"/>
  <c r="Z695" i="16"/>
  <c r="J695" i="16"/>
  <c r="G1482" i="17" s="1"/>
  <c r="Y695" i="16"/>
  <c r="G695" i="16"/>
  <c r="X695" i="16"/>
  <c r="W695" i="16"/>
  <c r="C1482" i="17"/>
  <c r="P695" i="16"/>
  <c r="O695" i="16"/>
  <c r="N695" i="16"/>
  <c r="K695" i="16"/>
  <c r="I695" i="16"/>
  <c r="F695" i="16"/>
  <c r="B694" i="16"/>
  <c r="B695" i="16"/>
  <c r="AC693" i="16"/>
  <c r="B1481" i="17"/>
  <c r="AB693" i="16"/>
  <c r="AA693" i="16"/>
  <c r="Z693" i="16"/>
  <c r="J693" i="16"/>
  <c r="Y693" i="16"/>
  <c r="G693" i="16"/>
  <c r="G692" i="16" s="1"/>
  <c r="X693" i="16"/>
  <c r="W693" i="16"/>
  <c r="C1481" i="17"/>
  <c r="P693" i="16"/>
  <c r="O693" i="16"/>
  <c r="N693" i="16"/>
  <c r="K693" i="16"/>
  <c r="I693" i="16"/>
  <c r="H693" i="16"/>
  <c r="F693" i="16"/>
  <c r="B692" i="16"/>
  <c r="B693" i="16"/>
  <c r="AC691" i="16"/>
  <c r="B1480" i="17"/>
  <c r="AB691" i="16"/>
  <c r="H691" i="16"/>
  <c r="AA691" i="16"/>
  <c r="Z691" i="16"/>
  <c r="J691" i="16"/>
  <c r="Y691" i="16"/>
  <c r="G691" i="16"/>
  <c r="S691" i="16" s="1"/>
  <c r="X691" i="16"/>
  <c r="W691" i="16"/>
  <c r="C1480" i="17"/>
  <c r="P691" i="16"/>
  <c r="O691" i="16"/>
  <c r="N691" i="16"/>
  <c r="K691" i="16"/>
  <c r="I691" i="16"/>
  <c r="F691" i="16"/>
  <c r="B690" i="16"/>
  <c r="B691" i="16"/>
  <c r="AC689" i="16"/>
  <c r="B1451" i="17"/>
  <c r="AB689" i="16"/>
  <c r="H689" i="16"/>
  <c r="AA689" i="16"/>
  <c r="I689" i="16"/>
  <c r="J1451" i="17" s="1"/>
  <c r="Z689" i="16"/>
  <c r="J689" i="16"/>
  <c r="Y689" i="16"/>
  <c r="G689" i="16"/>
  <c r="S689" i="16" s="1"/>
  <c r="X689" i="16"/>
  <c r="W689" i="16"/>
  <c r="C1451" i="17"/>
  <c r="P689" i="16"/>
  <c r="O689" i="16"/>
  <c r="N689" i="16"/>
  <c r="K689" i="16"/>
  <c r="F689" i="16"/>
  <c r="F1451" i="17" s="1"/>
  <c r="B688" i="16"/>
  <c r="B689" i="16"/>
  <c r="AC687" i="16"/>
  <c r="B1450" i="17"/>
  <c r="AB687" i="16"/>
  <c r="H687" i="16"/>
  <c r="AA687" i="16"/>
  <c r="Z687" i="16"/>
  <c r="J687" i="16"/>
  <c r="Y687" i="16"/>
  <c r="G687" i="16"/>
  <c r="X687" i="16"/>
  <c r="W687" i="16"/>
  <c r="C1450" i="17"/>
  <c r="P687" i="16"/>
  <c r="O687" i="16"/>
  <c r="N687" i="16"/>
  <c r="K687" i="16"/>
  <c r="I687" i="16"/>
  <c r="F687" i="16"/>
  <c r="F1450" i="17" s="1"/>
  <c r="B686" i="16"/>
  <c r="B687" i="16"/>
  <c r="AC685" i="16"/>
  <c r="B1449" i="17"/>
  <c r="AB685" i="16"/>
  <c r="AA685" i="16"/>
  <c r="Z685" i="16"/>
  <c r="J685" i="16"/>
  <c r="G1449" i="17" s="1"/>
  <c r="Y685" i="16"/>
  <c r="G685" i="16"/>
  <c r="H1449" i="17" s="1"/>
  <c r="K1449" i="17" s="1"/>
  <c r="X685" i="16"/>
  <c r="W685" i="16"/>
  <c r="C1449" i="17"/>
  <c r="P685" i="16"/>
  <c r="O685" i="16"/>
  <c r="N685" i="16"/>
  <c r="K685" i="16"/>
  <c r="I685" i="16"/>
  <c r="H685" i="16"/>
  <c r="F685" i="16"/>
  <c r="F1449" i="17" s="1"/>
  <c r="B684" i="16"/>
  <c r="B685" i="16"/>
  <c r="AC683" i="16"/>
  <c r="B1448" i="17"/>
  <c r="AB683" i="16"/>
  <c r="H683" i="16"/>
  <c r="AA683" i="16"/>
  <c r="Z683" i="16"/>
  <c r="J683" i="16"/>
  <c r="G1448" i="17" s="1"/>
  <c r="Y683" i="16"/>
  <c r="G683" i="16"/>
  <c r="S683" i="16" s="1"/>
  <c r="X683" i="16"/>
  <c r="W683" i="16"/>
  <c r="C1448" i="17"/>
  <c r="P683" i="16"/>
  <c r="O683" i="16"/>
  <c r="N683" i="16"/>
  <c r="K683" i="16"/>
  <c r="I683" i="16"/>
  <c r="F683" i="16"/>
  <c r="B682" i="16"/>
  <c r="B683" i="16"/>
  <c r="AC681" i="16"/>
  <c r="B1447" i="17"/>
  <c r="AB681" i="16"/>
  <c r="H681" i="16"/>
  <c r="AA681" i="16"/>
  <c r="I681" i="16"/>
  <c r="Z681" i="16"/>
  <c r="J681" i="16"/>
  <c r="G1447" i="17" s="1"/>
  <c r="Y681" i="16"/>
  <c r="G681" i="16"/>
  <c r="S681" i="16" s="1"/>
  <c r="X681" i="16"/>
  <c r="W681" i="16"/>
  <c r="C1447" i="17"/>
  <c r="P681" i="16"/>
  <c r="O681" i="16"/>
  <c r="N681" i="16"/>
  <c r="K681" i="16"/>
  <c r="F681" i="16"/>
  <c r="B680" i="16"/>
  <c r="B681" i="16"/>
  <c r="AC679" i="16"/>
  <c r="B1446" i="17"/>
  <c r="AB679" i="16"/>
  <c r="H679" i="16"/>
  <c r="I1446" i="17" s="1"/>
  <c r="AA679" i="16"/>
  <c r="I679" i="16"/>
  <c r="Z679" i="16"/>
  <c r="J679" i="16"/>
  <c r="Y679" i="16"/>
  <c r="X679" i="16"/>
  <c r="W679" i="16"/>
  <c r="C1446" i="17"/>
  <c r="V679" i="16"/>
  <c r="A675" i="16"/>
  <c r="P679" i="16"/>
  <c r="O679" i="16"/>
  <c r="N679" i="16"/>
  <c r="K679" i="16"/>
  <c r="G679" i="16"/>
  <c r="S679" i="16" s="1"/>
  <c r="F679" i="16"/>
  <c r="AF669" i="16"/>
  <c r="AD669" i="16"/>
  <c r="E669" i="16"/>
  <c r="AC669" i="16"/>
  <c r="AB669" i="16"/>
  <c r="AA669" i="16"/>
  <c r="Z669" i="16"/>
  <c r="Y669" i="16"/>
  <c r="G669" i="16"/>
  <c r="X669" i="16"/>
  <c r="F669" i="16"/>
  <c r="F668" i="16" s="1"/>
  <c r="W669" i="16"/>
  <c r="C1417" i="17"/>
  <c r="P669" i="16"/>
  <c r="O669" i="16"/>
  <c r="N669" i="16"/>
  <c r="K669" i="16"/>
  <c r="J669" i="16"/>
  <c r="I669" i="16"/>
  <c r="H669" i="16"/>
  <c r="B668" i="16"/>
  <c r="B669" i="16"/>
  <c r="AF667" i="16"/>
  <c r="AE667" i="16"/>
  <c r="E1416" i="17"/>
  <c r="AD667" i="16"/>
  <c r="AC667" i="16"/>
  <c r="AB667" i="16"/>
  <c r="AA667" i="16"/>
  <c r="I667" i="16"/>
  <c r="Z667" i="16"/>
  <c r="Y667" i="16"/>
  <c r="G667" i="16"/>
  <c r="X667" i="16"/>
  <c r="F667" i="16"/>
  <c r="F666" i="16" s="1"/>
  <c r="W667" i="16"/>
  <c r="C1416" i="17"/>
  <c r="P667" i="16"/>
  <c r="O667" i="16"/>
  <c r="N667" i="16"/>
  <c r="K667" i="16"/>
  <c r="J667" i="16"/>
  <c r="H667" i="16"/>
  <c r="L667" i="16" s="1"/>
  <c r="E667" i="16"/>
  <c r="AF665" i="16"/>
  <c r="AD665" i="16"/>
  <c r="E665" i="16"/>
  <c r="AC665" i="16"/>
  <c r="AB665" i="16"/>
  <c r="AA665" i="16"/>
  <c r="Z665" i="16"/>
  <c r="Y665" i="16"/>
  <c r="G665" i="16"/>
  <c r="S665" i="16" s="1"/>
  <c r="X665" i="16"/>
  <c r="F665" i="16"/>
  <c r="F664" i="16" s="1"/>
  <c r="W665" i="16"/>
  <c r="C1415" i="17"/>
  <c r="P665" i="16"/>
  <c r="O665" i="16"/>
  <c r="N665" i="16"/>
  <c r="K665" i="16"/>
  <c r="J665" i="16"/>
  <c r="I665" i="16"/>
  <c r="H665" i="16"/>
  <c r="B664" i="16"/>
  <c r="B665" i="16"/>
  <c r="AF663" i="16"/>
  <c r="AE663" i="16"/>
  <c r="E1414" i="17"/>
  <c r="AD663" i="16"/>
  <c r="AC663" i="16"/>
  <c r="AB663" i="16"/>
  <c r="AA663" i="16"/>
  <c r="I663" i="16"/>
  <c r="Z663" i="16"/>
  <c r="Y663" i="16"/>
  <c r="G663" i="16"/>
  <c r="X663" i="16"/>
  <c r="F663" i="16"/>
  <c r="F662" i="16" s="1"/>
  <c r="W663" i="16"/>
  <c r="C1414" i="17"/>
  <c r="P663" i="16"/>
  <c r="O663" i="16"/>
  <c r="N663" i="16"/>
  <c r="K663" i="16"/>
  <c r="J663" i="16"/>
  <c r="H663" i="16"/>
  <c r="L663" i="16" s="1"/>
  <c r="E663" i="16"/>
  <c r="AF661" i="16"/>
  <c r="AD661" i="16"/>
  <c r="E661" i="16"/>
  <c r="AC661" i="16"/>
  <c r="AB661" i="16"/>
  <c r="AA661" i="16"/>
  <c r="Z661" i="16"/>
  <c r="Y661" i="16"/>
  <c r="G661" i="16"/>
  <c r="X661" i="16"/>
  <c r="F661" i="16"/>
  <c r="F1413" i="17" s="1"/>
  <c r="W661" i="16"/>
  <c r="C1413" i="17"/>
  <c r="P661" i="16"/>
  <c r="O661" i="16"/>
  <c r="N661" i="16"/>
  <c r="K661" i="16"/>
  <c r="J661" i="16"/>
  <c r="G1413" i="17" s="1"/>
  <c r="I661" i="16"/>
  <c r="H661" i="16"/>
  <c r="B660" i="16"/>
  <c r="B661" i="16"/>
  <c r="AF659" i="16"/>
  <c r="AE659" i="16"/>
  <c r="E1412" i="17"/>
  <c r="AD659" i="16"/>
  <c r="AC659" i="16"/>
  <c r="AB659" i="16"/>
  <c r="AA659" i="16"/>
  <c r="I659" i="16"/>
  <c r="Z659" i="16"/>
  <c r="Y659" i="16"/>
  <c r="G659" i="16"/>
  <c r="X659" i="16"/>
  <c r="F659" i="16"/>
  <c r="F658" i="16" s="1"/>
  <c r="W659" i="16"/>
  <c r="C1412" i="17"/>
  <c r="P659" i="16"/>
  <c r="O659" i="16"/>
  <c r="N659" i="16"/>
  <c r="K659" i="16"/>
  <c r="J659" i="16"/>
  <c r="G1412" i="17" s="1"/>
  <c r="H659" i="16"/>
  <c r="E659" i="16"/>
  <c r="AC657" i="16"/>
  <c r="AB657" i="16"/>
  <c r="AA657" i="16"/>
  <c r="I657" i="16"/>
  <c r="Z657" i="16"/>
  <c r="Y657" i="16"/>
  <c r="G657" i="16"/>
  <c r="X657" i="16"/>
  <c r="F657" i="16"/>
  <c r="F656" i="16" s="1"/>
  <c r="W657" i="16"/>
  <c r="C1383" i="17"/>
  <c r="P657" i="16"/>
  <c r="O657" i="16"/>
  <c r="N657" i="16"/>
  <c r="K657" i="16"/>
  <c r="J657" i="16"/>
  <c r="H657" i="16"/>
  <c r="B656" i="16"/>
  <c r="B657" i="16"/>
  <c r="AC655" i="16"/>
  <c r="AB655" i="16"/>
  <c r="AA655" i="16"/>
  <c r="I655" i="16"/>
  <c r="Z655" i="16"/>
  <c r="Y655" i="16"/>
  <c r="G655" i="16"/>
  <c r="X655" i="16"/>
  <c r="F655" i="16"/>
  <c r="F654" i="16" s="1"/>
  <c r="W655" i="16"/>
  <c r="C1382" i="17"/>
  <c r="P655" i="16"/>
  <c r="O655" i="16"/>
  <c r="N655" i="16"/>
  <c r="K655" i="16"/>
  <c r="J655" i="16"/>
  <c r="H655" i="16"/>
  <c r="B654" i="16"/>
  <c r="B655" i="16"/>
  <c r="AC653" i="16"/>
  <c r="AB653" i="16"/>
  <c r="AA653" i="16"/>
  <c r="Z653" i="16"/>
  <c r="Y653" i="16"/>
  <c r="G653" i="16"/>
  <c r="S653" i="16" s="1"/>
  <c r="X653" i="16"/>
  <c r="F653" i="16"/>
  <c r="W653" i="16"/>
  <c r="C1381" i="17"/>
  <c r="P653" i="16"/>
  <c r="O653" i="16"/>
  <c r="N653" i="16"/>
  <c r="K653" i="16"/>
  <c r="J653" i="16"/>
  <c r="I653" i="16"/>
  <c r="I652" i="16" s="1"/>
  <c r="H653" i="16"/>
  <c r="I1381" i="17" s="1"/>
  <c r="B652" i="16"/>
  <c r="B653" i="16"/>
  <c r="AC651" i="16"/>
  <c r="AB651" i="16"/>
  <c r="AA651" i="16"/>
  <c r="Z651" i="16"/>
  <c r="Y651" i="16"/>
  <c r="G651" i="16"/>
  <c r="H1380" i="17" s="1"/>
  <c r="K1380" i="17" s="1"/>
  <c r="X651" i="16"/>
  <c r="F651" i="16"/>
  <c r="F650" i="16" s="1"/>
  <c r="W651" i="16"/>
  <c r="C1380" i="17"/>
  <c r="P651" i="16"/>
  <c r="O651" i="16"/>
  <c r="N651" i="16"/>
  <c r="K651" i="16"/>
  <c r="J651" i="16"/>
  <c r="G1380" i="17" s="1"/>
  <c r="I651" i="16"/>
  <c r="H651" i="16"/>
  <c r="B650" i="16"/>
  <c r="B651" i="16"/>
  <c r="AC649" i="16"/>
  <c r="AB649" i="16"/>
  <c r="AA649" i="16"/>
  <c r="I649" i="16"/>
  <c r="Z649" i="16"/>
  <c r="Y649" i="16"/>
  <c r="G649" i="16"/>
  <c r="S649" i="16" s="1"/>
  <c r="X649" i="16"/>
  <c r="F649" i="16"/>
  <c r="W649" i="16"/>
  <c r="C1379" i="17"/>
  <c r="P649" i="16"/>
  <c r="O649" i="16"/>
  <c r="N649" i="16"/>
  <c r="K649" i="16"/>
  <c r="J649" i="16"/>
  <c r="H649" i="16"/>
  <c r="B648" i="16"/>
  <c r="B649" i="16"/>
  <c r="AC647" i="16"/>
  <c r="AB647" i="16"/>
  <c r="H647" i="16"/>
  <c r="I1378" i="17" s="1"/>
  <c r="AA647" i="16"/>
  <c r="I647" i="16"/>
  <c r="Z647" i="16"/>
  <c r="J647" i="16"/>
  <c r="G1378" i="17" s="1"/>
  <c r="Y647" i="16"/>
  <c r="G647" i="16"/>
  <c r="H1378" i="17" s="1"/>
  <c r="K1378" i="17" s="1"/>
  <c r="X647" i="16"/>
  <c r="W647" i="16"/>
  <c r="C1378" i="17"/>
  <c r="V647" i="16"/>
  <c r="A643" i="16"/>
  <c r="P647" i="16"/>
  <c r="O647" i="16"/>
  <c r="N647" i="16"/>
  <c r="K647" i="16"/>
  <c r="F647" i="16"/>
  <c r="F1378" i="17" s="1"/>
  <c r="B646" i="16"/>
  <c r="B647" i="16"/>
  <c r="AC637" i="16"/>
  <c r="B1349" i="17"/>
  <c r="AB637" i="16"/>
  <c r="H637" i="16"/>
  <c r="I1349" i="17" s="1"/>
  <c r="AA637" i="16"/>
  <c r="I637" i="16"/>
  <c r="I636" i="16" s="1"/>
  <c r="Z637" i="16"/>
  <c r="Y637" i="16"/>
  <c r="X637" i="16"/>
  <c r="F637" i="16"/>
  <c r="W637" i="16"/>
  <c r="C1349" i="17"/>
  <c r="P637" i="16"/>
  <c r="O637" i="16"/>
  <c r="N637" i="16"/>
  <c r="K637" i="16"/>
  <c r="J637" i="16"/>
  <c r="G637" i="16"/>
  <c r="G636" i="16" s="1"/>
  <c r="D637" i="16"/>
  <c r="Q637" i="16"/>
  <c r="AC635" i="16"/>
  <c r="B1348" i="17"/>
  <c r="AB635" i="16"/>
  <c r="AA635" i="16"/>
  <c r="I635" i="16"/>
  <c r="I634" i="16" s="1"/>
  <c r="Z635" i="16"/>
  <c r="Y635" i="16"/>
  <c r="G635" i="16"/>
  <c r="G634" i="16" s="1"/>
  <c r="X635" i="16"/>
  <c r="F635" i="16"/>
  <c r="W635" i="16"/>
  <c r="P635" i="16"/>
  <c r="O635" i="16"/>
  <c r="N635" i="16"/>
  <c r="K635" i="16"/>
  <c r="J635" i="16"/>
  <c r="H635" i="16"/>
  <c r="D635" i="16"/>
  <c r="Q635" i="16"/>
  <c r="AC633" i="16"/>
  <c r="B1347" i="17"/>
  <c r="AB633" i="16"/>
  <c r="AA633" i="16"/>
  <c r="I633" i="16"/>
  <c r="J1347" i="17" s="1"/>
  <c r="Z633" i="16"/>
  <c r="Y633" i="16"/>
  <c r="G633" i="16"/>
  <c r="G632" i="16" s="1"/>
  <c r="X633" i="16"/>
  <c r="F633" i="16"/>
  <c r="F1347" i="17" s="1"/>
  <c r="W633" i="16"/>
  <c r="P633" i="16"/>
  <c r="O633" i="16"/>
  <c r="N633" i="16"/>
  <c r="K633" i="16"/>
  <c r="J633" i="16"/>
  <c r="G1347" i="17" s="1"/>
  <c r="H633" i="16"/>
  <c r="L633" i="16" s="1"/>
  <c r="AC631" i="16"/>
  <c r="B1346" i="17"/>
  <c r="AB631" i="16"/>
  <c r="AA631" i="16"/>
  <c r="I631" i="16"/>
  <c r="Z631" i="16"/>
  <c r="J631" i="16"/>
  <c r="Y631" i="16"/>
  <c r="X631" i="16"/>
  <c r="W631" i="16"/>
  <c r="P631" i="16"/>
  <c r="O631" i="16"/>
  <c r="N631" i="16"/>
  <c r="K631" i="16"/>
  <c r="H631" i="16"/>
  <c r="G631" i="16"/>
  <c r="S631" i="16" s="1"/>
  <c r="F631" i="16"/>
  <c r="AC629" i="16"/>
  <c r="B1345" i="17"/>
  <c r="AB629" i="16"/>
  <c r="H629" i="16"/>
  <c r="AA629" i="16"/>
  <c r="I629" i="16"/>
  <c r="I628" i="16" s="1"/>
  <c r="Z629" i="16"/>
  <c r="Y629" i="16"/>
  <c r="X629" i="16"/>
  <c r="F629" i="16"/>
  <c r="F1345" i="17" s="1"/>
  <c r="W629" i="16"/>
  <c r="P629" i="16"/>
  <c r="O629" i="16"/>
  <c r="N629" i="16"/>
  <c r="K629" i="16"/>
  <c r="J629" i="16"/>
  <c r="G629" i="16"/>
  <c r="G628" i="16" s="1"/>
  <c r="AC627" i="16"/>
  <c r="B1344" i="17"/>
  <c r="AB627" i="16"/>
  <c r="H627" i="16"/>
  <c r="I1344" i="17" s="1"/>
  <c r="AA627" i="16"/>
  <c r="I627" i="16"/>
  <c r="Z627" i="16"/>
  <c r="J627" i="16"/>
  <c r="Y627" i="16"/>
  <c r="X627" i="16"/>
  <c r="W627" i="16"/>
  <c r="P627" i="16"/>
  <c r="O627" i="16"/>
  <c r="N627" i="16"/>
  <c r="K627" i="16"/>
  <c r="G627" i="16"/>
  <c r="H1344" i="17" s="1"/>
  <c r="K1344" i="17" s="1"/>
  <c r="F627" i="16"/>
  <c r="F1344" i="17" s="1"/>
  <c r="AC625" i="16"/>
  <c r="B1315" i="17"/>
  <c r="AB625" i="16"/>
  <c r="H625" i="16"/>
  <c r="AA625" i="16"/>
  <c r="I625" i="16"/>
  <c r="Z625" i="16"/>
  <c r="Y625" i="16"/>
  <c r="X625" i="16"/>
  <c r="W625" i="16"/>
  <c r="P625" i="16"/>
  <c r="O625" i="16"/>
  <c r="N625" i="16"/>
  <c r="K625" i="16"/>
  <c r="J625" i="16"/>
  <c r="G1315" i="17" s="1"/>
  <c r="G625" i="16"/>
  <c r="G624" i="16" s="1"/>
  <c r="F625" i="16"/>
  <c r="F624" i="16" s="1"/>
  <c r="D625" i="16"/>
  <c r="Q625" i="16"/>
  <c r="AC623" i="16"/>
  <c r="B1314" i="17"/>
  <c r="AB623" i="16"/>
  <c r="H623" i="16"/>
  <c r="I1314" i="17" s="1"/>
  <c r="AA623" i="16"/>
  <c r="I623" i="16"/>
  <c r="Z623" i="16"/>
  <c r="J623" i="16"/>
  <c r="Y623" i="16"/>
  <c r="X623" i="16"/>
  <c r="W623" i="16"/>
  <c r="P623" i="16"/>
  <c r="O623" i="16"/>
  <c r="N623" i="16"/>
  <c r="K623" i="16"/>
  <c r="G623" i="16"/>
  <c r="F623" i="16"/>
  <c r="D623" i="16"/>
  <c r="Q623" i="16"/>
  <c r="AC621" i="16"/>
  <c r="B1313" i="17"/>
  <c r="AB621" i="16"/>
  <c r="AA621" i="16"/>
  <c r="I621" i="16"/>
  <c r="Z621" i="16"/>
  <c r="Y621" i="16"/>
  <c r="G621" i="16"/>
  <c r="G620" i="16" s="1"/>
  <c r="X621" i="16"/>
  <c r="W621" i="16"/>
  <c r="P621" i="16"/>
  <c r="O621" i="16"/>
  <c r="N621" i="16"/>
  <c r="K621" i="16"/>
  <c r="J621" i="16"/>
  <c r="H621" i="16"/>
  <c r="F621" i="16"/>
  <c r="F1313" i="17" s="1"/>
  <c r="D621" i="16"/>
  <c r="Q621" i="16"/>
  <c r="AC619" i="16"/>
  <c r="B1312" i="17"/>
  <c r="AB619" i="16"/>
  <c r="AA619" i="16"/>
  <c r="I619" i="16"/>
  <c r="Z619" i="16"/>
  <c r="J619" i="16"/>
  <c r="Y619" i="16"/>
  <c r="X619" i="16"/>
  <c r="W619" i="16"/>
  <c r="P619" i="16"/>
  <c r="O619" i="16"/>
  <c r="N619" i="16"/>
  <c r="K619" i="16"/>
  <c r="H619" i="16"/>
  <c r="I1312" i="17" s="1"/>
  <c r="G619" i="16"/>
  <c r="G618" i="16" s="1"/>
  <c r="F619" i="16"/>
  <c r="D619" i="16"/>
  <c r="Q619" i="16"/>
  <c r="AC617" i="16"/>
  <c r="AB617" i="16"/>
  <c r="AA617" i="16"/>
  <c r="I617" i="16"/>
  <c r="Z617" i="16"/>
  <c r="Y617" i="16"/>
  <c r="G617" i="16"/>
  <c r="G616" i="16" s="1"/>
  <c r="X617" i="16"/>
  <c r="F617" i="16"/>
  <c r="F616" i="16" s="1"/>
  <c r="W617" i="16"/>
  <c r="P617" i="16"/>
  <c r="O617" i="16"/>
  <c r="N617" i="16"/>
  <c r="K617" i="16"/>
  <c r="J617" i="16"/>
  <c r="G1311" i="17" s="1"/>
  <c r="H617" i="16"/>
  <c r="AC615" i="16"/>
  <c r="AB615" i="16"/>
  <c r="AA615" i="16"/>
  <c r="I615" i="16"/>
  <c r="Z615" i="16"/>
  <c r="Y615" i="16"/>
  <c r="G615" i="16"/>
  <c r="G614" i="16" s="1"/>
  <c r="X615" i="16"/>
  <c r="F615" i="16"/>
  <c r="W615" i="16"/>
  <c r="V615" i="16"/>
  <c r="P615" i="16"/>
  <c r="O615" i="16"/>
  <c r="N615" i="16"/>
  <c r="K615" i="16"/>
  <c r="J615" i="16"/>
  <c r="G1310" i="17" s="1"/>
  <c r="H615" i="16"/>
  <c r="H614" i="16" s="1"/>
  <c r="A611" i="16"/>
  <c r="P607" i="16"/>
  <c r="O607" i="16"/>
  <c r="N607" i="16"/>
  <c r="K607" i="16"/>
  <c r="J607" i="16"/>
  <c r="J606" i="16" s="1"/>
  <c r="I607" i="16"/>
  <c r="I606" i="16" s="1"/>
  <c r="H607" i="16"/>
  <c r="G607" i="16"/>
  <c r="F607" i="16"/>
  <c r="F606" i="16" s="1"/>
  <c r="E607" i="16"/>
  <c r="D607" i="16"/>
  <c r="Q607" i="16"/>
  <c r="B607" i="16"/>
  <c r="B606" i="16"/>
  <c r="AC605" i="16"/>
  <c r="B1281" i="17"/>
  <c r="AB605" i="16"/>
  <c r="H605" i="16"/>
  <c r="AA605" i="16"/>
  <c r="I605" i="16"/>
  <c r="Z605" i="16"/>
  <c r="Y605" i="16"/>
  <c r="X605" i="16"/>
  <c r="F605" i="16"/>
  <c r="W605" i="16"/>
  <c r="C1281" i="17"/>
  <c r="P605" i="16"/>
  <c r="O605" i="16"/>
  <c r="N605" i="16"/>
  <c r="K605" i="16"/>
  <c r="J605" i="16"/>
  <c r="G605" i="16"/>
  <c r="S605" i="16" s="1"/>
  <c r="D605" i="16"/>
  <c r="Q605" i="16"/>
  <c r="AC603" i="16"/>
  <c r="AB603" i="16"/>
  <c r="AA603" i="16"/>
  <c r="I603" i="16"/>
  <c r="I602" i="16" s="1"/>
  <c r="Z603" i="16"/>
  <c r="Y603" i="16"/>
  <c r="G603" i="16"/>
  <c r="X603" i="16"/>
  <c r="F603" i="16"/>
  <c r="F1280" i="17" s="1"/>
  <c r="W603" i="16"/>
  <c r="C1280" i="17"/>
  <c r="P603" i="16"/>
  <c r="O603" i="16"/>
  <c r="N603" i="16"/>
  <c r="K603" i="16"/>
  <c r="J603" i="16"/>
  <c r="H603" i="16"/>
  <c r="I1280" i="17" s="1"/>
  <c r="AC601" i="16"/>
  <c r="B1279" i="17"/>
  <c r="AB601" i="16"/>
  <c r="H601" i="16"/>
  <c r="I1279" i="17" s="1"/>
  <c r="AA601" i="16"/>
  <c r="I601" i="16"/>
  <c r="Z601" i="16"/>
  <c r="Y601" i="16"/>
  <c r="X601" i="16"/>
  <c r="F601" i="16"/>
  <c r="W601" i="16"/>
  <c r="C1279" i="17"/>
  <c r="P601" i="16"/>
  <c r="O601" i="16"/>
  <c r="N601" i="16"/>
  <c r="K601" i="16"/>
  <c r="J601" i="16"/>
  <c r="G601" i="16"/>
  <c r="D601" i="16"/>
  <c r="Q601" i="16"/>
  <c r="AC599" i="16"/>
  <c r="B1278" i="17"/>
  <c r="AB599" i="16"/>
  <c r="AA599" i="16"/>
  <c r="I599" i="16"/>
  <c r="Z599" i="16"/>
  <c r="Y599" i="16"/>
  <c r="G599" i="16"/>
  <c r="X599" i="16"/>
  <c r="F599" i="16"/>
  <c r="F1278" i="17" s="1"/>
  <c r="W599" i="16"/>
  <c r="C1278" i="17"/>
  <c r="P599" i="16"/>
  <c r="O599" i="16"/>
  <c r="N599" i="16"/>
  <c r="K599" i="16"/>
  <c r="J599" i="16"/>
  <c r="G1278" i="17" s="1"/>
  <c r="H599" i="16"/>
  <c r="D599" i="16"/>
  <c r="Q599" i="16"/>
  <c r="AC597" i="16"/>
  <c r="AB597" i="16"/>
  <c r="H597" i="16"/>
  <c r="AA597" i="16"/>
  <c r="I597" i="16"/>
  <c r="Z597" i="16"/>
  <c r="Y597" i="16"/>
  <c r="X597" i="16"/>
  <c r="F597" i="16"/>
  <c r="W597" i="16"/>
  <c r="C1277" i="17"/>
  <c r="P597" i="16"/>
  <c r="O597" i="16"/>
  <c r="N597" i="16"/>
  <c r="K597" i="16"/>
  <c r="J597" i="16"/>
  <c r="J596" i="16" s="1"/>
  <c r="G597" i="16"/>
  <c r="M597" i="16" s="1"/>
  <c r="AC595" i="16"/>
  <c r="B1276" i="17"/>
  <c r="AB595" i="16"/>
  <c r="H595" i="16"/>
  <c r="AA595" i="16"/>
  <c r="I595" i="16"/>
  <c r="J1276" i="17" s="1"/>
  <c r="Z595" i="16"/>
  <c r="Y595" i="16"/>
  <c r="X595" i="16"/>
  <c r="F595" i="16"/>
  <c r="W595" i="16"/>
  <c r="C1276" i="17"/>
  <c r="P595" i="16"/>
  <c r="O595" i="16"/>
  <c r="N595" i="16"/>
  <c r="K595" i="16"/>
  <c r="J595" i="16"/>
  <c r="G595" i="16"/>
  <c r="D595" i="16"/>
  <c r="Q595" i="16"/>
  <c r="AC593" i="16"/>
  <c r="B1247" i="17"/>
  <c r="AB593" i="16"/>
  <c r="H593" i="16"/>
  <c r="AA593" i="16"/>
  <c r="I593" i="16"/>
  <c r="Z593" i="16"/>
  <c r="Y593" i="16"/>
  <c r="X593" i="16"/>
  <c r="F593" i="16"/>
  <c r="W593" i="16"/>
  <c r="C1247" i="17"/>
  <c r="P593" i="16"/>
  <c r="O593" i="16"/>
  <c r="N593" i="16"/>
  <c r="K593" i="16"/>
  <c r="J593" i="16"/>
  <c r="J592" i="16" s="1"/>
  <c r="G593" i="16"/>
  <c r="D593" i="16"/>
  <c r="Q593" i="16"/>
  <c r="AC591" i="16"/>
  <c r="B1246" i="17"/>
  <c r="AB591" i="16"/>
  <c r="H591" i="16"/>
  <c r="AA591" i="16"/>
  <c r="I591" i="16"/>
  <c r="J1246" i="17" s="1"/>
  <c r="Z591" i="16"/>
  <c r="Y591" i="16"/>
  <c r="X591" i="16"/>
  <c r="F591" i="16"/>
  <c r="F1246" i="17" s="1"/>
  <c r="W591" i="16"/>
  <c r="C1246" i="17"/>
  <c r="P591" i="16"/>
  <c r="O591" i="16"/>
  <c r="N591" i="16"/>
  <c r="K591" i="16"/>
  <c r="J591" i="16"/>
  <c r="G591" i="16"/>
  <c r="M591" i="16" s="1"/>
  <c r="AC589" i="16"/>
  <c r="B1245" i="17"/>
  <c r="AB589" i="16"/>
  <c r="H589" i="16"/>
  <c r="I1245" i="17" s="1"/>
  <c r="AA589" i="16"/>
  <c r="I589" i="16"/>
  <c r="Z589" i="16"/>
  <c r="Y589" i="16"/>
  <c r="X589" i="16"/>
  <c r="F589" i="16"/>
  <c r="W589" i="16"/>
  <c r="C1245" i="17"/>
  <c r="P589" i="16"/>
  <c r="O589" i="16"/>
  <c r="N589" i="16"/>
  <c r="K589" i="16"/>
  <c r="J589" i="16"/>
  <c r="G589" i="16"/>
  <c r="M589" i="16" s="1"/>
  <c r="D589" i="16"/>
  <c r="Q589" i="16"/>
  <c r="AC587" i="16"/>
  <c r="AB587" i="16"/>
  <c r="AA587" i="16"/>
  <c r="I587" i="16"/>
  <c r="J1244" i="17" s="1"/>
  <c r="Z587" i="16"/>
  <c r="Y587" i="16"/>
  <c r="G587" i="16"/>
  <c r="X587" i="16"/>
  <c r="F587" i="16"/>
  <c r="F586" i="16" s="1"/>
  <c r="W587" i="16"/>
  <c r="C1244" i="17"/>
  <c r="P587" i="16"/>
  <c r="O587" i="16"/>
  <c r="N587" i="16"/>
  <c r="K587" i="16"/>
  <c r="J587" i="16"/>
  <c r="G1244" i="17" s="1"/>
  <c r="H587" i="16"/>
  <c r="I1244" i="17" s="1"/>
  <c r="AC585" i="16"/>
  <c r="B1243" i="17"/>
  <c r="AB585" i="16"/>
  <c r="H585" i="16"/>
  <c r="AA585" i="16"/>
  <c r="I585" i="16"/>
  <c r="Z585" i="16"/>
  <c r="Y585" i="16"/>
  <c r="X585" i="16"/>
  <c r="F585" i="16"/>
  <c r="W585" i="16"/>
  <c r="C1243" i="17"/>
  <c r="P585" i="16"/>
  <c r="O585" i="16"/>
  <c r="N585" i="16"/>
  <c r="K585" i="16"/>
  <c r="J585" i="16"/>
  <c r="G585" i="16"/>
  <c r="D585" i="16"/>
  <c r="Q585" i="16"/>
  <c r="AC583" i="16"/>
  <c r="B1242" i="17"/>
  <c r="AB583" i="16"/>
  <c r="H583" i="16"/>
  <c r="H582" i="16" s="1"/>
  <c r="AA583" i="16"/>
  <c r="I583" i="16"/>
  <c r="Z583" i="16"/>
  <c r="J583" i="16"/>
  <c r="Y583" i="16"/>
  <c r="X583" i="16"/>
  <c r="F583" i="16"/>
  <c r="F1242" i="17" s="1"/>
  <c r="W583" i="16"/>
  <c r="C1242" i="17"/>
  <c r="V583" i="16"/>
  <c r="A579" i="16"/>
  <c r="P583" i="16"/>
  <c r="O583" i="16"/>
  <c r="N583" i="16"/>
  <c r="K583" i="16"/>
  <c r="G583" i="16"/>
  <c r="S583" i="16" s="1"/>
  <c r="D583" i="16"/>
  <c r="Q583" i="16"/>
  <c r="AC573" i="16"/>
  <c r="B1213" i="17"/>
  <c r="AB573" i="16"/>
  <c r="H573" i="16"/>
  <c r="I1213" i="17" s="1"/>
  <c r="AA573" i="16"/>
  <c r="I573" i="16"/>
  <c r="I572" i="16" s="1"/>
  <c r="Z573" i="16"/>
  <c r="Y573" i="16"/>
  <c r="X573" i="16"/>
  <c r="W573" i="16"/>
  <c r="P573" i="16"/>
  <c r="O573" i="16"/>
  <c r="N573" i="16"/>
  <c r="K573" i="16"/>
  <c r="J573" i="16"/>
  <c r="G573" i="16"/>
  <c r="G572" i="16" s="1"/>
  <c r="F573" i="16"/>
  <c r="F1213" i="17" s="1"/>
  <c r="AC571" i="16"/>
  <c r="B1212" i="17"/>
  <c r="AB571" i="16"/>
  <c r="AA571" i="16"/>
  <c r="I571" i="16"/>
  <c r="Z571" i="16"/>
  <c r="Y571" i="16"/>
  <c r="G571" i="16"/>
  <c r="H1212" i="17" s="1"/>
  <c r="K1212" i="17" s="1"/>
  <c r="X571" i="16"/>
  <c r="W571" i="16"/>
  <c r="P571" i="16"/>
  <c r="O571" i="16"/>
  <c r="N571" i="16"/>
  <c r="K571" i="16"/>
  <c r="J571" i="16"/>
  <c r="H571" i="16"/>
  <c r="F571" i="16"/>
  <c r="AC569" i="16"/>
  <c r="B1211" i="17"/>
  <c r="AB569" i="16"/>
  <c r="AA569" i="16"/>
  <c r="I569" i="16"/>
  <c r="Z569" i="16"/>
  <c r="Y569" i="16"/>
  <c r="G569" i="16"/>
  <c r="H1211" i="17" s="1"/>
  <c r="K1211" i="17" s="1"/>
  <c r="X569" i="16"/>
  <c r="F569" i="16"/>
  <c r="W569" i="16"/>
  <c r="P569" i="16"/>
  <c r="O569" i="16"/>
  <c r="N569" i="16"/>
  <c r="K569" i="16"/>
  <c r="J569" i="16"/>
  <c r="H569" i="16"/>
  <c r="L569" i="16" s="1"/>
  <c r="AC567" i="16"/>
  <c r="B1210" i="17"/>
  <c r="AB567" i="16"/>
  <c r="H567" i="16"/>
  <c r="AA567" i="16"/>
  <c r="I567" i="16"/>
  <c r="Z567" i="16"/>
  <c r="Y567" i="16"/>
  <c r="X567" i="16"/>
  <c r="F567" i="16"/>
  <c r="M567" i="16" s="1"/>
  <c r="W567" i="16"/>
  <c r="P567" i="16"/>
  <c r="O567" i="16"/>
  <c r="N567" i="16"/>
  <c r="K567" i="16"/>
  <c r="J567" i="16"/>
  <c r="G567" i="16"/>
  <c r="G566" i="16" s="1"/>
  <c r="AC565" i="16"/>
  <c r="B1209" i="17"/>
  <c r="AB565" i="16"/>
  <c r="H565" i="16"/>
  <c r="I1209" i="17" s="1"/>
  <c r="AA565" i="16"/>
  <c r="I565" i="16"/>
  <c r="I564" i="16" s="1"/>
  <c r="Z565" i="16"/>
  <c r="Y565" i="16"/>
  <c r="X565" i="16"/>
  <c r="W565" i="16"/>
  <c r="P565" i="16"/>
  <c r="O565" i="16"/>
  <c r="N565" i="16"/>
  <c r="K565" i="16"/>
  <c r="J565" i="16"/>
  <c r="G565" i="16"/>
  <c r="G564" i="16" s="1"/>
  <c r="F565" i="16"/>
  <c r="AC563" i="16"/>
  <c r="B1208" i="17"/>
  <c r="AB563" i="16"/>
  <c r="AA563" i="16"/>
  <c r="I563" i="16"/>
  <c r="Z563" i="16"/>
  <c r="Y563" i="16"/>
  <c r="G563" i="16"/>
  <c r="G562" i="16" s="1"/>
  <c r="X563" i="16"/>
  <c r="W563" i="16"/>
  <c r="P563" i="16"/>
  <c r="O563" i="16"/>
  <c r="N563" i="16"/>
  <c r="K563" i="16"/>
  <c r="J563" i="16"/>
  <c r="G1208" i="17" s="1"/>
  <c r="H563" i="16"/>
  <c r="F563" i="16"/>
  <c r="AC561" i="16"/>
  <c r="B1179" i="17"/>
  <c r="AB561" i="16"/>
  <c r="AA561" i="16"/>
  <c r="I561" i="16"/>
  <c r="Z561" i="16"/>
  <c r="Y561" i="16"/>
  <c r="G561" i="16"/>
  <c r="H1179" i="17" s="1"/>
  <c r="K1179" i="17" s="1"/>
  <c r="X561" i="16"/>
  <c r="F561" i="16"/>
  <c r="F1179" i="17" s="1"/>
  <c r="W561" i="16"/>
  <c r="P561" i="16"/>
  <c r="O561" i="16"/>
  <c r="N561" i="16"/>
  <c r="K561" i="16"/>
  <c r="J561" i="16"/>
  <c r="H561" i="16"/>
  <c r="L561" i="16" s="1"/>
  <c r="AC559" i="16"/>
  <c r="B1178" i="17"/>
  <c r="AB559" i="16"/>
  <c r="AA559" i="16"/>
  <c r="I559" i="16"/>
  <c r="J1178" i="17" s="1"/>
  <c r="Z559" i="16"/>
  <c r="Y559" i="16"/>
  <c r="G559" i="16"/>
  <c r="X559" i="16"/>
  <c r="F559" i="16"/>
  <c r="F558" i="16" s="1"/>
  <c r="W559" i="16"/>
  <c r="P559" i="16"/>
  <c r="O559" i="16"/>
  <c r="N559" i="16"/>
  <c r="K559" i="16"/>
  <c r="J559" i="16"/>
  <c r="H559" i="16"/>
  <c r="AC557" i="16"/>
  <c r="B1177" i="17"/>
  <c r="AB557" i="16"/>
  <c r="H557" i="16"/>
  <c r="I1177" i="17" s="1"/>
  <c r="AA557" i="16"/>
  <c r="I557" i="16"/>
  <c r="Z557" i="16"/>
  <c r="Y557" i="16"/>
  <c r="X557" i="16"/>
  <c r="W557" i="16"/>
  <c r="P557" i="16"/>
  <c r="O557" i="16"/>
  <c r="N557" i="16"/>
  <c r="K557" i="16"/>
  <c r="J557" i="16"/>
  <c r="G557" i="16"/>
  <c r="G556" i="16" s="1"/>
  <c r="F557" i="16"/>
  <c r="AC555" i="16"/>
  <c r="B1176" i="17"/>
  <c r="AB555" i="16"/>
  <c r="AA555" i="16"/>
  <c r="I555" i="16"/>
  <c r="Z555" i="16"/>
  <c r="Y555" i="16"/>
  <c r="G555" i="16"/>
  <c r="X555" i="16"/>
  <c r="W555" i="16"/>
  <c r="P555" i="16"/>
  <c r="O555" i="16"/>
  <c r="N555" i="16"/>
  <c r="K555" i="16"/>
  <c r="J555" i="16"/>
  <c r="G1176" i="17" s="1"/>
  <c r="H555" i="16"/>
  <c r="F555" i="16"/>
  <c r="AC553" i="16"/>
  <c r="AB553" i="16"/>
  <c r="H553" i="16"/>
  <c r="AA553" i="16"/>
  <c r="I553" i="16"/>
  <c r="Z553" i="16"/>
  <c r="J553" i="16"/>
  <c r="G1175" i="17" s="1"/>
  <c r="Y553" i="16"/>
  <c r="X553" i="16"/>
  <c r="F553" i="16"/>
  <c r="W553" i="16"/>
  <c r="P553" i="16"/>
  <c r="O553" i="16"/>
  <c r="N553" i="16"/>
  <c r="K553" i="16"/>
  <c r="G553" i="16"/>
  <c r="AC551" i="16"/>
  <c r="B1174" i="17"/>
  <c r="AB551" i="16"/>
  <c r="AA551" i="16"/>
  <c r="I551" i="16"/>
  <c r="I550" i="16" s="1"/>
  <c r="Z551" i="16"/>
  <c r="J551" i="16"/>
  <c r="Y551" i="16"/>
  <c r="X551" i="16"/>
  <c r="F551" i="16"/>
  <c r="F1174" i="17" s="1"/>
  <c r="W551" i="16"/>
  <c r="V551" i="16"/>
  <c r="P551" i="16"/>
  <c r="O551" i="16"/>
  <c r="N551" i="16"/>
  <c r="K551" i="16"/>
  <c r="H551" i="16"/>
  <c r="I1174" i="17" s="1"/>
  <c r="G551" i="16"/>
  <c r="G550" i="16" s="1"/>
  <c r="D551" i="16"/>
  <c r="Q551" i="16"/>
  <c r="A547" i="16"/>
  <c r="AC541" i="16"/>
  <c r="B1145" i="17"/>
  <c r="AB541" i="16"/>
  <c r="AA541" i="16"/>
  <c r="Z541" i="16"/>
  <c r="Y541" i="16"/>
  <c r="G541" i="16"/>
  <c r="X541" i="16"/>
  <c r="W541" i="16"/>
  <c r="C1145" i="17"/>
  <c r="P541" i="16"/>
  <c r="O541" i="16"/>
  <c r="N541" i="16"/>
  <c r="K541" i="16"/>
  <c r="J541" i="16"/>
  <c r="I541" i="16"/>
  <c r="H541" i="16"/>
  <c r="I1145" i="17" s="1"/>
  <c r="F541" i="16"/>
  <c r="F1145" i="17" s="1"/>
  <c r="D541" i="16"/>
  <c r="Q541" i="16"/>
  <c r="B540" i="16"/>
  <c r="B541" i="16"/>
  <c r="AC539" i="16"/>
  <c r="B1144" i="17"/>
  <c r="AB539" i="16"/>
  <c r="AA539" i="16"/>
  <c r="I539" i="16"/>
  <c r="Z539" i="16"/>
  <c r="Y539" i="16"/>
  <c r="G539" i="16"/>
  <c r="X539" i="16"/>
  <c r="W539" i="16"/>
  <c r="P539" i="16"/>
  <c r="O539" i="16"/>
  <c r="N539" i="16"/>
  <c r="K539" i="16"/>
  <c r="J539" i="16"/>
  <c r="G1144" i="17" s="1"/>
  <c r="H539" i="16"/>
  <c r="I1144" i="17" s="1"/>
  <c r="F539" i="16"/>
  <c r="F538" i="16" s="1"/>
  <c r="D539" i="16"/>
  <c r="Q539" i="16"/>
  <c r="AC537" i="16"/>
  <c r="B1143" i="17"/>
  <c r="AB537" i="16"/>
  <c r="AA537" i="16"/>
  <c r="I537" i="16"/>
  <c r="Z537" i="16"/>
  <c r="Y537" i="16"/>
  <c r="G537" i="16"/>
  <c r="S537" i="16" s="1"/>
  <c r="X537" i="16"/>
  <c r="W537" i="16"/>
  <c r="P537" i="16"/>
  <c r="O537" i="16"/>
  <c r="N537" i="16"/>
  <c r="K537" i="16"/>
  <c r="J537" i="16"/>
  <c r="G1143" i="17" s="1"/>
  <c r="H537" i="16"/>
  <c r="I1143" i="17" s="1"/>
  <c r="F537" i="16"/>
  <c r="F536" i="16" s="1"/>
  <c r="D537" i="16"/>
  <c r="Q537" i="16"/>
  <c r="AC535" i="16"/>
  <c r="AB535" i="16"/>
  <c r="AA535" i="16"/>
  <c r="Z535" i="16"/>
  <c r="Y535" i="16"/>
  <c r="G535" i="16"/>
  <c r="G534" i="16" s="1"/>
  <c r="X535" i="16"/>
  <c r="F535" i="16"/>
  <c r="W535" i="16"/>
  <c r="C1142" i="17"/>
  <c r="P535" i="16"/>
  <c r="O535" i="16"/>
  <c r="N535" i="16"/>
  <c r="K535" i="16"/>
  <c r="J535" i="16"/>
  <c r="I535" i="16"/>
  <c r="H535" i="16"/>
  <c r="I1142" i="17" s="1"/>
  <c r="B534" i="16"/>
  <c r="B535" i="16"/>
  <c r="AC533" i="16"/>
  <c r="B1141" i="17"/>
  <c r="AB533" i="16"/>
  <c r="AA533" i="16"/>
  <c r="Z533" i="16"/>
  <c r="Y533" i="16"/>
  <c r="G533" i="16"/>
  <c r="X533" i="16"/>
  <c r="F533" i="16"/>
  <c r="W533" i="16"/>
  <c r="C1141" i="17"/>
  <c r="P533" i="16"/>
  <c r="O533" i="16"/>
  <c r="N533" i="16"/>
  <c r="K533" i="16"/>
  <c r="J533" i="16"/>
  <c r="I533" i="16"/>
  <c r="H533" i="16"/>
  <c r="I1141" i="17" s="1"/>
  <c r="D533" i="16"/>
  <c r="Q533" i="16"/>
  <c r="B532" i="16"/>
  <c r="B533" i="16"/>
  <c r="AC531" i="16"/>
  <c r="B1140" i="17"/>
  <c r="AB531" i="16"/>
  <c r="AA531" i="16"/>
  <c r="I531" i="16"/>
  <c r="J1140" i="17" s="1"/>
  <c r="Z531" i="16"/>
  <c r="Y531" i="16"/>
  <c r="G531" i="16"/>
  <c r="S531" i="16" s="1"/>
  <c r="X531" i="16"/>
  <c r="W531" i="16"/>
  <c r="P531" i="16"/>
  <c r="O531" i="16"/>
  <c r="N531" i="16"/>
  <c r="K531" i="16"/>
  <c r="J531" i="16"/>
  <c r="H531" i="16"/>
  <c r="I1140" i="17" s="1"/>
  <c r="F531" i="16"/>
  <c r="D531" i="16"/>
  <c r="Q531" i="16"/>
  <c r="AC529" i="16"/>
  <c r="B1111" i="17"/>
  <c r="AB529" i="16"/>
  <c r="H529" i="16"/>
  <c r="AA529" i="16"/>
  <c r="I529" i="16"/>
  <c r="Z529" i="16"/>
  <c r="Y529" i="16"/>
  <c r="G529" i="16"/>
  <c r="S529" i="16" s="1"/>
  <c r="X529" i="16"/>
  <c r="W529" i="16"/>
  <c r="P529" i="16"/>
  <c r="O529" i="16"/>
  <c r="N529" i="16"/>
  <c r="K529" i="16"/>
  <c r="J529" i="16"/>
  <c r="G1111" i="17" s="1"/>
  <c r="F529" i="16"/>
  <c r="D529" i="16"/>
  <c r="Q529" i="16"/>
  <c r="AC527" i="16"/>
  <c r="AB527" i="16"/>
  <c r="AA527" i="16"/>
  <c r="Z527" i="16"/>
  <c r="Y527" i="16"/>
  <c r="G527" i="16"/>
  <c r="S527" i="16" s="1"/>
  <c r="X527" i="16"/>
  <c r="F527" i="16"/>
  <c r="F1110" i="17" s="1"/>
  <c r="W527" i="16"/>
  <c r="C1110" i="17"/>
  <c r="P527" i="16"/>
  <c r="O527" i="16"/>
  <c r="N527" i="16"/>
  <c r="K527" i="16"/>
  <c r="J527" i="16"/>
  <c r="I527" i="16"/>
  <c r="J1110" i="17" s="1"/>
  <c r="H527" i="16"/>
  <c r="I1110" i="17" s="1"/>
  <c r="B526" i="16"/>
  <c r="B527" i="16"/>
  <c r="AC525" i="16"/>
  <c r="B1109" i="17"/>
  <c r="AB525" i="16"/>
  <c r="AA525" i="16"/>
  <c r="Z525" i="16"/>
  <c r="Y525" i="16"/>
  <c r="G525" i="16"/>
  <c r="S525" i="16" s="1"/>
  <c r="X525" i="16"/>
  <c r="F525" i="16"/>
  <c r="W525" i="16"/>
  <c r="C1109" i="17"/>
  <c r="P525" i="16"/>
  <c r="O525" i="16"/>
  <c r="N525" i="16"/>
  <c r="K525" i="16"/>
  <c r="J525" i="16"/>
  <c r="I525" i="16"/>
  <c r="H525" i="16"/>
  <c r="B524" i="16"/>
  <c r="B525" i="16"/>
  <c r="AC523" i="16"/>
  <c r="B1108" i="17"/>
  <c r="AB523" i="16"/>
  <c r="AA523" i="16"/>
  <c r="I523" i="16"/>
  <c r="Z523" i="16"/>
  <c r="Y523" i="16"/>
  <c r="G523" i="16"/>
  <c r="X523" i="16"/>
  <c r="W523" i="16"/>
  <c r="C1108" i="17"/>
  <c r="P523" i="16"/>
  <c r="O523" i="16"/>
  <c r="N523" i="16"/>
  <c r="K523" i="16"/>
  <c r="J523" i="16"/>
  <c r="G1108" i="17" s="1"/>
  <c r="H523" i="16"/>
  <c r="I1108" i="17" s="1"/>
  <c r="F523" i="16"/>
  <c r="D523" i="16"/>
  <c r="Q523" i="16"/>
  <c r="B522" i="16"/>
  <c r="B523" i="16"/>
  <c r="AC521" i="16"/>
  <c r="B1107" i="17"/>
  <c r="AB521" i="16"/>
  <c r="AA521" i="16"/>
  <c r="I521" i="16"/>
  <c r="I520" i="16" s="1"/>
  <c r="Z521" i="16"/>
  <c r="Y521" i="16"/>
  <c r="G521" i="16"/>
  <c r="S521" i="16" s="1"/>
  <c r="X521" i="16"/>
  <c r="W521" i="16"/>
  <c r="P521" i="16"/>
  <c r="O521" i="16"/>
  <c r="N521" i="16"/>
  <c r="K521" i="16"/>
  <c r="J521" i="16"/>
  <c r="H521" i="16"/>
  <c r="I1107" i="17" s="1"/>
  <c r="F521" i="16"/>
  <c r="D521" i="16"/>
  <c r="Q521" i="16"/>
  <c r="AC519" i="16"/>
  <c r="AB519" i="16"/>
  <c r="H519" i="16"/>
  <c r="I1106" i="17" s="1"/>
  <c r="AA519" i="16"/>
  <c r="Z519" i="16"/>
  <c r="Y519" i="16"/>
  <c r="G519" i="16"/>
  <c r="G518" i="16" s="1"/>
  <c r="X519" i="16"/>
  <c r="F519" i="16"/>
  <c r="W519" i="16"/>
  <c r="C1106" i="17"/>
  <c r="V519" i="16"/>
  <c r="A515" i="16"/>
  <c r="P519" i="16"/>
  <c r="O519" i="16"/>
  <c r="N519" i="16"/>
  <c r="K519" i="16"/>
  <c r="J519" i="16"/>
  <c r="I519" i="16"/>
  <c r="AC509" i="16"/>
  <c r="B1077" i="17"/>
  <c r="AB509" i="16"/>
  <c r="H509" i="16"/>
  <c r="I1077" i="17" s="1"/>
  <c r="AA509" i="16"/>
  <c r="I509" i="16"/>
  <c r="Z509" i="16"/>
  <c r="Y509" i="16"/>
  <c r="G509" i="16"/>
  <c r="H1077" i="17" s="1"/>
  <c r="K1077" i="17" s="1"/>
  <c r="X509" i="16"/>
  <c r="F509" i="16"/>
  <c r="F1077" i="17" s="1"/>
  <c r="W509" i="16"/>
  <c r="C1077" i="17"/>
  <c r="P509" i="16"/>
  <c r="O509" i="16"/>
  <c r="N509" i="16"/>
  <c r="K509" i="16"/>
  <c r="J509" i="16"/>
  <c r="D509" i="16"/>
  <c r="Q509" i="16"/>
  <c r="AC507" i="16"/>
  <c r="B1076" i="17"/>
  <c r="AB507" i="16"/>
  <c r="H507" i="16"/>
  <c r="I1076" i="17" s="1"/>
  <c r="AA507" i="16"/>
  <c r="I507" i="16"/>
  <c r="J1076" i="17" s="1"/>
  <c r="Z507" i="16"/>
  <c r="Y507" i="16"/>
  <c r="G507" i="16"/>
  <c r="G506" i="16" s="1"/>
  <c r="X507" i="16"/>
  <c r="F507" i="16"/>
  <c r="W507" i="16"/>
  <c r="C1076" i="17"/>
  <c r="P507" i="16"/>
  <c r="O507" i="16"/>
  <c r="N507" i="16"/>
  <c r="K507" i="16"/>
  <c r="J507" i="16"/>
  <c r="D507" i="16"/>
  <c r="Q507" i="16"/>
  <c r="AC505" i="16"/>
  <c r="B1075" i="17"/>
  <c r="AB505" i="16"/>
  <c r="H505" i="16"/>
  <c r="I1075" i="17" s="1"/>
  <c r="AA505" i="16"/>
  <c r="I505" i="16"/>
  <c r="J1075" i="17" s="1"/>
  <c r="Z505" i="16"/>
  <c r="Y505" i="16"/>
  <c r="G505" i="16"/>
  <c r="H1075" i="17" s="1"/>
  <c r="K1075" i="17" s="1"/>
  <c r="X505" i="16"/>
  <c r="F505" i="16"/>
  <c r="F1075" i="17" s="1"/>
  <c r="W505" i="16"/>
  <c r="C1075" i="17"/>
  <c r="P505" i="16"/>
  <c r="O505" i="16"/>
  <c r="N505" i="16"/>
  <c r="K505" i="16"/>
  <c r="J505" i="16"/>
  <c r="D505" i="16"/>
  <c r="Q505" i="16"/>
  <c r="AC503" i="16"/>
  <c r="B1074" i="17"/>
  <c r="AB503" i="16"/>
  <c r="H503" i="16"/>
  <c r="AA503" i="16"/>
  <c r="I503" i="16"/>
  <c r="Z503" i="16"/>
  <c r="Y503" i="16"/>
  <c r="G503" i="16"/>
  <c r="X503" i="16"/>
  <c r="F503" i="16"/>
  <c r="F1074" i="17" s="1"/>
  <c r="W503" i="16"/>
  <c r="C1074" i="17"/>
  <c r="P503" i="16"/>
  <c r="O503" i="16"/>
  <c r="N503" i="16"/>
  <c r="K503" i="16"/>
  <c r="J503" i="16"/>
  <c r="D503" i="16"/>
  <c r="Q503" i="16"/>
  <c r="AC501" i="16"/>
  <c r="AB501" i="16"/>
  <c r="AA501" i="16"/>
  <c r="I501" i="16"/>
  <c r="J1073" i="17" s="1"/>
  <c r="Z501" i="16"/>
  <c r="Y501" i="16"/>
  <c r="G501" i="16"/>
  <c r="S501" i="16" s="1"/>
  <c r="X501" i="16"/>
  <c r="W501" i="16"/>
  <c r="C1073" i="17"/>
  <c r="P501" i="16"/>
  <c r="O501" i="16"/>
  <c r="N501" i="16"/>
  <c r="K501" i="16"/>
  <c r="J501" i="16"/>
  <c r="G1073" i="17" s="1"/>
  <c r="H501" i="16"/>
  <c r="L501" i="16" s="1"/>
  <c r="F501" i="16"/>
  <c r="AC499" i="16"/>
  <c r="AB499" i="16"/>
  <c r="AA499" i="16"/>
  <c r="I499" i="16"/>
  <c r="Z499" i="16"/>
  <c r="Y499" i="16"/>
  <c r="G499" i="16"/>
  <c r="H1072" i="17" s="1"/>
  <c r="K1072" i="17" s="1"/>
  <c r="X499" i="16"/>
  <c r="W499" i="16"/>
  <c r="C1072" i="17"/>
  <c r="P499" i="16"/>
  <c r="O499" i="16"/>
  <c r="N499" i="16"/>
  <c r="K499" i="16"/>
  <c r="J499" i="16"/>
  <c r="G1072" i="17" s="1"/>
  <c r="H499" i="16"/>
  <c r="L499" i="16" s="1"/>
  <c r="F499" i="16"/>
  <c r="AC497" i="16"/>
  <c r="AB497" i="16"/>
  <c r="AA497" i="16"/>
  <c r="I497" i="16"/>
  <c r="J1043" i="17" s="1"/>
  <c r="Z497" i="16"/>
  <c r="Y497" i="16"/>
  <c r="G497" i="16"/>
  <c r="G496" i="16" s="1"/>
  <c r="X497" i="16"/>
  <c r="W497" i="16"/>
  <c r="C1043" i="17"/>
  <c r="P497" i="16"/>
  <c r="O497" i="16"/>
  <c r="N497" i="16"/>
  <c r="K497" i="16"/>
  <c r="J497" i="16"/>
  <c r="G1043" i="17" s="1"/>
  <c r="H497" i="16"/>
  <c r="F497" i="16"/>
  <c r="AC495" i="16"/>
  <c r="AB495" i="16"/>
  <c r="AA495" i="16"/>
  <c r="I495" i="16"/>
  <c r="J1042" i="17" s="1"/>
  <c r="Z495" i="16"/>
  <c r="Y495" i="16"/>
  <c r="G495" i="16"/>
  <c r="X495" i="16"/>
  <c r="W495" i="16"/>
  <c r="C1042" i="17"/>
  <c r="P495" i="16"/>
  <c r="O495" i="16"/>
  <c r="N495" i="16"/>
  <c r="K495" i="16"/>
  <c r="J495" i="16"/>
  <c r="G1042" i="17" s="1"/>
  <c r="H495" i="16"/>
  <c r="I1042" i="17" s="1"/>
  <c r="F495" i="16"/>
  <c r="AC493" i="16"/>
  <c r="AB493" i="16"/>
  <c r="AA493" i="16"/>
  <c r="I493" i="16"/>
  <c r="Z493" i="16"/>
  <c r="Y493" i="16"/>
  <c r="G493" i="16"/>
  <c r="G492" i="16" s="1"/>
  <c r="X493" i="16"/>
  <c r="W493" i="16"/>
  <c r="C1041" i="17"/>
  <c r="P493" i="16"/>
  <c r="O493" i="16"/>
  <c r="N493" i="16"/>
  <c r="K493" i="16"/>
  <c r="J493" i="16"/>
  <c r="H493" i="16"/>
  <c r="L493" i="16" s="1"/>
  <c r="F493" i="16"/>
  <c r="AC491" i="16"/>
  <c r="AB491" i="16"/>
  <c r="AA491" i="16"/>
  <c r="I491" i="16"/>
  <c r="Z491" i="16"/>
  <c r="Y491" i="16"/>
  <c r="G491" i="16"/>
  <c r="H1040" i="17" s="1"/>
  <c r="K1040" i="17" s="1"/>
  <c r="X491" i="16"/>
  <c r="W491" i="16"/>
  <c r="C1040" i="17"/>
  <c r="P491" i="16"/>
  <c r="O491" i="16"/>
  <c r="N491" i="16"/>
  <c r="K491" i="16"/>
  <c r="J491" i="16"/>
  <c r="G1040" i="17" s="1"/>
  <c r="H491" i="16"/>
  <c r="L491" i="16" s="1"/>
  <c r="F491" i="16"/>
  <c r="AC489" i="16"/>
  <c r="AB489" i="16"/>
  <c r="AA489" i="16"/>
  <c r="I489" i="16"/>
  <c r="J1039" i="17" s="1"/>
  <c r="Z489" i="16"/>
  <c r="Y489" i="16"/>
  <c r="G489" i="16"/>
  <c r="X489" i="16"/>
  <c r="W489" i="16"/>
  <c r="C1039" i="17"/>
  <c r="P489" i="16"/>
  <c r="O489" i="16"/>
  <c r="N489" i="16"/>
  <c r="K489" i="16"/>
  <c r="J489" i="16"/>
  <c r="G1039" i="17" s="1"/>
  <c r="H489" i="16"/>
  <c r="F489" i="16"/>
  <c r="F1039" i="17" s="1"/>
  <c r="AC487" i="16"/>
  <c r="AB487" i="16"/>
  <c r="AA487" i="16"/>
  <c r="I487" i="16"/>
  <c r="Z487" i="16"/>
  <c r="Y487" i="16"/>
  <c r="G487" i="16"/>
  <c r="S487" i="16" s="1"/>
  <c r="X487" i="16"/>
  <c r="W487" i="16"/>
  <c r="C1038" i="17"/>
  <c r="V487" i="16"/>
  <c r="P487" i="16"/>
  <c r="O487" i="16"/>
  <c r="N487" i="16"/>
  <c r="K487" i="16"/>
  <c r="J487" i="16"/>
  <c r="G1038" i="17" s="1"/>
  <c r="H487" i="16"/>
  <c r="L487" i="16" s="1"/>
  <c r="F487" i="16"/>
  <c r="F1038" i="17" s="1"/>
  <c r="A483" i="16"/>
  <c r="AC477" i="16"/>
  <c r="B1009" i="17"/>
  <c r="AB477" i="16"/>
  <c r="H477" i="16"/>
  <c r="H476" i="16" s="1"/>
  <c r="AA477" i="16"/>
  <c r="I477" i="16"/>
  <c r="Z477" i="16"/>
  <c r="Y477" i="16"/>
  <c r="G477" i="16"/>
  <c r="S477" i="16" s="1"/>
  <c r="X477" i="16"/>
  <c r="W477" i="16"/>
  <c r="C1009" i="17"/>
  <c r="P477" i="16"/>
  <c r="O477" i="16"/>
  <c r="N477" i="16"/>
  <c r="K477" i="16"/>
  <c r="J477" i="16"/>
  <c r="G1009" i="17" s="1"/>
  <c r="F477" i="16"/>
  <c r="F1009" i="17" s="1"/>
  <c r="D477" i="16"/>
  <c r="Q477" i="16"/>
  <c r="AC475" i="16"/>
  <c r="B1008" i="17"/>
  <c r="AB475" i="16"/>
  <c r="AA475" i="16"/>
  <c r="I475" i="16"/>
  <c r="Z475" i="16"/>
  <c r="J475" i="16"/>
  <c r="Y475" i="16"/>
  <c r="G475" i="16"/>
  <c r="S475" i="16" s="1"/>
  <c r="X475" i="16"/>
  <c r="W475" i="16"/>
  <c r="C1008" i="17"/>
  <c r="P475" i="16"/>
  <c r="O475" i="16"/>
  <c r="N475" i="16"/>
  <c r="K475" i="16"/>
  <c r="H475" i="16"/>
  <c r="I1008" i="17" s="1"/>
  <c r="F475" i="16"/>
  <c r="D475" i="16"/>
  <c r="Q475" i="16"/>
  <c r="AC473" i="16"/>
  <c r="B1007" i="17"/>
  <c r="AB473" i="16"/>
  <c r="AA473" i="16"/>
  <c r="I473" i="16"/>
  <c r="Z473" i="16"/>
  <c r="J473" i="16"/>
  <c r="Y473" i="16"/>
  <c r="G473" i="16"/>
  <c r="S473" i="16" s="1"/>
  <c r="X473" i="16"/>
  <c r="W473" i="16"/>
  <c r="C1007" i="17"/>
  <c r="P473" i="16"/>
  <c r="O473" i="16"/>
  <c r="N473" i="16"/>
  <c r="K473" i="16"/>
  <c r="H473" i="16"/>
  <c r="I1007" i="17" s="1"/>
  <c r="F473" i="16"/>
  <c r="M473" i="16" s="1"/>
  <c r="D473" i="16"/>
  <c r="Q473" i="16"/>
  <c r="AC471" i="16"/>
  <c r="B1006" i="17"/>
  <c r="AB471" i="16"/>
  <c r="H471" i="16"/>
  <c r="AA471" i="16"/>
  <c r="I471" i="16"/>
  <c r="Z471" i="16"/>
  <c r="Y471" i="16"/>
  <c r="G471" i="16"/>
  <c r="S471" i="16" s="1"/>
  <c r="X471" i="16"/>
  <c r="F471" i="16"/>
  <c r="W471" i="16"/>
  <c r="C1006" i="17"/>
  <c r="P471" i="16"/>
  <c r="O471" i="16"/>
  <c r="N471" i="16"/>
  <c r="K471" i="16"/>
  <c r="J471" i="16"/>
  <c r="G1006" i="17" s="1"/>
  <c r="B470" i="16"/>
  <c r="B471" i="16"/>
  <c r="AC469" i="16"/>
  <c r="B1005" i="17"/>
  <c r="AB469" i="16"/>
  <c r="H469" i="16"/>
  <c r="AA469" i="16"/>
  <c r="Z469" i="16"/>
  <c r="Y469" i="16"/>
  <c r="G469" i="16"/>
  <c r="X469" i="16"/>
  <c r="W469" i="16"/>
  <c r="C1005" i="17"/>
  <c r="P469" i="16"/>
  <c r="O469" i="16"/>
  <c r="N469" i="16"/>
  <c r="K469" i="16"/>
  <c r="J469" i="16"/>
  <c r="G1005" i="17" s="1"/>
  <c r="I469" i="16"/>
  <c r="F469" i="16"/>
  <c r="B468" i="16"/>
  <c r="B469" i="16"/>
  <c r="AC467" i="16"/>
  <c r="B1004" i="17"/>
  <c r="AB467" i="16"/>
  <c r="AA467" i="16"/>
  <c r="Z467" i="16"/>
  <c r="J467" i="16"/>
  <c r="J466" i="16" s="1"/>
  <c r="Y467" i="16"/>
  <c r="G467" i="16"/>
  <c r="X467" i="16"/>
  <c r="W467" i="16"/>
  <c r="C1004" i="17"/>
  <c r="P467" i="16"/>
  <c r="O467" i="16"/>
  <c r="N467" i="16"/>
  <c r="K467" i="16"/>
  <c r="I467" i="16"/>
  <c r="H467" i="16"/>
  <c r="I1004" i="17" s="1"/>
  <c r="F467" i="16"/>
  <c r="B466" i="16"/>
  <c r="B467" i="16"/>
  <c r="AC465" i="16"/>
  <c r="B975" i="17"/>
  <c r="AB465" i="16"/>
  <c r="AA465" i="16"/>
  <c r="Z465" i="16"/>
  <c r="J465" i="16"/>
  <c r="G975" i="17" s="1"/>
  <c r="Y465" i="16"/>
  <c r="G465" i="16"/>
  <c r="X465" i="16"/>
  <c r="W465" i="16"/>
  <c r="C975" i="17"/>
  <c r="P465" i="16"/>
  <c r="O465" i="16"/>
  <c r="N465" i="16"/>
  <c r="K465" i="16"/>
  <c r="I465" i="16"/>
  <c r="J975" i="17" s="1"/>
  <c r="H465" i="16"/>
  <c r="I975" i="17" s="1"/>
  <c r="F465" i="16"/>
  <c r="F975" i="17" s="1"/>
  <c r="B464" i="16"/>
  <c r="B465" i="16"/>
  <c r="AC463" i="16"/>
  <c r="B974" i="17"/>
  <c r="AB463" i="16"/>
  <c r="H463" i="16"/>
  <c r="AA463" i="16"/>
  <c r="Z463" i="16"/>
  <c r="Y463" i="16"/>
  <c r="G463" i="16"/>
  <c r="X463" i="16"/>
  <c r="F463" i="16"/>
  <c r="W463" i="16"/>
  <c r="C974" i="17"/>
  <c r="P463" i="16"/>
  <c r="O463" i="16"/>
  <c r="N463" i="16"/>
  <c r="K463" i="16"/>
  <c r="J463" i="16"/>
  <c r="G974" i="17" s="1"/>
  <c r="I463" i="16"/>
  <c r="J974" i="17" s="1"/>
  <c r="B462" i="16"/>
  <c r="B463" i="16"/>
  <c r="AC461" i="16"/>
  <c r="B973" i="17"/>
  <c r="AB461" i="16"/>
  <c r="H461" i="16"/>
  <c r="AA461" i="16"/>
  <c r="Z461" i="16"/>
  <c r="Y461" i="16"/>
  <c r="G461" i="16"/>
  <c r="X461" i="16"/>
  <c r="W461" i="16"/>
  <c r="C973" i="17"/>
  <c r="P461" i="16"/>
  <c r="O461" i="16"/>
  <c r="N461" i="16"/>
  <c r="K461" i="16"/>
  <c r="J461" i="16"/>
  <c r="G973" i="17" s="1"/>
  <c r="I461" i="16"/>
  <c r="F461" i="16"/>
  <c r="F973" i="17" s="1"/>
  <c r="AC459" i="16"/>
  <c r="B972" i="17"/>
  <c r="AB459" i="16"/>
  <c r="AA459" i="16"/>
  <c r="I459" i="16"/>
  <c r="Z459" i="16"/>
  <c r="J459" i="16"/>
  <c r="J458" i="16" s="1"/>
  <c r="Y459" i="16"/>
  <c r="G459" i="16"/>
  <c r="S459" i="16" s="1"/>
  <c r="X459" i="16"/>
  <c r="W459" i="16"/>
  <c r="C972" i="17"/>
  <c r="P459" i="16"/>
  <c r="O459" i="16"/>
  <c r="N459" i="16"/>
  <c r="K459" i="16"/>
  <c r="H459" i="16"/>
  <c r="I972" i="17" s="1"/>
  <c r="F459" i="16"/>
  <c r="AC457" i="16"/>
  <c r="B971" i="17"/>
  <c r="AB457" i="16"/>
  <c r="AA457" i="16"/>
  <c r="I457" i="16"/>
  <c r="Z457" i="16"/>
  <c r="J457" i="16"/>
  <c r="Y457" i="16"/>
  <c r="G457" i="16"/>
  <c r="S457" i="16" s="1"/>
  <c r="X457" i="16"/>
  <c r="W457" i="16"/>
  <c r="C971" i="17"/>
  <c r="P457" i="16"/>
  <c r="O457" i="16"/>
  <c r="N457" i="16"/>
  <c r="K457" i="16"/>
  <c r="H457" i="16"/>
  <c r="I971" i="17" s="1"/>
  <c r="F457" i="16"/>
  <c r="AC455" i="16"/>
  <c r="B970" i="17"/>
  <c r="AB455" i="16"/>
  <c r="H455" i="16"/>
  <c r="I970" i="17" s="1"/>
  <c r="AA455" i="16"/>
  <c r="Z455" i="16"/>
  <c r="J455" i="16"/>
  <c r="J454" i="16" s="1"/>
  <c r="Y455" i="16"/>
  <c r="G455" i="16"/>
  <c r="H970" i="17" s="1"/>
  <c r="K970" i="17" s="1"/>
  <c r="X455" i="16"/>
  <c r="F455" i="16"/>
  <c r="W455" i="16"/>
  <c r="C970" i="17"/>
  <c r="V455" i="16"/>
  <c r="A451" i="16"/>
  <c r="P455" i="16"/>
  <c r="O455" i="16"/>
  <c r="N455" i="16"/>
  <c r="K455" i="16"/>
  <c r="I455" i="16"/>
  <c r="I454" i="16" s="1"/>
  <c r="B454" i="16"/>
  <c r="B455" i="16"/>
  <c r="AC445" i="16"/>
  <c r="AB445" i="16"/>
  <c r="AA445" i="16"/>
  <c r="Z445" i="16"/>
  <c r="Y445" i="16"/>
  <c r="G445" i="16"/>
  <c r="G444" i="16" s="1"/>
  <c r="X445" i="16"/>
  <c r="F445" i="16"/>
  <c r="W445" i="16"/>
  <c r="C941" i="17"/>
  <c r="P445" i="16"/>
  <c r="O445" i="16"/>
  <c r="N445" i="16"/>
  <c r="K445" i="16"/>
  <c r="J445" i="16"/>
  <c r="G941" i="17" s="1"/>
  <c r="I445" i="16"/>
  <c r="J941" i="17" s="1"/>
  <c r="H445" i="16"/>
  <c r="AC443" i="16"/>
  <c r="AB443" i="16"/>
  <c r="AA443" i="16"/>
  <c r="I443" i="16"/>
  <c r="J940" i="17" s="1"/>
  <c r="Z443" i="16"/>
  <c r="Y443" i="16"/>
  <c r="X443" i="16"/>
  <c r="F443" i="16"/>
  <c r="F442" i="16" s="1"/>
  <c r="W443" i="16"/>
  <c r="C940" i="17"/>
  <c r="P443" i="16"/>
  <c r="O443" i="16"/>
  <c r="N443" i="16"/>
  <c r="K443" i="16"/>
  <c r="J443" i="16"/>
  <c r="H443" i="16"/>
  <c r="H442" i="16" s="1"/>
  <c r="G443" i="16"/>
  <c r="AC441" i="16"/>
  <c r="AB441" i="16"/>
  <c r="AA441" i="16"/>
  <c r="I441" i="16"/>
  <c r="Z441" i="16"/>
  <c r="Y441" i="16"/>
  <c r="X441" i="16"/>
  <c r="F441" i="16"/>
  <c r="F939" i="17" s="1"/>
  <c r="W441" i="16"/>
  <c r="C939" i="17"/>
  <c r="P441" i="16"/>
  <c r="O441" i="16"/>
  <c r="N441" i="16"/>
  <c r="K441" i="16"/>
  <c r="J441" i="16"/>
  <c r="G939" i="17" s="1"/>
  <c r="H441" i="16"/>
  <c r="L441" i="16" s="1"/>
  <c r="G441" i="16"/>
  <c r="AC439" i="16"/>
  <c r="AB439" i="16"/>
  <c r="AA439" i="16"/>
  <c r="Z439" i="16"/>
  <c r="Y439" i="16"/>
  <c r="G439" i="16"/>
  <c r="G438" i="16" s="1"/>
  <c r="X439" i="16"/>
  <c r="F439" i="16"/>
  <c r="F438" i="16" s="1"/>
  <c r="W439" i="16"/>
  <c r="C938" i="17"/>
  <c r="P439" i="16"/>
  <c r="O439" i="16"/>
  <c r="N439" i="16"/>
  <c r="K439" i="16"/>
  <c r="J439" i="16"/>
  <c r="I439" i="16"/>
  <c r="H439" i="16"/>
  <c r="B438" i="16"/>
  <c r="B439" i="16"/>
  <c r="AC437" i="16"/>
  <c r="AB437" i="16"/>
  <c r="AA437" i="16"/>
  <c r="Z437" i="16"/>
  <c r="Y437" i="16"/>
  <c r="G437" i="16"/>
  <c r="X437" i="16"/>
  <c r="F437" i="16"/>
  <c r="W437" i="16"/>
  <c r="C937" i="17"/>
  <c r="P437" i="16"/>
  <c r="O437" i="16"/>
  <c r="N437" i="16"/>
  <c r="K437" i="16"/>
  <c r="J437" i="16"/>
  <c r="G937" i="17" s="1"/>
  <c r="I437" i="16"/>
  <c r="H437" i="16"/>
  <c r="I937" i="17" s="1"/>
  <c r="AC435" i="16"/>
  <c r="AB435" i="16"/>
  <c r="AA435" i="16"/>
  <c r="Z435" i="16"/>
  <c r="Y435" i="16"/>
  <c r="G435" i="16"/>
  <c r="G434" i="16" s="1"/>
  <c r="X435" i="16"/>
  <c r="F435" i="16"/>
  <c r="W435" i="16"/>
  <c r="C936" i="17"/>
  <c r="P435" i="16"/>
  <c r="O435" i="16"/>
  <c r="N435" i="16"/>
  <c r="K435" i="16"/>
  <c r="J435" i="16"/>
  <c r="J434" i="16" s="1"/>
  <c r="I435" i="16"/>
  <c r="J936" i="17" s="1"/>
  <c r="H435" i="16"/>
  <c r="B434" i="16"/>
  <c r="B435" i="16"/>
  <c r="AC433" i="16"/>
  <c r="AB433" i="16"/>
  <c r="AA433" i="16"/>
  <c r="Z433" i="16"/>
  <c r="Y433" i="16"/>
  <c r="G433" i="16"/>
  <c r="X433" i="16"/>
  <c r="F433" i="16"/>
  <c r="W433" i="16"/>
  <c r="C907" i="17"/>
  <c r="P433" i="16"/>
  <c r="O433" i="16"/>
  <c r="N433" i="16"/>
  <c r="K433" i="16"/>
  <c r="J433" i="16"/>
  <c r="I433" i="16"/>
  <c r="J907" i="17" s="1"/>
  <c r="H433" i="16"/>
  <c r="AC431" i="16"/>
  <c r="AB431" i="16"/>
  <c r="AA431" i="16"/>
  <c r="Z431" i="16"/>
  <c r="Y431" i="16"/>
  <c r="G431" i="16"/>
  <c r="G430" i="16" s="1"/>
  <c r="X431" i="16"/>
  <c r="F431" i="16"/>
  <c r="F430" i="16" s="1"/>
  <c r="W431" i="16"/>
  <c r="C906" i="17"/>
  <c r="P431" i="16"/>
  <c r="O431" i="16"/>
  <c r="N431" i="16"/>
  <c r="K431" i="16"/>
  <c r="J431" i="16"/>
  <c r="I431" i="16"/>
  <c r="H431" i="16"/>
  <c r="B430" i="16"/>
  <c r="B431" i="16"/>
  <c r="AC429" i="16"/>
  <c r="AB429" i="16"/>
  <c r="AA429" i="16"/>
  <c r="Z429" i="16"/>
  <c r="Y429" i="16"/>
  <c r="G429" i="16"/>
  <c r="X429" i="16"/>
  <c r="F429" i="16"/>
  <c r="W429" i="16"/>
  <c r="C905" i="17"/>
  <c r="P429" i="16"/>
  <c r="O429" i="16"/>
  <c r="N429" i="16"/>
  <c r="K429" i="16"/>
  <c r="J429" i="16"/>
  <c r="I429" i="16"/>
  <c r="H429" i="16"/>
  <c r="AC427" i="16"/>
  <c r="AB427" i="16"/>
  <c r="AA427" i="16"/>
  <c r="I427" i="16"/>
  <c r="Z427" i="16"/>
  <c r="Y427" i="16"/>
  <c r="X427" i="16"/>
  <c r="F427" i="16"/>
  <c r="F426" i="16" s="1"/>
  <c r="W427" i="16"/>
  <c r="C904" i="17"/>
  <c r="P427" i="16"/>
  <c r="O427" i="16"/>
  <c r="N427" i="16"/>
  <c r="K427" i="16"/>
  <c r="J427" i="16"/>
  <c r="G904" i="17" s="1"/>
  <c r="H427" i="16"/>
  <c r="G427" i="16"/>
  <c r="H904" i="17" s="1"/>
  <c r="K904" i="17" s="1"/>
  <c r="AC425" i="16"/>
  <c r="AB425" i="16"/>
  <c r="AA425" i="16"/>
  <c r="I425" i="16"/>
  <c r="Z425" i="16"/>
  <c r="Y425" i="16"/>
  <c r="X425" i="16"/>
  <c r="F425" i="16"/>
  <c r="W425" i="16"/>
  <c r="C903" i="17"/>
  <c r="P425" i="16"/>
  <c r="O425" i="16"/>
  <c r="N425" i="16"/>
  <c r="K425" i="16"/>
  <c r="J425" i="16"/>
  <c r="H425" i="16"/>
  <c r="G425" i="16"/>
  <c r="G424" i="16" s="1"/>
  <c r="AC423" i="16"/>
  <c r="B902" i="17"/>
  <c r="AB423" i="16"/>
  <c r="AA423" i="16"/>
  <c r="I423" i="16"/>
  <c r="J902" i="17" s="1"/>
  <c r="Z423" i="16"/>
  <c r="J423" i="16"/>
  <c r="Y423" i="16"/>
  <c r="G423" i="16"/>
  <c r="X423" i="16"/>
  <c r="W423" i="16"/>
  <c r="V423" i="16"/>
  <c r="A419" i="16"/>
  <c r="P423" i="16"/>
  <c r="O423" i="16"/>
  <c r="N423" i="16"/>
  <c r="K423" i="16"/>
  <c r="H423" i="16"/>
  <c r="F423" i="16"/>
  <c r="D423" i="16"/>
  <c r="Q423" i="16"/>
  <c r="AC413" i="16"/>
  <c r="B873" i="17"/>
  <c r="AB413" i="16"/>
  <c r="H413" i="16"/>
  <c r="H412" i="16" s="1"/>
  <c r="AA413" i="16"/>
  <c r="I413" i="16"/>
  <c r="Z413" i="16"/>
  <c r="Y413" i="16"/>
  <c r="X413" i="16"/>
  <c r="F413" i="16"/>
  <c r="W413" i="16"/>
  <c r="C873" i="17"/>
  <c r="P413" i="16"/>
  <c r="O413" i="16"/>
  <c r="N413" i="16"/>
  <c r="K413" i="16"/>
  <c r="J413" i="16"/>
  <c r="G873" i="17" s="1"/>
  <c r="G413" i="16"/>
  <c r="M413" i="16" s="1"/>
  <c r="D413" i="16"/>
  <c r="Q413" i="16"/>
  <c r="AC411" i="16"/>
  <c r="B872" i="17"/>
  <c r="AB411" i="16"/>
  <c r="H411" i="16"/>
  <c r="H410" i="16" s="1"/>
  <c r="AA411" i="16"/>
  <c r="I411" i="16"/>
  <c r="Z411" i="16"/>
  <c r="Y411" i="16"/>
  <c r="X411" i="16"/>
  <c r="F411" i="16"/>
  <c r="W411" i="16"/>
  <c r="C872" i="17"/>
  <c r="P411" i="16"/>
  <c r="O411" i="16"/>
  <c r="N411" i="16"/>
  <c r="K411" i="16"/>
  <c r="J411" i="16"/>
  <c r="G872" i="17" s="1"/>
  <c r="G411" i="16"/>
  <c r="AC409" i="16"/>
  <c r="B871" i="17"/>
  <c r="AB409" i="16"/>
  <c r="H409" i="16"/>
  <c r="AA409" i="16"/>
  <c r="I409" i="16"/>
  <c r="Z409" i="16"/>
  <c r="Y409" i="16"/>
  <c r="X409" i="16"/>
  <c r="F409" i="16"/>
  <c r="F871" i="17" s="1"/>
  <c r="W409" i="16"/>
  <c r="C871" i="17"/>
  <c r="P409" i="16"/>
  <c r="O409" i="16"/>
  <c r="N409" i="16"/>
  <c r="K409" i="16"/>
  <c r="J409" i="16"/>
  <c r="G871" i="17" s="1"/>
  <c r="G409" i="16"/>
  <c r="M409" i="16" s="1"/>
  <c r="D409" i="16"/>
  <c r="Q409" i="16"/>
  <c r="AC407" i="16"/>
  <c r="B870" i="17"/>
  <c r="AB407" i="16"/>
  <c r="H407" i="16"/>
  <c r="H406" i="16" s="1"/>
  <c r="AA407" i="16"/>
  <c r="I407" i="16"/>
  <c r="J870" i="17" s="1"/>
  <c r="Z407" i="16"/>
  <c r="Y407" i="16"/>
  <c r="X407" i="16"/>
  <c r="F407" i="16"/>
  <c r="F406" i="16" s="1"/>
  <c r="W407" i="16"/>
  <c r="C870" i="17"/>
  <c r="P407" i="16"/>
  <c r="O407" i="16"/>
  <c r="N407" i="16"/>
  <c r="K407" i="16"/>
  <c r="J407" i="16"/>
  <c r="G870" i="17" s="1"/>
  <c r="G407" i="16"/>
  <c r="AC405" i="16"/>
  <c r="B869" i="17"/>
  <c r="AB405" i="16"/>
  <c r="H405" i="16"/>
  <c r="AA405" i="16"/>
  <c r="I405" i="16"/>
  <c r="Z405" i="16"/>
  <c r="Y405" i="16"/>
  <c r="X405" i="16"/>
  <c r="F405" i="16"/>
  <c r="W405" i="16"/>
  <c r="C869" i="17"/>
  <c r="P405" i="16"/>
  <c r="O405" i="16"/>
  <c r="N405" i="16"/>
  <c r="K405" i="16"/>
  <c r="J405" i="16"/>
  <c r="G869" i="17" s="1"/>
  <c r="G405" i="16"/>
  <c r="M405" i="16" s="1"/>
  <c r="D405" i="16"/>
  <c r="Q405" i="16"/>
  <c r="AC403" i="16"/>
  <c r="B868" i="17"/>
  <c r="AB403" i="16"/>
  <c r="AA403" i="16"/>
  <c r="I403" i="16"/>
  <c r="J868" i="17" s="1"/>
  <c r="Z403" i="16"/>
  <c r="J403" i="16"/>
  <c r="G868" i="17" s="1"/>
  <c r="Y403" i="16"/>
  <c r="X403" i="16"/>
  <c r="W403" i="16"/>
  <c r="P403" i="16"/>
  <c r="O403" i="16"/>
  <c r="N403" i="16"/>
  <c r="K403" i="16"/>
  <c r="H403" i="16"/>
  <c r="G403" i="16"/>
  <c r="F403" i="16"/>
  <c r="F868" i="17" s="1"/>
  <c r="AC401" i="16"/>
  <c r="B839" i="17"/>
  <c r="AB401" i="16"/>
  <c r="AA401" i="16"/>
  <c r="I401" i="16"/>
  <c r="Z401" i="16"/>
  <c r="Y401" i="16"/>
  <c r="G401" i="16"/>
  <c r="G400" i="16" s="1"/>
  <c r="X401" i="16"/>
  <c r="F401" i="16"/>
  <c r="F839" i="17" s="1"/>
  <c r="W401" i="16"/>
  <c r="P401" i="16"/>
  <c r="O401" i="16"/>
  <c r="N401" i="16"/>
  <c r="K401" i="16"/>
  <c r="J401" i="16"/>
  <c r="H401" i="16"/>
  <c r="AC399" i="16"/>
  <c r="B838" i="17"/>
  <c r="AB399" i="16"/>
  <c r="H399" i="16"/>
  <c r="AA399" i="16"/>
  <c r="I399" i="16"/>
  <c r="I398" i="16" s="1"/>
  <c r="Z399" i="16"/>
  <c r="J399" i="16"/>
  <c r="G838" i="17" s="1"/>
  <c r="Y399" i="16"/>
  <c r="X399" i="16"/>
  <c r="W399" i="16"/>
  <c r="P399" i="16"/>
  <c r="O399" i="16"/>
  <c r="N399" i="16"/>
  <c r="K399" i="16"/>
  <c r="G399" i="16"/>
  <c r="F399" i="16"/>
  <c r="F838" i="17" s="1"/>
  <c r="AC397" i="16"/>
  <c r="B837" i="17"/>
  <c r="AB397" i="16"/>
  <c r="H397" i="16"/>
  <c r="I837" i="17" s="1"/>
  <c r="AA397" i="16"/>
  <c r="I397" i="16"/>
  <c r="Z397" i="16"/>
  <c r="Y397" i="16"/>
  <c r="X397" i="16"/>
  <c r="F397" i="16"/>
  <c r="F837" i="17" s="1"/>
  <c r="W397" i="16"/>
  <c r="P397" i="16"/>
  <c r="O397" i="16"/>
  <c r="N397" i="16"/>
  <c r="K397" i="16"/>
  <c r="J397" i="16"/>
  <c r="G837" i="17" s="1"/>
  <c r="G397" i="16"/>
  <c r="D397" i="16"/>
  <c r="Q397" i="16"/>
  <c r="AC395" i="16"/>
  <c r="B836" i="17"/>
  <c r="AB395" i="16"/>
  <c r="H395" i="16"/>
  <c r="AA395" i="16"/>
  <c r="I395" i="16"/>
  <c r="Z395" i="16"/>
  <c r="J395" i="16"/>
  <c r="Y395" i="16"/>
  <c r="X395" i="16"/>
  <c r="W395" i="16"/>
  <c r="P395" i="16"/>
  <c r="O395" i="16"/>
  <c r="N395" i="16"/>
  <c r="K395" i="16"/>
  <c r="G395" i="16"/>
  <c r="F395" i="16"/>
  <c r="F836" i="17" s="1"/>
  <c r="D395" i="16"/>
  <c r="Q395" i="16"/>
  <c r="AC393" i="16"/>
  <c r="B835" i="17"/>
  <c r="AB393" i="16"/>
  <c r="AA393" i="16"/>
  <c r="I393" i="16"/>
  <c r="Z393" i="16"/>
  <c r="Y393" i="16"/>
  <c r="G393" i="16"/>
  <c r="G392" i="16" s="1"/>
  <c r="X393" i="16"/>
  <c r="W393" i="16"/>
  <c r="P393" i="16"/>
  <c r="O393" i="16"/>
  <c r="N393" i="16"/>
  <c r="K393" i="16"/>
  <c r="J393" i="16"/>
  <c r="G835" i="17" s="1"/>
  <c r="H393" i="16"/>
  <c r="I835" i="17" s="1"/>
  <c r="F393" i="16"/>
  <c r="D393" i="16"/>
  <c r="Q393" i="16"/>
  <c r="AC391" i="16"/>
  <c r="B834" i="17"/>
  <c r="AB391" i="16"/>
  <c r="AA391" i="16"/>
  <c r="I391" i="16"/>
  <c r="I390" i="16" s="1"/>
  <c r="Z391" i="16"/>
  <c r="J391" i="16"/>
  <c r="G834" i="17" s="1"/>
  <c r="Y391" i="16"/>
  <c r="X391" i="16"/>
  <c r="F391" i="16"/>
  <c r="F834" i="17" s="1"/>
  <c r="W391" i="16"/>
  <c r="C834" i="17"/>
  <c r="V391" i="16"/>
  <c r="A387" i="16"/>
  <c r="P391" i="16"/>
  <c r="O391" i="16"/>
  <c r="N391" i="16"/>
  <c r="K391" i="16"/>
  <c r="H391" i="16"/>
  <c r="I834" i="17" s="1"/>
  <c r="G391" i="16"/>
  <c r="D391" i="16"/>
  <c r="Q391" i="16"/>
  <c r="AC381" i="16"/>
  <c r="AB381" i="16"/>
  <c r="H381" i="16"/>
  <c r="AA381" i="16"/>
  <c r="I381" i="16"/>
  <c r="J805" i="17" s="1"/>
  <c r="Z381" i="16"/>
  <c r="J381" i="16"/>
  <c r="Y381" i="16"/>
  <c r="X381" i="16"/>
  <c r="W381" i="16"/>
  <c r="C805" i="17"/>
  <c r="P381" i="16"/>
  <c r="O381" i="16"/>
  <c r="N381" i="16"/>
  <c r="K381" i="16"/>
  <c r="G381" i="16"/>
  <c r="F381" i="16"/>
  <c r="F805" i="17" s="1"/>
  <c r="AC379" i="16"/>
  <c r="AB379" i="16"/>
  <c r="H379" i="16"/>
  <c r="AA379" i="16"/>
  <c r="I379" i="16"/>
  <c r="J804" i="17" s="1"/>
  <c r="Z379" i="16"/>
  <c r="Y379" i="16"/>
  <c r="G379" i="16"/>
  <c r="X379" i="16"/>
  <c r="W379" i="16"/>
  <c r="C804" i="17"/>
  <c r="P379" i="16"/>
  <c r="O379" i="16"/>
  <c r="N379" i="16"/>
  <c r="K379" i="16"/>
  <c r="J379" i="16"/>
  <c r="G804" i="17" s="1"/>
  <c r="F379" i="16"/>
  <c r="F804" i="17" s="1"/>
  <c r="B378" i="16"/>
  <c r="B379" i="16"/>
  <c r="AC377" i="16"/>
  <c r="AB377" i="16"/>
  <c r="AA377" i="16"/>
  <c r="Z377" i="16"/>
  <c r="J377" i="16"/>
  <c r="G803" i="17" s="1"/>
  <c r="Y377" i="16"/>
  <c r="G377" i="16"/>
  <c r="X377" i="16"/>
  <c r="W377" i="16"/>
  <c r="C803" i="17"/>
  <c r="P377" i="16"/>
  <c r="O377" i="16"/>
  <c r="N377" i="16"/>
  <c r="K377" i="16"/>
  <c r="I377" i="16"/>
  <c r="J803" i="17" s="1"/>
  <c r="H377" i="16"/>
  <c r="F377" i="16"/>
  <c r="AC375" i="16"/>
  <c r="AB375" i="16"/>
  <c r="H375" i="16"/>
  <c r="AA375" i="16"/>
  <c r="I375" i="16"/>
  <c r="Z375" i="16"/>
  <c r="Y375" i="16"/>
  <c r="G375" i="16"/>
  <c r="S375" i="16" s="1"/>
  <c r="X375" i="16"/>
  <c r="W375" i="16"/>
  <c r="C802" i="17"/>
  <c r="P375" i="16"/>
  <c r="O375" i="16"/>
  <c r="N375" i="16"/>
  <c r="K375" i="16"/>
  <c r="J375" i="16"/>
  <c r="G802" i="17" s="1"/>
  <c r="F375" i="16"/>
  <c r="F802" i="17" s="1"/>
  <c r="AC373" i="16"/>
  <c r="AB373" i="16"/>
  <c r="H373" i="16"/>
  <c r="I801" i="17" s="1"/>
  <c r="AA373" i="16"/>
  <c r="I373" i="16"/>
  <c r="J801" i="17" s="1"/>
  <c r="Z373" i="16"/>
  <c r="J373" i="16"/>
  <c r="Y373" i="16"/>
  <c r="X373" i="16"/>
  <c r="W373" i="16"/>
  <c r="C801" i="17"/>
  <c r="P373" i="16"/>
  <c r="O373" i="16"/>
  <c r="N373" i="16"/>
  <c r="K373" i="16"/>
  <c r="G373" i="16"/>
  <c r="H801" i="17" s="1"/>
  <c r="K801" i="17" s="1"/>
  <c r="F373" i="16"/>
  <c r="F801" i="17" s="1"/>
  <c r="AC371" i="16"/>
  <c r="AB371" i="16"/>
  <c r="H371" i="16"/>
  <c r="I800" i="17" s="1"/>
  <c r="AA371" i="16"/>
  <c r="I371" i="16"/>
  <c r="J800" i="17" s="1"/>
  <c r="Z371" i="16"/>
  <c r="Y371" i="16"/>
  <c r="G371" i="16"/>
  <c r="S371" i="16" s="1"/>
  <c r="X371" i="16"/>
  <c r="W371" i="16"/>
  <c r="C800" i="17"/>
  <c r="P371" i="16"/>
  <c r="O371" i="16"/>
  <c r="N371" i="16"/>
  <c r="K371" i="16"/>
  <c r="J371" i="16"/>
  <c r="G800" i="17" s="1"/>
  <c r="F371" i="16"/>
  <c r="B370" i="16"/>
  <c r="B371" i="16"/>
  <c r="AC369" i="16"/>
  <c r="AB369" i="16"/>
  <c r="AA369" i="16"/>
  <c r="Z369" i="16"/>
  <c r="J369" i="16"/>
  <c r="Y369" i="16"/>
  <c r="G369" i="16"/>
  <c r="H771" i="17" s="1"/>
  <c r="K771" i="17" s="1"/>
  <c r="X369" i="16"/>
  <c r="W369" i="16"/>
  <c r="C771" i="17"/>
  <c r="P369" i="16"/>
  <c r="O369" i="16"/>
  <c r="N369" i="16"/>
  <c r="K369" i="16"/>
  <c r="I369" i="16"/>
  <c r="J771" i="17" s="1"/>
  <c r="H369" i="16"/>
  <c r="F369" i="16"/>
  <c r="AC367" i="16"/>
  <c r="AB367" i="16"/>
  <c r="H367" i="16"/>
  <c r="I770" i="17" s="1"/>
  <c r="AA367" i="16"/>
  <c r="I367" i="16"/>
  <c r="Z367" i="16"/>
  <c r="Y367" i="16"/>
  <c r="G367" i="16"/>
  <c r="X367" i="16"/>
  <c r="W367" i="16"/>
  <c r="C770" i="17"/>
  <c r="P367" i="16"/>
  <c r="O367" i="16"/>
  <c r="N367" i="16"/>
  <c r="K367" i="16"/>
  <c r="J367" i="16"/>
  <c r="G770" i="17" s="1"/>
  <c r="F367" i="16"/>
  <c r="AC365" i="16"/>
  <c r="AB365" i="16"/>
  <c r="H365" i="16"/>
  <c r="AA365" i="16"/>
  <c r="I365" i="16"/>
  <c r="J769" i="17" s="1"/>
  <c r="Z365" i="16"/>
  <c r="J365" i="16"/>
  <c r="J364" i="16" s="1"/>
  <c r="Y365" i="16"/>
  <c r="X365" i="16"/>
  <c r="W365" i="16"/>
  <c r="C769" i="17"/>
  <c r="P365" i="16"/>
  <c r="O365" i="16"/>
  <c r="N365" i="16"/>
  <c r="K365" i="16"/>
  <c r="G365" i="16"/>
  <c r="F365" i="16"/>
  <c r="F769" i="17" s="1"/>
  <c r="AC363" i="16"/>
  <c r="AB363" i="16"/>
  <c r="H363" i="16"/>
  <c r="AA363" i="16"/>
  <c r="I363" i="16"/>
  <c r="I362" i="16" s="1"/>
  <c r="Z363" i="16"/>
  <c r="Y363" i="16"/>
  <c r="G363" i="16"/>
  <c r="H768" i="17" s="1"/>
  <c r="K768" i="17" s="1"/>
  <c r="X363" i="16"/>
  <c r="W363" i="16"/>
  <c r="C768" i="17"/>
  <c r="P363" i="16"/>
  <c r="O363" i="16"/>
  <c r="N363" i="16"/>
  <c r="K363" i="16"/>
  <c r="J363" i="16"/>
  <c r="G768" i="17" s="1"/>
  <c r="F363" i="16"/>
  <c r="B362" i="16"/>
  <c r="B363" i="16"/>
  <c r="AC361" i="16"/>
  <c r="AB361" i="16"/>
  <c r="AA361" i="16"/>
  <c r="Z361" i="16"/>
  <c r="J361" i="16"/>
  <c r="G767" i="17" s="1"/>
  <c r="Y361" i="16"/>
  <c r="G361" i="16"/>
  <c r="X361" i="16"/>
  <c r="W361" i="16"/>
  <c r="C767" i="17"/>
  <c r="P361" i="16"/>
  <c r="O361" i="16"/>
  <c r="N361" i="16"/>
  <c r="K361" i="16"/>
  <c r="I361" i="16"/>
  <c r="J767" i="17" s="1"/>
  <c r="H361" i="16"/>
  <c r="I767" i="17" s="1"/>
  <c r="F361" i="16"/>
  <c r="F767" i="17" s="1"/>
  <c r="AC359" i="16"/>
  <c r="B766" i="17"/>
  <c r="AB359" i="16"/>
  <c r="AA359" i="16"/>
  <c r="I359" i="16"/>
  <c r="J766" i="17" s="1"/>
  <c r="Z359" i="16"/>
  <c r="J359" i="16"/>
  <c r="G766" i="17" s="1"/>
  <c r="Y359" i="16"/>
  <c r="X359" i="16"/>
  <c r="F359" i="16"/>
  <c r="W359" i="16"/>
  <c r="V359" i="16"/>
  <c r="P359" i="16"/>
  <c r="O359" i="16"/>
  <c r="N359" i="16"/>
  <c r="K359" i="16"/>
  <c r="H359" i="16"/>
  <c r="H358" i="16" s="1"/>
  <c r="G359" i="16"/>
  <c r="M359" i="16" s="1"/>
  <c r="A355" i="16"/>
  <c r="AC349" i="16"/>
  <c r="B737" i="17"/>
  <c r="AB349" i="16"/>
  <c r="AA349" i="16"/>
  <c r="Z349" i="16"/>
  <c r="Y349" i="16"/>
  <c r="G349" i="16"/>
  <c r="S349" i="16" s="1"/>
  <c r="X349" i="16"/>
  <c r="F349" i="16"/>
  <c r="W349" i="16"/>
  <c r="C737" i="17"/>
  <c r="P349" i="16"/>
  <c r="O349" i="16"/>
  <c r="N349" i="16"/>
  <c r="K349" i="16"/>
  <c r="J349" i="16"/>
  <c r="G737" i="17" s="1"/>
  <c r="I349" i="16"/>
  <c r="J737" i="17" s="1"/>
  <c r="H349" i="16"/>
  <c r="I737" i="17" s="1"/>
  <c r="B348" i="16"/>
  <c r="B349" i="16"/>
  <c r="AC347" i="16"/>
  <c r="B736" i="17"/>
  <c r="AB347" i="16"/>
  <c r="AA347" i="16"/>
  <c r="Z347" i="16"/>
  <c r="Y347" i="16"/>
  <c r="G347" i="16"/>
  <c r="X347" i="16"/>
  <c r="W347" i="16"/>
  <c r="C736" i="17"/>
  <c r="P347" i="16"/>
  <c r="O347" i="16"/>
  <c r="N347" i="16"/>
  <c r="K347" i="16"/>
  <c r="J347" i="16"/>
  <c r="G736" i="17" s="1"/>
  <c r="I347" i="16"/>
  <c r="I346" i="16" s="1"/>
  <c r="H347" i="16"/>
  <c r="I736" i="17" s="1"/>
  <c r="F347" i="16"/>
  <c r="F736" i="17" s="1"/>
  <c r="B346" i="16"/>
  <c r="B347" i="16"/>
  <c r="AC345" i="16"/>
  <c r="B735" i="17"/>
  <c r="AB345" i="16"/>
  <c r="AA345" i="16"/>
  <c r="I345" i="16"/>
  <c r="J735" i="17" s="1"/>
  <c r="Z345" i="16"/>
  <c r="Y345" i="16"/>
  <c r="G345" i="16"/>
  <c r="X345" i="16"/>
  <c r="W345" i="16"/>
  <c r="C735" i="17"/>
  <c r="P345" i="16"/>
  <c r="O345" i="16"/>
  <c r="N345" i="16"/>
  <c r="K345" i="16"/>
  <c r="J345" i="16"/>
  <c r="G735" i="17" s="1"/>
  <c r="H345" i="16"/>
  <c r="I735" i="17" s="1"/>
  <c r="F345" i="16"/>
  <c r="B344" i="16"/>
  <c r="B345" i="16"/>
  <c r="AC343" i="16"/>
  <c r="B734" i="17"/>
  <c r="AB343" i="16"/>
  <c r="AA343" i="16"/>
  <c r="I343" i="16"/>
  <c r="Z343" i="16"/>
  <c r="Y343" i="16"/>
  <c r="G343" i="16"/>
  <c r="X343" i="16"/>
  <c r="W343" i="16"/>
  <c r="C734" i="17"/>
  <c r="P343" i="16"/>
  <c r="O343" i="16"/>
  <c r="N343" i="16"/>
  <c r="K343" i="16"/>
  <c r="J343" i="16"/>
  <c r="H343" i="16"/>
  <c r="I734" i="17" s="1"/>
  <c r="F343" i="16"/>
  <c r="F734" i="17" s="1"/>
  <c r="B342" i="16"/>
  <c r="B343" i="16"/>
  <c r="AC341" i="16"/>
  <c r="B733" i="17"/>
  <c r="AB341" i="16"/>
  <c r="AA341" i="16"/>
  <c r="I341" i="16"/>
  <c r="J733" i="17" s="1"/>
  <c r="Z341" i="16"/>
  <c r="Y341" i="16"/>
  <c r="G341" i="16"/>
  <c r="H733" i="17" s="1"/>
  <c r="K733" i="17" s="1"/>
  <c r="X341" i="16"/>
  <c r="W341" i="16"/>
  <c r="C733" i="17"/>
  <c r="P341" i="16"/>
  <c r="O341" i="16"/>
  <c r="N341" i="16"/>
  <c r="K341" i="16"/>
  <c r="J341" i="16"/>
  <c r="H341" i="16"/>
  <c r="F341" i="16"/>
  <c r="B340" i="16"/>
  <c r="B341" i="16"/>
  <c r="AC339" i="16"/>
  <c r="B732" i="17"/>
  <c r="AB339" i="16"/>
  <c r="AA339" i="16"/>
  <c r="I339" i="16"/>
  <c r="Z339" i="16"/>
  <c r="Y339" i="16"/>
  <c r="G339" i="16"/>
  <c r="X339" i="16"/>
  <c r="W339" i="16"/>
  <c r="C732" i="17"/>
  <c r="P339" i="16"/>
  <c r="O339" i="16"/>
  <c r="N339" i="16"/>
  <c r="K339" i="16"/>
  <c r="J339" i="16"/>
  <c r="H339" i="16"/>
  <c r="F339" i="16"/>
  <c r="F732" i="17" s="1"/>
  <c r="B338" i="16"/>
  <c r="B339" i="16"/>
  <c r="AC337" i="16"/>
  <c r="B703" i="17"/>
  <c r="AB337" i="16"/>
  <c r="AA337" i="16"/>
  <c r="I337" i="16"/>
  <c r="Z337" i="16"/>
  <c r="Y337" i="16"/>
  <c r="G337" i="16"/>
  <c r="S337" i="16" s="1"/>
  <c r="X337" i="16"/>
  <c r="W337" i="16"/>
  <c r="C703" i="17"/>
  <c r="P337" i="16"/>
  <c r="O337" i="16"/>
  <c r="N337" i="16"/>
  <c r="K337" i="16"/>
  <c r="J337" i="16"/>
  <c r="H337" i="16"/>
  <c r="I703" i="17" s="1"/>
  <c r="F337" i="16"/>
  <c r="F703" i="17" s="1"/>
  <c r="B336" i="16"/>
  <c r="B337" i="16"/>
  <c r="AC335" i="16"/>
  <c r="B702" i="17"/>
  <c r="AB335" i="16"/>
  <c r="AA335" i="16"/>
  <c r="I335" i="16"/>
  <c r="J702" i="17" s="1"/>
  <c r="Z335" i="16"/>
  <c r="Y335" i="16"/>
  <c r="G335" i="16"/>
  <c r="G334" i="16" s="1"/>
  <c r="X335" i="16"/>
  <c r="W335" i="16"/>
  <c r="C702" i="17"/>
  <c r="P335" i="16"/>
  <c r="O335" i="16"/>
  <c r="N335" i="16"/>
  <c r="K335" i="16"/>
  <c r="J335" i="16"/>
  <c r="H335" i="16"/>
  <c r="F335" i="16"/>
  <c r="F702" i="17" s="1"/>
  <c r="B334" i="16"/>
  <c r="B335" i="16"/>
  <c r="AC333" i="16"/>
  <c r="B701" i="17"/>
  <c r="AB333" i="16"/>
  <c r="AA333" i="16"/>
  <c r="I333" i="16"/>
  <c r="J701" i="17" s="1"/>
  <c r="Z333" i="16"/>
  <c r="Y333" i="16"/>
  <c r="G333" i="16"/>
  <c r="S333" i="16" s="1"/>
  <c r="X333" i="16"/>
  <c r="W333" i="16"/>
  <c r="C701" i="17"/>
  <c r="P333" i="16"/>
  <c r="O333" i="16"/>
  <c r="N333" i="16"/>
  <c r="K333" i="16"/>
  <c r="J333" i="16"/>
  <c r="G701" i="17" s="1"/>
  <c r="H333" i="16"/>
  <c r="I701" i="17" s="1"/>
  <c r="F333" i="16"/>
  <c r="B332" i="16"/>
  <c r="B333" i="16"/>
  <c r="AC331" i="16"/>
  <c r="B700" i="17"/>
  <c r="AB331" i="16"/>
  <c r="AA331" i="16"/>
  <c r="I331" i="16"/>
  <c r="Z331" i="16"/>
  <c r="Y331" i="16"/>
  <c r="G331" i="16"/>
  <c r="X331" i="16"/>
  <c r="W331" i="16"/>
  <c r="C700" i="17"/>
  <c r="P331" i="16"/>
  <c r="O331" i="16"/>
  <c r="N331" i="16"/>
  <c r="K331" i="16"/>
  <c r="J331" i="16"/>
  <c r="H331" i="16"/>
  <c r="F331" i="16"/>
  <c r="F700" i="17" s="1"/>
  <c r="B330" i="16"/>
  <c r="B331" i="16"/>
  <c r="AC329" i="16"/>
  <c r="B699" i="17"/>
  <c r="AB329" i="16"/>
  <c r="AA329" i="16"/>
  <c r="I329" i="16"/>
  <c r="Z329" i="16"/>
  <c r="Y329" i="16"/>
  <c r="G329" i="16"/>
  <c r="X329" i="16"/>
  <c r="W329" i="16"/>
  <c r="C699" i="17"/>
  <c r="P329" i="16"/>
  <c r="O329" i="16"/>
  <c r="N329" i="16"/>
  <c r="K329" i="16"/>
  <c r="J329" i="16"/>
  <c r="H329" i="16"/>
  <c r="F329" i="16"/>
  <c r="F699" i="17" s="1"/>
  <c r="B328" i="16"/>
  <c r="B329" i="16"/>
  <c r="AC327" i="16"/>
  <c r="B698" i="17"/>
  <c r="AB327" i="16"/>
  <c r="AA327" i="16"/>
  <c r="I327" i="16"/>
  <c r="Z327" i="16"/>
  <c r="J327" i="16"/>
  <c r="G698" i="17" s="1"/>
  <c r="Y327" i="16"/>
  <c r="G327" i="16"/>
  <c r="S327" i="16" s="1"/>
  <c r="X327" i="16"/>
  <c r="W327" i="16"/>
  <c r="C698" i="17"/>
  <c r="V327" i="16"/>
  <c r="P327" i="16"/>
  <c r="O327" i="16"/>
  <c r="N327" i="16"/>
  <c r="K327" i="16"/>
  <c r="H327" i="16"/>
  <c r="I698" i="17" s="1"/>
  <c r="F327" i="16"/>
  <c r="A323" i="16"/>
  <c r="AC317" i="16"/>
  <c r="B669" i="17"/>
  <c r="AB317" i="16"/>
  <c r="AA317" i="16"/>
  <c r="I317" i="16"/>
  <c r="Z317" i="16"/>
  <c r="Y317" i="16"/>
  <c r="G317" i="16"/>
  <c r="X317" i="16"/>
  <c r="F317" i="16"/>
  <c r="F316" i="16" s="1"/>
  <c r="W317" i="16"/>
  <c r="C669" i="17"/>
  <c r="P317" i="16"/>
  <c r="O317" i="16"/>
  <c r="N317" i="16"/>
  <c r="K317" i="16"/>
  <c r="J317" i="16"/>
  <c r="H317" i="16"/>
  <c r="D317" i="16"/>
  <c r="Q317" i="16"/>
  <c r="B316" i="16"/>
  <c r="B317" i="16"/>
  <c r="AC315" i="16"/>
  <c r="B668" i="17"/>
  <c r="AB315" i="16"/>
  <c r="AA315" i="16"/>
  <c r="I315" i="16"/>
  <c r="Z315" i="16"/>
  <c r="Y315" i="16"/>
  <c r="G315" i="16"/>
  <c r="X315" i="16"/>
  <c r="F315" i="16"/>
  <c r="W315" i="16"/>
  <c r="C668" i="17"/>
  <c r="P315" i="16"/>
  <c r="O315" i="16"/>
  <c r="N315" i="16"/>
  <c r="K315" i="16"/>
  <c r="J315" i="16"/>
  <c r="H315" i="16"/>
  <c r="D315" i="16"/>
  <c r="Q315" i="16"/>
  <c r="B314" i="16"/>
  <c r="B315" i="16"/>
  <c r="AC313" i="16"/>
  <c r="B667" i="17"/>
  <c r="AB313" i="16"/>
  <c r="AA313" i="16"/>
  <c r="I313" i="16"/>
  <c r="Z313" i="16"/>
  <c r="Y313" i="16"/>
  <c r="G313" i="16"/>
  <c r="X313" i="16"/>
  <c r="F313" i="16"/>
  <c r="F667" i="17" s="1"/>
  <c r="W313" i="16"/>
  <c r="C667" i="17"/>
  <c r="P313" i="16"/>
  <c r="O313" i="16"/>
  <c r="N313" i="16"/>
  <c r="K313" i="16"/>
  <c r="J313" i="16"/>
  <c r="G667" i="17" s="1"/>
  <c r="H313" i="16"/>
  <c r="L313" i="16" s="1"/>
  <c r="D313" i="16"/>
  <c r="Q313" i="16"/>
  <c r="B312" i="16"/>
  <c r="B313" i="16"/>
  <c r="AC311" i="16"/>
  <c r="B666" i="17"/>
  <c r="AB311" i="16"/>
  <c r="AA311" i="16"/>
  <c r="I311" i="16"/>
  <c r="Z311" i="16"/>
  <c r="Y311" i="16"/>
  <c r="G311" i="16"/>
  <c r="H666" i="17" s="1"/>
  <c r="K666" i="17" s="1"/>
  <c r="X311" i="16"/>
  <c r="F311" i="16"/>
  <c r="W311" i="16"/>
  <c r="C666" i="17"/>
  <c r="P311" i="16"/>
  <c r="O311" i="16"/>
  <c r="N311" i="16"/>
  <c r="K311" i="16"/>
  <c r="J311" i="16"/>
  <c r="G666" i="17" s="1"/>
  <c r="H311" i="16"/>
  <c r="D311" i="16"/>
  <c r="Q311" i="16"/>
  <c r="B310" i="16"/>
  <c r="B311" i="16"/>
  <c r="AC309" i="16"/>
  <c r="B665" i="17"/>
  <c r="AB309" i="16"/>
  <c r="AA309" i="16"/>
  <c r="I309" i="16"/>
  <c r="Z309" i="16"/>
  <c r="Y309" i="16"/>
  <c r="G309" i="16"/>
  <c r="S309" i="16" s="1"/>
  <c r="X309" i="16"/>
  <c r="F309" i="16"/>
  <c r="W309" i="16"/>
  <c r="C665" i="17"/>
  <c r="P309" i="16"/>
  <c r="O309" i="16"/>
  <c r="N309" i="16"/>
  <c r="K309" i="16"/>
  <c r="J309" i="16"/>
  <c r="H309" i="16"/>
  <c r="D309" i="16"/>
  <c r="Q309" i="16"/>
  <c r="B308" i="16"/>
  <c r="B309" i="16"/>
  <c r="AC307" i="16"/>
  <c r="B664" i="17"/>
  <c r="AB307" i="16"/>
  <c r="AA307" i="16"/>
  <c r="I307" i="16"/>
  <c r="Z307" i="16"/>
  <c r="Y307" i="16"/>
  <c r="G307" i="16"/>
  <c r="X307" i="16"/>
  <c r="F307" i="16"/>
  <c r="W307" i="16"/>
  <c r="C664" i="17"/>
  <c r="P307" i="16"/>
  <c r="O307" i="16"/>
  <c r="N307" i="16"/>
  <c r="K307" i="16"/>
  <c r="J307" i="16"/>
  <c r="H307" i="16"/>
  <c r="D307" i="16"/>
  <c r="Q307" i="16"/>
  <c r="B306" i="16"/>
  <c r="B307" i="16"/>
  <c r="AC305" i="16"/>
  <c r="B635" i="17"/>
  <c r="AB305" i="16"/>
  <c r="AA305" i="16"/>
  <c r="I305" i="16"/>
  <c r="Z305" i="16"/>
  <c r="Y305" i="16"/>
  <c r="G305" i="16"/>
  <c r="X305" i="16"/>
  <c r="F305" i="16"/>
  <c r="F304" i="16" s="1"/>
  <c r="W305" i="16"/>
  <c r="C635" i="17"/>
  <c r="P305" i="16"/>
  <c r="O305" i="16"/>
  <c r="N305" i="16"/>
  <c r="K305" i="16"/>
  <c r="J305" i="16"/>
  <c r="H305" i="16"/>
  <c r="D305" i="16"/>
  <c r="Q305" i="16"/>
  <c r="B304" i="16"/>
  <c r="B305" i="16"/>
  <c r="AC303" i="16"/>
  <c r="B634" i="17"/>
  <c r="AB303" i="16"/>
  <c r="AA303" i="16"/>
  <c r="I303" i="16"/>
  <c r="Z303" i="16"/>
  <c r="Y303" i="16"/>
  <c r="G303" i="16"/>
  <c r="X303" i="16"/>
  <c r="F303" i="16"/>
  <c r="F634" i="17" s="1"/>
  <c r="W303" i="16"/>
  <c r="C634" i="17"/>
  <c r="P303" i="16"/>
  <c r="O303" i="16"/>
  <c r="N303" i="16"/>
  <c r="K303" i="16"/>
  <c r="J303" i="16"/>
  <c r="H303" i="16"/>
  <c r="I634" i="17" s="1"/>
  <c r="D303" i="16"/>
  <c r="Q303" i="16"/>
  <c r="B302" i="16"/>
  <c r="B303" i="16"/>
  <c r="AC301" i="16"/>
  <c r="B633" i="17"/>
  <c r="AB301" i="16"/>
  <c r="AA301" i="16"/>
  <c r="I301" i="16"/>
  <c r="Z301" i="16"/>
  <c r="Y301" i="16"/>
  <c r="G301" i="16"/>
  <c r="X301" i="16"/>
  <c r="F301" i="16"/>
  <c r="F633" i="17" s="1"/>
  <c r="W301" i="16"/>
  <c r="C633" i="17"/>
  <c r="P301" i="16"/>
  <c r="O301" i="16"/>
  <c r="N301" i="16"/>
  <c r="K301" i="16"/>
  <c r="J301" i="16"/>
  <c r="G633" i="17" s="1"/>
  <c r="H301" i="16"/>
  <c r="L301" i="16" s="1"/>
  <c r="D301" i="16"/>
  <c r="Q301" i="16"/>
  <c r="AC299" i="16"/>
  <c r="B632" i="17"/>
  <c r="AB299" i="16"/>
  <c r="AA299" i="16"/>
  <c r="I299" i="16"/>
  <c r="J632" i="17" s="1"/>
  <c r="Z299" i="16"/>
  <c r="Y299" i="16"/>
  <c r="G299" i="16"/>
  <c r="X299" i="16"/>
  <c r="F299" i="16"/>
  <c r="F632" i="17" s="1"/>
  <c r="W299" i="16"/>
  <c r="C632" i="17"/>
  <c r="P299" i="16"/>
  <c r="O299" i="16"/>
  <c r="N299" i="16"/>
  <c r="K299" i="16"/>
  <c r="J299" i="16"/>
  <c r="G632" i="17" s="1"/>
  <c r="H299" i="16"/>
  <c r="L299" i="16" s="1"/>
  <c r="D299" i="16"/>
  <c r="Q299" i="16"/>
  <c r="AC297" i="16"/>
  <c r="B631" i="17"/>
  <c r="AB297" i="16"/>
  <c r="AA297" i="16"/>
  <c r="I297" i="16"/>
  <c r="J631" i="17" s="1"/>
  <c r="Z297" i="16"/>
  <c r="Y297" i="16"/>
  <c r="G297" i="16"/>
  <c r="X297" i="16"/>
  <c r="F297" i="16"/>
  <c r="W297" i="16"/>
  <c r="C631" i="17"/>
  <c r="P297" i="16"/>
  <c r="O297" i="16"/>
  <c r="N297" i="16"/>
  <c r="K297" i="16"/>
  <c r="J297" i="16"/>
  <c r="G631" i="17" s="1"/>
  <c r="H297" i="16"/>
  <c r="L297" i="16" s="1"/>
  <c r="D297" i="16"/>
  <c r="Q297" i="16"/>
  <c r="AC295" i="16"/>
  <c r="B630" i="17"/>
  <c r="AB295" i="16"/>
  <c r="H295" i="16"/>
  <c r="AA295" i="16"/>
  <c r="I295" i="16"/>
  <c r="Z295" i="16"/>
  <c r="J295" i="16"/>
  <c r="G630" i="17" s="1"/>
  <c r="Y295" i="16"/>
  <c r="G295" i="16"/>
  <c r="S295" i="16" s="1"/>
  <c r="X295" i="16"/>
  <c r="F295" i="16"/>
  <c r="F630" i="17" s="1"/>
  <c r="W295" i="16"/>
  <c r="C630" i="17"/>
  <c r="V295" i="16"/>
  <c r="A291" i="16"/>
  <c r="P295" i="16"/>
  <c r="O295" i="16"/>
  <c r="N295" i="16"/>
  <c r="K295" i="16"/>
  <c r="B294" i="16"/>
  <c r="B295" i="16"/>
  <c r="AC285" i="16"/>
  <c r="B601" i="17"/>
  <c r="AB285" i="16"/>
  <c r="AA285" i="16"/>
  <c r="I285" i="16"/>
  <c r="Z285" i="16"/>
  <c r="Y285" i="16"/>
  <c r="G285" i="16"/>
  <c r="X285" i="16"/>
  <c r="F285" i="16"/>
  <c r="W285" i="16"/>
  <c r="C601" i="17"/>
  <c r="P285" i="16"/>
  <c r="O285" i="16"/>
  <c r="N285" i="16"/>
  <c r="K285" i="16"/>
  <c r="J285" i="16"/>
  <c r="J284" i="16" s="1"/>
  <c r="H285" i="16"/>
  <c r="I601" i="17" s="1"/>
  <c r="AC283" i="16"/>
  <c r="B600" i="17"/>
  <c r="AB283" i="16"/>
  <c r="H283" i="16"/>
  <c r="AA283" i="16"/>
  <c r="I283" i="16"/>
  <c r="I282" i="16" s="1"/>
  <c r="Z283" i="16"/>
  <c r="Y283" i="16"/>
  <c r="X283" i="16"/>
  <c r="F283" i="16"/>
  <c r="F600" i="17" s="1"/>
  <c r="W283" i="16"/>
  <c r="C600" i="17"/>
  <c r="P283" i="16"/>
  <c r="O283" i="16"/>
  <c r="N283" i="16"/>
  <c r="K283" i="16"/>
  <c r="J283" i="16"/>
  <c r="G283" i="16"/>
  <c r="S283" i="16" s="1"/>
  <c r="AC281" i="16"/>
  <c r="B599" i="17"/>
  <c r="AB281" i="16"/>
  <c r="AA281" i="16"/>
  <c r="I281" i="16"/>
  <c r="I280" i="16" s="1"/>
  <c r="Z281" i="16"/>
  <c r="Y281" i="16"/>
  <c r="G281" i="16"/>
  <c r="H599" i="17" s="1"/>
  <c r="K599" i="17" s="1"/>
  <c r="X281" i="16"/>
  <c r="F281" i="16"/>
  <c r="F599" i="17" s="1"/>
  <c r="W281" i="16"/>
  <c r="C599" i="17"/>
  <c r="P281" i="16"/>
  <c r="O281" i="16"/>
  <c r="N281" i="16"/>
  <c r="K281" i="16"/>
  <c r="J281" i="16"/>
  <c r="H281" i="16"/>
  <c r="AC279" i="16"/>
  <c r="B598" i="17"/>
  <c r="AB279" i="16"/>
  <c r="H279" i="16"/>
  <c r="AA279" i="16"/>
  <c r="I279" i="16"/>
  <c r="I278" i="16" s="1"/>
  <c r="Z279" i="16"/>
  <c r="Y279" i="16"/>
  <c r="X279" i="16"/>
  <c r="F279" i="16"/>
  <c r="F278" i="16" s="1"/>
  <c r="W279" i="16"/>
  <c r="C598" i="17"/>
  <c r="P279" i="16"/>
  <c r="O279" i="16"/>
  <c r="N279" i="16"/>
  <c r="K279" i="16"/>
  <c r="J279" i="16"/>
  <c r="G598" i="17" s="1"/>
  <c r="G279" i="16"/>
  <c r="H598" i="17" s="1"/>
  <c r="K598" i="17" s="1"/>
  <c r="AC277" i="16"/>
  <c r="B597" i="17"/>
  <c r="AB277" i="16"/>
  <c r="AA277" i="16"/>
  <c r="I277" i="16"/>
  <c r="Z277" i="16"/>
  <c r="Y277" i="16"/>
  <c r="G277" i="16"/>
  <c r="S277" i="16" s="1"/>
  <c r="X277" i="16"/>
  <c r="F277" i="16"/>
  <c r="F597" i="17" s="1"/>
  <c r="W277" i="16"/>
  <c r="C597" i="17"/>
  <c r="P277" i="16"/>
  <c r="O277" i="16"/>
  <c r="N277" i="16"/>
  <c r="K277" i="16"/>
  <c r="J277" i="16"/>
  <c r="H277" i="16"/>
  <c r="AC275" i="16"/>
  <c r="B596" i="17"/>
  <c r="AB275" i="16"/>
  <c r="H275" i="16"/>
  <c r="AA275" i="16"/>
  <c r="I275" i="16"/>
  <c r="Z275" i="16"/>
  <c r="Y275" i="16"/>
  <c r="X275" i="16"/>
  <c r="F275" i="16"/>
  <c r="F274" i="16" s="1"/>
  <c r="W275" i="16"/>
  <c r="C596" i="17"/>
  <c r="P275" i="16"/>
  <c r="O275" i="16"/>
  <c r="N275" i="16"/>
  <c r="K275" i="16"/>
  <c r="J275" i="16"/>
  <c r="G275" i="16"/>
  <c r="AC273" i="16"/>
  <c r="B567" i="17"/>
  <c r="AB273" i="16"/>
  <c r="AA273" i="16"/>
  <c r="I273" i="16"/>
  <c r="Z273" i="16"/>
  <c r="Y273" i="16"/>
  <c r="G273" i="16"/>
  <c r="S273" i="16" s="1"/>
  <c r="X273" i="16"/>
  <c r="F273" i="16"/>
  <c r="F567" i="17" s="1"/>
  <c r="W273" i="16"/>
  <c r="C567" i="17"/>
  <c r="P273" i="16"/>
  <c r="O273" i="16"/>
  <c r="N273" i="16"/>
  <c r="K273" i="16"/>
  <c r="J273" i="16"/>
  <c r="H273" i="16"/>
  <c r="AC271" i="16"/>
  <c r="B566" i="17"/>
  <c r="AB271" i="16"/>
  <c r="H271" i="16"/>
  <c r="I566" i="17" s="1"/>
  <c r="AA271" i="16"/>
  <c r="I271" i="16"/>
  <c r="J566" i="17" s="1"/>
  <c r="Z271" i="16"/>
  <c r="Y271" i="16"/>
  <c r="X271" i="16"/>
  <c r="F271" i="16"/>
  <c r="F566" i="17" s="1"/>
  <c r="W271" i="16"/>
  <c r="C566" i="17"/>
  <c r="P271" i="16"/>
  <c r="O271" i="16"/>
  <c r="N271" i="16"/>
  <c r="K271" i="16"/>
  <c r="J271" i="16"/>
  <c r="G271" i="16"/>
  <c r="AC269" i="16"/>
  <c r="B565" i="17"/>
  <c r="AB269" i="16"/>
  <c r="AA269" i="16"/>
  <c r="I269" i="16"/>
  <c r="Z269" i="16"/>
  <c r="Y269" i="16"/>
  <c r="G269" i="16"/>
  <c r="H565" i="17" s="1"/>
  <c r="K565" i="17" s="1"/>
  <c r="X269" i="16"/>
  <c r="F269" i="16"/>
  <c r="W269" i="16"/>
  <c r="C565" i="17"/>
  <c r="P269" i="16"/>
  <c r="O269" i="16"/>
  <c r="N269" i="16"/>
  <c r="K269" i="16"/>
  <c r="J269" i="16"/>
  <c r="H269" i="16"/>
  <c r="I565" i="17" s="1"/>
  <c r="AC267" i="16"/>
  <c r="B564" i="17"/>
  <c r="AB267" i="16"/>
  <c r="H267" i="16"/>
  <c r="AA267" i="16"/>
  <c r="I267" i="16"/>
  <c r="I266" i="16" s="1"/>
  <c r="Z267" i="16"/>
  <c r="Y267" i="16"/>
  <c r="X267" i="16"/>
  <c r="F267" i="16"/>
  <c r="W267" i="16"/>
  <c r="C564" i="17"/>
  <c r="P267" i="16"/>
  <c r="O267" i="16"/>
  <c r="N267" i="16"/>
  <c r="K267" i="16"/>
  <c r="J267" i="16"/>
  <c r="G267" i="16"/>
  <c r="S267" i="16" s="1"/>
  <c r="AC265" i="16"/>
  <c r="B563" i="17"/>
  <c r="AB265" i="16"/>
  <c r="AA265" i="16"/>
  <c r="I265" i="16"/>
  <c r="J563" i="17" s="1"/>
  <c r="Z265" i="16"/>
  <c r="Y265" i="16"/>
  <c r="G265" i="16"/>
  <c r="S265" i="16" s="1"/>
  <c r="X265" i="16"/>
  <c r="F265" i="16"/>
  <c r="F563" i="17" s="1"/>
  <c r="W265" i="16"/>
  <c r="C563" i="17"/>
  <c r="P265" i="16"/>
  <c r="O265" i="16"/>
  <c r="N265" i="16"/>
  <c r="K265" i="16"/>
  <c r="J265" i="16"/>
  <c r="H265" i="16"/>
  <c r="I563" i="17" s="1"/>
  <c r="AC263" i="16"/>
  <c r="B562" i="17"/>
  <c r="AB263" i="16"/>
  <c r="AA263" i="16"/>
  <c r="I263" i="16"/>
  <c r="J562" i="17" s="1"/>
  <c r="Z263" i="16"/>
  <c r="Y263" i="16"/>
  <c r="G263" i="16"/>
  <c r="H562" i="17" s="1"/>
  <c r="K562" i="17" s="1"/>
  <c r="X263" i="16"/>
  <c r="W263" i="16"/>
  <c r="C562" i="17"/>
  <c r="V263" i="16"/>
  <c r="P263" i="16"/>
  <c r="O263" i="16"/>
  <c r="N263" i="16"/>
  <c r="K263" i="16"/>
  <c r="J263" i="16"/>
  <c r="H263" i="16"/>
  <c r="F263" i="16"/>
  <c r="F562" i="17" s="1"/>
  <c r="A259" i="16"/>
  <c r="AC253" i="16"/>
  <c r="AB253" i="16"/>
  <c r="AA253" i="16"/>
  <c r="I253" i="16"/>
  <c r="Z253" i="16"/>
  <c r="Y253" i="16"/>
  <c r="G253" i="16"/>
  <c r="H533" i="17" s="1"/>
  <c r="K533" i="17" s="1"/>
  <c r="X253" i="16"/>
  <c r="F253" i="16"/>
  <c r="F533" i="17" s="1"/>
  <c r="W253" i="16"/>
  <c r="C533" i="17"/>
  <c r="P253" i="16"/>
  <c r="O253" i="16"/>
  <c r="N253" i="16"/>
  <c r="K253" i="16"/>
  <c r="J253" i="16"/>
  <c r="H253" i="16"/>
  <c r="I533" i="17" s="1"/>
  <c r="AC251" i="16"/>
  <c r="AB251" i="16"/>
  <c r="H251" i="16"/>
  <c r="AA251" i="16"/>
  <c r="I251" i="16"/>
  <c r="Z251" i="16"/>
  <c r="Y251" i="16"/>
  <c r="X251" i="16"/>
  <c r="F251" i="16"/>
  <c r="W251" i="16"/>
  <c r="C532" i="17"/>
  <c r="P251" i="16"/>
  <c r="O251" i="16"/>
  <c r="N251" i="16"/>
  <c r="K251" i="16"/>
  <c r="J251" i="16"/>
  <c r="G251" i="16"/>
  <c r="M251" i="16" s="1"/>
  <c r="AC249" i="16"/>
  <c r="B531" i="17"/>
  <c r="AB249" i="16"/>
  <c r="AA249" i="16"/>
  <c r="I249" i="16"/>
  <c r="Z249" i="16"/>
  <c r="Y249" i="16"/>
  <c r="G249" i="16"/>
  <c r="S249" i="16" s="1"/>
  <c r="X249" i="16"/>
  <c r="F249" i="16"/>
  <c r="W249" i="16"/>
  <c r="C531" i="17"/>
  <c r="P249" i="16"/>
  <c r="O249" i="16"/>
  <c r="N249" i="16"/>
  <c r="K249" i="16"/>
  <c r="J249" i="16"/>
  <c r="G531" i="17" s="1"/>
  <c r="H249" i="16"/>
  <c r="AC247" i="16"/>
  <c r="B530" i="17"/>
  <c r="AB247" i="16"/>
  <c r="AA247" i="16"/>
  <c r="I247" i="16"/>
  <c r="Z247" i="16"/>
  <c r="Y247" i="16"/>
  <c r="G247" i="16"/>
  <c r="X247" i="16"/>
  <c r="F247" i="16"/>
  <c r="W247" i="16"/>
  <c r="C530" i="17"/>
  <c r="P247" i="16"/>
  <c r="O247" i="16"/>
  <c r="N247" i="16"/>
  <c r="K247" i="16"/>
  <c r="J247" i="16"/>
  <c r="H247" i="16"/>
  <c r="AC245" i="16"/>
  <c r="B529" i="17"/>
  <c r="AB245" i="16"/>
  <c r="H245" i="16"/>
  <c r="AA245" i="16"/>
  <c r="I245" i="16"/>
  <c r="Z245" i="16"/>
  <c r="Y245" i="16"/>
  <c r="X245" i="16"/>
  <c r="F245" i="16"/>
  <c r="W245" i="16"/>
  <c r="C529" i="17"/>
  <c r="P245" i="16"/>
  <c r="O245" i="16"/>
  <c r="N245" i="16"/>
  <c r="K245" i="16"/>
  <c r="J245" i="16"/>
  <c r="G245" i="16"/>
  <c r="D245" i="16"/>
  <c r="Q245" i="16"/>
  <c r="AC243" i="16"/>
  <c r="B528" i="17"/>
  <c r="AB243" i="16"/>
  <c r="AA243" i="16"/>
  <c r="I243" i="16"/>
  <c r="Z243" i="16"/>
  <c r="Y243" i="16"/>
  <c r="X243" i="16"/>
  <c r="F243" i="16"/>
  <c r="W243" i="16"/>
  <c r="C528" i="17"/>
  <c r="P243" i="16"/>
  <c r="O243" i="16"/>
  <c r="N243" i="16"/>
  <c r="K243" i="16"/>
  <c r="J243" i="16"/>
  <c r="G528" i="17" s="1"/>
  <c r="H243" i="16"/>
  <c r="L243" i="16" s="1"/>
  <c r="G243" i="16"/>
  <c r="H528" i="17" s="1"/>
  <c r="K528" i="17" s="1"/>
  <c r="D243" i="16"/>
  <c r="Q243" i="16"/>
  <c r="AC241" i="16"/>
  <c r="B499" i="17"/>
  <c r="AB241" i="16"/>
  <c r="AA241" i="16"/>
  <c r="I241" i="16"/>
  <c r="Z241" i="16"/>
  <c r="Y241" i="16"/>
  <c r="G241" i="16"/>
  <c r="G240" i="16" s="1"/>
  <c r="X241" i="16"/>
  <c r="F241" i="16"/>
  <c r="F499" i="17" s="1"/>
  <c r="W241" i="16"/>
  <c r="C499" i="17"/>
  <c r="P241" i="16"/>
  <c r="O241" i="16"/>
  <c r="N241" i="16"/>
  <c r="K241" i="16"/>
  <c r="J241" i="16"/>
  <c r="G499" i="17" s="1"/>
  <c r="H241" i="16"/>
  <c r="I499" i="17" s="1"/>
  <c r="AC239" i="16"/>
  <c r="B498" i="17"/>
  <c r="AB239" i="16"/>
  <c r="AA239" i="16"/>
  <c r="I239" i="16"/>
  <c r="Z239" i="16"/>
  <c r="Y239" i="16"/>
  <c r="G239" i="16"/>
  <c r="X239" i="16"/>
  <c r="F239" i="16"/>
  <c r="W239" i="16"/>
  <c r="C498" i="17"/>
  <c r="P239" i="16"/>
  <c r="O239" i="16"/>
  <c r="N239" i="16"/>
  <c r="K239" i="16"/>
  <c r="J239" i="16"/>
  <c r="H239" i="16"/>
  <c r="L239" i="16" s="1"/>
  <c r="AC237" i="16"/>
  <c r="B497" i="17"/>
  <c r="AB237" i="16"/>
  <c r="H237" i="16"/>
  <c r="AA237" i="16"/>
  <c r="I237" i="16"/>
  <c r="Z237" i="16"/>
  <c r="Y237" i="16"/>
  <c r="X237" i="16"/>
  <c r="F237" i="16"/>
  <c r="F497" i="17" s="1"/>
  <c r="W237" i="16"/>
  <c r="C497" i="17"/>
  <c r="P237" i="16"/>
  <c r="O237" i="16"/>
  <c r="N237" i="16"/>
  <c r="K237" i="16"/>
  <c r="J237" i="16"/>
  <c r="J236" i="16" s="1"/>
  <c r="G237" i="16"/>
  <c r="M237" i="16" s="1"/>
  <c r="AC235" i="16"/>
  <c r="B496" i="17"/>
  <c r="AB235" i="16"/>
  <c r="H235" i="16"/>
  <c r="AA235" i="16"/>
  <c r="I235" i="16"/>
  <c r="Z235" i="16"/>
  <c r="Y235" i="16"/>
  <c r="X235" i="16"/>
  <c r="F235" i="16"/>
  <c r="W235" i="16"/>
  <c r="C496" i="17"/>
  <c r="P235" i="16"/>
  <c r="O235" i="16"/>
  <c r="N235" i="16"/>
  <c r="K235" i="16"/>
  <c r="J235" i="16"/>
  <c r="G235" i="16"/>
  <c r="M235" i="16" s="1"/>
  <c r="AC233" i="16"/>
  <c r="B495" i="17"/>
  <c r="AB233" i="16"/>
  <c r="H233" i="16"/>
  <c r="AA233" i="16"/>
  <c r="I233" i="16"/>
  <c r="I232" i="16" s="1"/>
  <c r="Z233" i="16"/>
  <c r="Y233" i="16"/>
  <c r="X233" i="16"/>
  <c r="F233" i="16"/>
  <c r="F495" i="17" s="1"/>
  <c r="W233" i="16"/>
  <c r="C495" i="17"/>
  <c r="P233" i="16"/>
  <c r="O233" i="16"/>
  <c r="N233" i="16"/>
  <c r="K233" i="16"/>
  <c r="J233" i="16"/>
  <c r="J232" i="16" s="1"/>
  <c r="G233" i="16"/>
  <c r="AC231" i="16"/>
  <c r="B494" i="17"/>
  <c r="AB231" i="16"/>
  <c r="H231" i="16"/>
  <c r="AA231" i="16"/>
  <c r="I231" i="16"/>
  <c r="Z231" i="16"/>
  <c r="J231" i="16"/>
  <c r="J230" i="16" s="1"/>
  <c r="Y231" i="16"/>
  <c r="X231" i="16"/>
  <c r="F231" i="16"/>
  <c r="W231" i="16"/>
  <c r="C494" i="17"/>
  <c r="V231" i="16"/>
  <c r="A227" i="16"/>
  <c r="P231" i="16"/>
  <c r="O231" i="16"/>
  <c r="N231" i="16"/>
  <c r="K231" i="16"/>
  <c r="G231" i="16"/>
  <c r="D231" i="16"/>
  <c r="Q231" i="16"/>
  <c r="AC221" i="16"/>
  <c r="B465" i="17"/>
  <c r="AB221" i="16"/>
  <c r="AA221" i="16"/>
  <c r="I221" i="16"/>
  <c r="Z221" i="16"/>
  <c r="Y221" i="16"/>
  <c r="G221" i="16"/>
  <c r="S221" i="16" s="1"/>
  <c r="X221" i="16"/>
  <c r="W221" i="16"/>
  <c r="C465" i="17"/>
  <c r="P221" i="16"/>
  <c r="O221" i="16"/>
  <c r="N221" i="16"/>
  <c r="K221" i="16"/>
  <c r="J221" i="16"/>
  <c r="H221" i="16"/>
  <c r="F221" i="16"/>
  <c r="AC219" i="16"/>
  <c r="B464" i="17"/>
  <c r="AB219" i="16"/>
  <c r="AA219" i="16"/>
  <c r="I219" i="16"/>
  <c r="J464" i="17" s="1"/>
  <c r="Z219" i="16"/>
  <c r="Y219" i="16"/>
  <c r="G219" i="16"/>
  <c r="H464" i="17" s="1"/>
  <c r="K464" i="17" s="1"/>
  <c r="X219" i="16"/>
  <c r="W219" i="16"/>
  <c r="C464" i="17"/>
  <c r="P219" i="16"/>
  <c r="O219" i="16"/>
  <c r="N219" i="16"/>
  <c r="K219" i="16"/>
  <c r="J219" i="16"/>
  <c r="H219" i="16"/>
  <c r="F219" i="16"/>
  <c r="F464" i="17" s="1"/>
  <c r="AC217" i="16"/>
  <c r="B463" i="17"/>
  <c r="AB217" i="16"/>
  <c r="AA217" i="16"/>
  <c r="I217" i="16"/>
  <c r="Z217" i="16"/>
  <c r="Y217" i="16"/>
  <c r="G217" i="16"/>
  <c r="G216" i="16" s="1"/>
  <c r="X217" i="16"/>
  <c r="W217" i="16"/>
  <c r="C463" i="17"/>
  <c r="P217" i="16"/>
  <c r="O217" i="16"/>
  <c r="N217" i="16"/>
  <c r="K217" i="16"/>
  <c r="J217" i="16"/>
  <c r="G463" i="17" s="1"/>
  <c r="H217" i="16"/>
  <c r="L217" i="16" s="1"/>
  <c r="F217" i="16"/>
  <c r="AC215" i="16"/>
  <c r="B462" i="17"/>
  <c r="AB215" i="16"/>
  <c r="AA215" i="16"/>
  <c r="I215" i="16"/>
  <c r="Z215" i="16"/>
  <c r="Y215" i="16"/>
  <c r="G215" i="16"/>
  <c r="S215" i="16" s="1"/>
  <c r="X215" i="16"/>
  <c r="W215" i="16"/>
  <c r="C462" i="17"/>
  <c r="P215" i="16"/>
  <c r="O215" i="16"/>
  <c r="N215" i="16"/>
  <c r="K215" i="16"/>
  <c r="J215" i="16"/>
  <c r="H215" i="16"/>
  <c r="L215" i="16" s="1"/>
  <c r="F215" i="16"/>
  <c r="F462" i="17" s="1"/>
  <c r="AC213" i="16"/>
  <c r="B461" i="17"/>
  <c r="AB213" i="16"/>
  <c r="AA213" i="16"/>
  <c r="I213" i="16"/>
  <c r="Z213" i="16"/>
  <c r="Y213" i="16"/>
  <c r="G213" i="16"/>
  <c r="X213" i="16"/>
  <c r="W213" i="16"/>
  <c r="C461" i="17"/>
  <c r="P213" i="16"/>
  <c r="O213" i="16"/>
  <c r="N213" i="16"/>
  <c r="K213" i="16"/>
  <c r="J213" i="16"/>
  <c r="G461" i="17" s="1"/>
  <c r="H213" i="16"/>
  <c r="L213" i="16" s="1"/>
  <c r="F213" i="16"/>
  <c r="AC211" i="16"/>
  <c r="B460" i="17"/>
  <c r="AB211" i="16"/>
  <c r="AA211" i="16"/>
  <c r="I211" i="16"/>
  <c r="Z211" i="16"/>
  <c r="Y211" i="16"/>
  <c r="G211" i="16"/>
  <c r="X211" i="16"/>
  <c r="W211" i="16"/>
  <c r="C460" i="17"/>
  <c r="P211" i="16"/>
  <c r="O211" i="16"/>
  <c r="N211" i="16"/>
  <c r="K211" i="16"/>
  <c r="J211" i="16"/>
  <c r="H211" i="16"/>
  <c r="F211" i="16"/>
  <c r="F460" i="17" s="1"/>
  <c r="AC209" i="16"/>
  <c r="B431" i="17"/>
  <c r="AB209" i="16"/>
  <c r="AA209" i="16"/>
  <c r="Z209" i="16"/>
  <c r="Y209" i="16"/>
  <c r="G209" i="16"/>
  <c r="H431" i="17" s="1"/>
  <c r="K431" i="17" s="1"/>
  <c r="X209" i="16"/>
  <c r="W209" i="16"/>
  <c r="C431" i="17"/>
  <c r="P209" i="16"/>
  <c r="O209" i="16"/>
  <c r="N209" i="16"/>
  <c r="K209" i="16"/>
  <c r="J209" i="16"/>
  <c r="G431" i="17" s="1"/>
  <c r="I209" i="16"/>
  <c r="J431" i="17" s="1"/>
  <c r="H209" i="16"/>
  <c r="F209" i="16"/>
  <c r="AC207" i="16"/>
  <c r="B430" i="17"/>
  <c r="AB207" i="16"/>
  <c r="AA207" i="16"/>
  <c r="Z207" i="16"/>
  <c r="Y207" i="16"/>
  <c r="G207" i="16"/>
  <c r="S207" i="16" s="1"/>
  <c r="X207" i="16"/>
  <c r="W207" i="16"/>
  <c r="C430" i="17"/>
  <c r="P207" i="16"/>
  <c r="O207" i="16"/>
  <c r="N207" i="16"/>
  <c r="K207" i="16"/>
  <c r="J207" i="16"/>
  <c r="I207" i="16"/>
  <c r="H207" i="16"/>
  <c r="I430" i="17" s="1"/>
  <c r="F207" i="16"/>
  <c r="F430" i="17" s="1"/>
  <c r="AC205" i="16"/>
  <c r="B429" i="17"/>
  <c r="AB205" i="16"/>
  <c r="AA205" i="16"/>
  <c r="Z205" i="16"/>
  <c r="Y205" i="16"/>
  <c r="G205" i="16"/>
  <c r="S205" i="16" s="1"/>
  <c r="X205" i="16"/>
  <c r="W205" i="16"/>
  <c r="C429" i="17"/>
  <c r="P205" i="16"/>
  <c r="O205" i="16"/>
  <c r="N205" i="16"/>
  <c r="K205" i="16"/>
  <c r="J205" i="16"/>
  <c r="G429" i="17" s="1"/>
  <c r="I205" i="16"/>
  <c r="J429" i="17" s="1"/>
  <c r="H205" i="16"/>
  <c r="F205" i="16"/>
  <c r="AC203" i="16"/>
  <c r="B428" i="17"/>
  <c r="AB203" i="16"/>
  <c r="AA203" i="16"/>
  <c r="Z203" i="16"/>
  <c r="Y203" i="16"/>
  <c r="G203" i="16"/>
  <c r="G202" i="16" s="1"/>
  <c r="X203" i="16"/>
  <c r="W203" i="16"/>
  <c r="C428" i="17"/>
  <c r="P203" i="16"/>
  <c r="O203" i="16"/>
  <c r="N203" i="16"/>
  <c r="K203" i="16"/>
  <c r="J203" i="16"/>
  <c r="I203" i="16"/>
  <c r="H203" i="16"/>
  <c r="I428" i="17" s="1"/>
  <c r="F203" i="16"/>
  <c r="AC201" i="16"/>
  <c r="B427" i="17"/>
  <c r="AB201" i="16"/>
  <c r="AA201" i="16"/>
  <c r="Z201" i="16"/>
  <c r="Y201" i="16"/>
  <c r="G201" i="16"/>
  <c r="G200" i="16" s="1"/>
  <c r="X201" i="16"/>
  <c r="W201" i="16"/>
  <c r="C427" i="17"/>
  <c r="P201" i="16"/>
  <c r="O201" i="16"/>
  <c r="N201" i="16"/>
  <c r="K201" i="16"/>
  <c r="J201" i="16"/>
  <c r="I201" i="16"/>
  <c r="J427" i="17" s="1"/>
  <c r="H201" i="16"/>
  <c r="F201" i="16"/>
  <c r="AC199" i="16"/>
  <c r="B426" i="17"/>
  <c r="AB199" i="16"/>
  <c r="AA199" i="16"/>
  <c r="I199" i="16"/>
  <c r="I198" i="16" s="1"/>
  <c r="Z199" i="16"/>
  <c r="Y199" i="16"/>
  <c r="G199" i="16"/>
  <c r="G198" i="16" s="1"/>
  <c r="X199" i="16"/>
  <c r="W199" i="16"/>
  <c r="C426" i="17"/>
  <c r="V199" i="16"/>
  <c r="A195" i="16"/>
  <c r="P199" i="16"/>
  <c r="O199" i="16"/>
  <c r="N199" i="16"/>
  <c r="K199" i="16"/>
  <c r="J199" i="16"/>
  <c r="H199" i="16"/>
  <c r="F199" i="16"/>
  <c r="AC189" i="16"/>
  <c r="B397" i="17"/>
  <c r="AB189" i="16"/>
  <c r="AA189" i="16"/>
  <c r="Z189" i="16"/>
  <c r="Y189" i="16"/>
  <c r="G189" i="16"/>
  <c r="X189" i="16"/>
  <c r="F189" i="16"/>
  <c r="F188" i="16" s="1"/>
  <c r="W189" i="16"/>
  <c r="C397" i="17"/>
  <c r="P189" i="16"/>
  <c r="O189" i="16"/>
  <c r="N189" i="16"/>
  <c r="K189" i="16"/>
  <c r="J189" i="16"/>
  <c r="G397" i="17" s="1"/>
  <c r="I189" i="16"/>
  <c r="H189" i="16"/>
  <c r="I397" i="17" s="1"/>
  <c r="B188" i="16"/>
  <c r="B189" i="16"/>
  <c r="AC187" i="16"/>
  <c r="B396" i="17"/>
  <c r="AB187" i="16"/>
  <c r="AA187" i="16"/>
  <c r="Z187" i="16"/>
  <c r="Y187" i="16"/>
  <c r="G187" i="16"/>
  <c r="X187" i="16"/>
  <c r="F187" i="16"/>
  <c r="F186" i="16" s="1"/>
  <c r="W187" i="16"/>
  <c r="C396" i="17"/>
  <c r="P187" i="16"/>
  <c r="O187" i="16"/>
  <c r="N187" i="16"/>
  <c r="K187" i="16"/>
  <c r="J187" i="16"/>
  <c r="G396" i="17" s="1"/>
  <c r="I187" i="16"/>
  <c r="J396" i="17" s="1"/>
  <c r="H187" i="16"/>
  <c r="B186" i="16"/>
  <c r="B187" i="16"/>
  <c r="AC185" i="16"/>
  <c r="B395" i="17"/>
  <c r="AB185" i="16"/>
  <c r="AA185" i="16"/>
  <c r="Z185" i="16"/>
  <c r="Y185" i="16"/>
  <c r="G185" i="16"/>
  <c r="H395" i="17" s="1"/>
  <c r="K395" i="17" s="1"/>
  <c r="X185" i="16"/>
  <c r="F185" i="16"/>
  <c r="F395" i="17" s="1"/>
  <c r="W185" i="16"/>
  <c r="C395" i="17"/>
  <c r="P185" i="16"/>
  <c r="O185" i="16"/>
  <c r="N185" i="16"/>
  <c r="K185" i="16"/>
  <c r="J185" i="16"/>
  <c r="G395" i="17" s="1"/>
  <c r="I185" i="16"/>
  <c r="H185" i="16"/>
  <c r="B184" i="16"/>
  <c r="B185" i="16"/>
  <c r="AC183" i="16"/>
  <c r="B394" i="17"/>
  <c r="AB183" i="16"/>
  <c r="AA183" i="16"/>
  <c r="Z183" i="16"/>
  <c r="Y183" i="16"/>
  <c r="G183" i="16"/>
  <c r="X183" i="16"/>
  <c r="F183" i="16"/>
  <c r="F182" i="16" s="1"/>
  <c r="W183" i="16"/>
  <c r="C394" i="17"/>
  <c r="P183" i="16"/>
  <c r="O183" i="16"/>
  <c r="N183" i="16"/>
  <c r="K183" i="16"/>
  <c r="J183" i="16"/>
  <c r="G394" i="17" s="1"/>
  <c r="I183" i="16"/>
  <c r="H183" i="16"/>
  <c r="B182" i="16"/>
  <c r="B183" i="16"/>
  <c r="AC181" i="16"/>
  <c r="B393" i="17"/>
  <c r="AB181" i="16"/>
  <c r="AA181" i="16"/>
  <c r="Z181" i="16"/>
  <c r="Y181" i="16"/>
  <c r="G181" i="16"/>
  <c r="X181" i="16"/>
  <c r="F181" i="16"/>
  <c r="F180" i="16" s="1"/>
  <c r="W181" i="16"/>
  <c r="C393" i="17"/>
  <c r="P181" i="16"/>
  <c r="O181" i="16"/>
  <c r="N181" i="16"/>
  <c r="K181" i="16"/>
  <c r="J181" i="16"/>
  <c r="I181" i="16"/>
  <c r="H181" i="16"/>
  <c r="L181" i="16" s="1"/>
  <c r="B180" i="16"/>
  <c r="B181" i="16"/>
  <c r="AC179" i="16"/>
  <c r="B392" i="17"/>
  <c r="AB179" i="16"/>
  <c r="AA179" i="16"/>
  <c r="Z179" i="16"/>
  <c r="Y179" i="16"/>
  <c r="G179" i="16"/>
  <c r="X179" i="16"/>
  <c r="F179" i="16"/>
  <c r="F178" i="16" s="1"/>
  <c r="W179" i="16"/>
  <c r="C392" i="17"/>
  <c r="P179" i="16"/>
  <c r="O179" i="16"/>
  <c r="N179" i="16"/>
  <c r="K179" i="16"/>
  <c r="J179" i="16"/>
  <c r="I179" i="16"/>
  <c r="H179" i="16"/>
  <c r="L179" i="16" s="1"/>
  <c r="B178" i="16"/>
  <c r="B179" i="16"/>
  <c r="AC177" i="16"/>
  <c r="B363" i="17"/>
  <c r="AB177" i="16"/>
  <c r="AA177" i="16"/>
  <c r="Z177" i="16"/>
  <c r="Y177" i="16"/>
  <c r="G177" i="16"/>
  <c r="X177" i="16"/>
  <c r="F177" i="16"/>
  <c r="F363" i="17" s="1"/>
  <c r="W177" i="16"/>
  <c r="C363" i="17"/>
  <c r="P177" i="16"/>
  <c r="O177" i="16"/>
  <c r="N177" i="16"/>
  <c r="K177" i="16"/>
  <c r="J177" i="16"/>
  <c r="I177" i="16"/>
  <c r="H177" i="16"/>
  <c r="B176" i="16"/>
  <c r="B177" i="16"/>
  <c r="AC175" i="16"/>
  <c r="B362" i="17"/>
  <c r="AB175" i="16"/>
  <c r="AA175" i="16"/>
  <c r="Z175" i="16"/>
  <c r="Y175" i="16"/>
  <c r="G175" i="16"/>
  <c r="H362" i="17" s="1"/>
  <c r="K362" i="17" s="1"/>
  <c r="X175" i="16"/>
  <c r="F175" i="16"/>
  <c r="F174" i="16" s="1"/>
  <c r="W175" i="16"/>
  <c r="C362" i="17"/>
  <c r="P175" i="16"/>
  <c r="O175" i="16"/>
  <c r="N175" i="16"/>
  <c r="K175" i="16"/>
  <c r="J175" i="16"/>
  <c r="G362" i="17" s="1"/>
  <c r="I175" i="16"/>
  <c r="H175" i="16"/>
  <c r="B174" i="16"/>
  <c r="B175" i="16"/>
  <c r="AC173" i="16"/>
  <c r="B361" i="17"/>
  <c r="AB173" i="16"/>
  <c r="AA173" i="16"/>
  <c r="Z173" i="16"/>
  <c r="Y173" i="16"/>
  <c r="G173" i="16"/>
  <c r="X173" i="16"/>
  <c r="F173" i="16"/>
  <c r="W173" i="16"/>
  <c r="C361" i="17"/>
  <c r="P173" i="16"/>
  <c r="O173" i="16"/>
  <c r="N173" i="16"/>
  <c r="K173" i="16"/>
  <c r="J173" i="16"/>
  <c r="G361" i="17" s="1"/>
  <c r="I173" i="16"/>
  <c r="H173" i="16"/>
  <c r="B172" i="16"/>
  <c r="B173" i="16"/>
  <c r="AC171" i="16"/>
  <c r="B360" i="17"/>
  <c r="AB171" i="16"/>
  <c r="AA171" i="16"/>
  <c r="Z171" i="16"/>
  <c r="Y171" i="16"/>
  <c r="G171" i="16"/>
  <c r="X171" i="16"/>
  <c r="F171" i="16"/>
  <c r="F360" i="17" s="1"/>
  <c r="W171" i="16"/>
  <c r="C360" i="17"/>
  <c r="P171" i="16"/>
  <c r="O171" i="16"/>
  <c r="N171" i="16"/>
  <c r="K171" i="16"/>
  <c r="J171" i="16"/>
  <c r="G360" i="17" s="1"/>
  <c r="I171" i="16"/>
  <c r="H171" i="16"/>
  <c r="B170" i="16"/>
  <c r="B171" i="16"/>
  <c r="AC169" i="16"/>
  <c r="B359" i="17"/>
  <c r="AB169" i="16"/>
  <c r="AA169" i="16"/>
  <c r="Z169" i="16"/>
  <c r="Y169" i="16"/>
  <c r="G169" i="16"/>
  <c r="X169" i="16"/>
  <c r="F169" i="16"/>
  <c r="W169" i="16"/>
  <c r="C359" i="17"/>
  <c r="P169" i="16"/>
  <c r="O169" i="16"/>
  <c r="N169" i="16"/>
  <c r="K169" i="16"/>
  <c r="J169" i="16"/>
  <c r="I169" i="16"/>
  <c r="H169" i="16"/>
  <c r="B168" i="16"/>
  <c r="B169" i="16"/>
  <c r="AC167" i="16"/>
  <c r="B358" i="17"/>
  <c r="AB167" i="16"/>
  <c r="H167" i="16"/>
  <c r="AA167" i="16"/>
  <c r="Z167" i="16"/>
  <c r="Y167" i="16"/>
  <c r="G167" i="16"/>
  <c r="S167" i="16" s="1"/>
  <c r="X167" i="16"/>
  <c r="F167" i="16"/>
  <c r="W167" i="16"/>
  <c r="C358" i="17"/>
  <c r="V167" i="16"/>
  <c r="A163" i="16"/>
  <c r="P167" i="16"/>
  <c r="O167" i="16"/>
  <c r="N167" i="16"/>
  <c r="K167" i="16"/>
  <c r="J167" i="16"/>
  <c r="G358" i="17" s="1"/>
  <c r="I167" i="16"/>
  <c r="B166" i="16"/>
  <c r="B167" i="16"/>
  <c r="AC157" i="16"/>
  <c r="B329" i="17"/>
  <c r="AB157" i="16"/>
  <c r="H157" i="16" s="1"/>
  <c r="I329" i="17" s="1"/>
  <c r="AA157" i="16"/>
  <c r="I157" i="16" s="1"/>
  <c r="I156" i="16" s="1"/>
  <c r="Z157" i="16"/>
  <c r="Y157" i="16"/>
  <c r="G157" i="16"/>
  <c r="X157" i="16"/>
  <c r="F157" i="16"/>
  <c r="W157" i="16"/>
  <c r="P157" i="16"/>
  <c r="O157" i="16"/>
  <c r="N157" i="16"/>
  <c r="K157" i="16"/>
  <c r="J157" i="16"/>
  <c r="AC155" i="16"/>
  <c r="B328" i="17" s="1"/>
  <c r="AB155" i="16"/>
  <c r="H155" i="16" s="1"/>
  <c r="AA155" i="16"/>
  <c r="I155" i="16"/>
  <c r="J328" i="17" s="1"/>
  <c r="Z155" i="16"/>
  <c r="J155" i="16" s="1"/>
  <c r="G328" i="17" s="1"/>
  <c r="Y155" i="16"/>
  <c r="X155" i="16"/>
  <c r="F155" i="16"/>
  <c r="F154" i="16" s="1"/>
  <c r="W155" i="16"/>
  <c r="P155" i="16"/>
  <c r="O155" i="16"/>
  <c r="N155" i="16"/>
  <c r="K155" i="16"/>
  <c r="G155" i="16"/>
  <c r="H328" i="17" s="1"/>
  <c r="K328" i="17" s="1"/>
  <c r="AC153" i="16"/>
  <c r="B327" i="17"/>
  <c r="AB153" i="16"/>
  <c r="H153" i="16" s="1"/>
  <c r="I327" i="17" s="1"/>
  <c r="AA153" i="16"/>
  <c r="I153" i="16" s="1"/>
  <c r="Z153" i="16"/>
  <c r="Y153" i="16"/>
  <c r="G153" i="16"/>
  <c r="G152" i="16" s="1"/>
  <c r="X153" i="16"/>
  <c r="F153" i="16"/>
  <c r="F327" i="17" s="1"/>
  <c r="W153" i="16"/>
  <c r="P153" i="16"/>
  <c r="O153" i="16"/>
  <c r="N153" i="16"/>
  <c r="K153" i="16"/>
  <c r="J153" i="16"/>
  <c r="D153" i="16"/>
  <c r="Q153" i="16" s="1"/>
  <c r="AC151" i="16"/>
  <c r="B326" i="17" s="1"/>
  <c r="AB151" i="16"/>
  <c r="AA151" i="16"/>
  <c r="I151" i="16" s="1"/>
  <c r="J326" i="17" s="1"/>
  <c r="Z151" i="16"/>
  <c r="Y151" i="16"/>
  <c r="G151" i="16" s="1"/>
  <c r="G150" i="16" s="1"/>
  <c r="X151" i="16"/>
  <c r="F151" i="16" s="1"/>
  <c r="F326" i="17" s="1"/>
  <c r="W151" i="16"/>
  <c r="P151" i="16"/>
  <c r="O151" i="16"/>
  <c r="N151" i="16"/>
  <c r="K151" i="16"/>
  <c r="J151" i="16"/>
  <c r="G326" i="17" s="1"/>
  <c r="H151" i="16"/>
  <c r="AC149" i="16"/>
  <c r="B325" i="17"/>
  <c r="AB149" i="16"/>
  <c r="H149" i="16" s="1"/>
  <c r="AA149" i="16"/>
  <c r="I149" i="16" s="1"/>
  <c r="I148" i="16" s="1"/>
  <c r="Z149" i="16"/>
  <c r="Y149" i="16"/>
  <c r="G149" i="16"/>
  <c r="S149" i="16" s="1"/>
  <c r="X149" i="16"/>
  <c r="F149" i="16"/>
  <c r="W149" i="16"/>
  <c r="P149" i="16"/>
  <c r="O149" i="16"/>
  <c r="N149" i="16"/>
  <c r="K149" i="16"/>
  <c r="J149" i="16"/>
  <c r="AC147" i="16"/>
  <c r="B324" i="17" s="1"/>
  <c r="AB147" i="16"/>
  <c r="H147" i="16" s="1"/>
  <c r="AA147" i="16"/>
  <c r="I147" i="16" s="1"/>
  <c r="Z147" i="16"/>
  <c r="J147" i="16" s="1"/>
  <c r="G324" i="17" s="1"/>
  <c r="Y147" i="16"/>
  <c r="X147" i="16"/>
  <c r="F147" i="16" s="1"/>
  <c r="W147" i="16"/>
  <c r="P147" i="16"/>
  <c r="O147" i="16"/>
  <c r="N147" i="16"/>
  <c r="K147" i="16"/>
  <c r="G147" i="16"/>
  <c r="D147" i="16"/>
  <c r="Q147" i="16" s="1"/>
  <c r="AC145" i="16"/>
  <c r="B295" i="17"/>
  <c r="AB145" i="16"/>
  <c r="H145" i="16" s="1"/>
  <c r="I295" i="17" s="1"/>
  <c r="AA145" i="16"/>
  <c r="I145" i="16" s="1"/>
  <c r="I144" i="16" s="1"/>
  <c r="Z145" i="16"/>
  <c r="J145" i="16" s="1"/>
  <c r="Y145" i="16"/>
  <c r="G145" i="16" s="1"/>
  <c r="H295" i="17" s="1"/>
  <c r="K295" i="17" s="1"/>
  <c r="X145" i="16"/>
  <c r="F145" i="16"/>
  <c r="W145" i="16"/>
  <c r="P145" i="16"/>
  <c r="O145" i="16"/>
  <c r="N145" i="16"/>
  <c r="K145" i="16"/>
  <c r="D145" i="16"/>
  <c r="Q145" i="16"/>
  <c r="AC143" i="16"/>
  <c r="B294" i="17" s="1"/>
  <c r="AB143" i="16"/>
  <c r="H143" i="16" s="1"/>
  <c r="AA143" i="16"/>
  <c r="I143" i="16" s="1"/>
  <c r="Z143" i="16"/>
  <c r="Y143" i="16"/>
  <c r="G143" i="16" s="1"/>
  <c r="X143" i="16"/>
  <c r="F143" i="16" s="1"/>
  <c r="W143" i="16"/>
  <c r="P143" i="16"/>
  <c r="O143" i="16"/>
  <c r="N143" i="16"/>
  <c r="K143" i="16"/>
  <c r="J143" i="16"/>
  <c r="AC141" i="16"/>
  <c r="B293" i="17"/>
  <c r="AB141" i="16"/>
  <c r="H141" i="16" s="1"/>
  <c r="I293" i="17" s="1"/>
  <c r="AA141" i="16"/>
  <c r="I141" i="16" s="1"/>
  <c r="Z141" i="16"/>
  <c r="J141" i="16" s="1"/>
  <c r="Y141" i="16"/>
  <c r="G141" i="16" s="1"/>
  <c r="X141" i="16"/>
  <c r="F141" i="16"/>
  <c r="W141" i="16"/>
  <c r="P141" i="16"/>
  <c r="O141" i="16"/>
  <c r="N141" i="16"/>
  <c r="K141" i="16"/>
  <c r="AC139" i="16"/>
  <c r="B292" i="17"/>
  <c r="AB139" i="16"/>
  <c r="H139" i="16" s="1"/>
  <c r="AA139" i="16"/>
  <c r="I139" i="16" s="1"/>
  <c r="Z139" i="16"/>
  <c r="J139" i="16" s="1"/>
  <c r="G292" i="17" s="1"/>
  <c r="Y139" i="16"/>
  <c r="X139" i="16"/>
  <c r="F139" i="16" s="1"/>
  <c r="F138" i="16" s="1"/>
  <c r="W139" i="16"/>
  <c r="P139" i="16"/>
  <c r="O139" i="16"/>
  <c r="N139" i="16"/>
  <c r="K139" i="16"/>
  <c r="G139" i="16"/>
  <c r="H292" i="17" s="1"/>
  <c r="K292" i="17" s="1"/>
  <c r="D139" i="16"/>
  <c r="Q139" i="16" s="1"/>
  <c r="AC137" i="16"/>
  <c r="B291" i="17"/>
  <c r="AB137" i="16"/>
  <c r="H137" i="16" s="1"/>
  <c r="AA137" i="16"/>
  <c r="I137" i="16" s="1"/>
  <c r="I136" i="16" s="1"/>
  <c r="Z137" i="16"/>
  <c r="J137" i="16" s="1"/>
  <c r="Y137" i="16"/>
  <c r="G137" i="16" s="1"/>
  <c r="S137" i="16" s="1"/>
  <c r="X137" i="16"/>
  <c r="F137" i="16"/>
  <c r="F136" i="16" s="1"/>
  <c r="W137" i="16"/>
  <c r="P137" i="16"/>
  <c r="O137" i="16"/>
  <c r="N137" i="16"/>
  <c r="K137" i="16"/>
  <c r="D137" i="16"/>
  <c r="Q137" i="16"/>
  <c r="AC135" i="16"/>
  <c r="B290" i="17" s="1"/>
  <c r="AB135" i="16"/>
  <c r="H135" i="16" s="1"/>
  <c r="AA135" i="16"/>
  <c r="I135" i="16" s="1"/>
  <c r="Z135" i="16"/>
  <c r="J135" i="16"/>
  <c r="Y135" i="16"/>
  <c r="G135" i="16" s="1"/>
  <c r="H290" i="17" s="1"/>
  <c r="K290" i="17" s="1"/>
  <c r="X135" i="16"/>
  <c r="F135" i="16"/>
  <c r="W135" i="16"/>
  <c r="V135" i="16"/>
  <c r="P135" i="16"/>
  <c r="O135" i="16"/>
  <c r="N135" i="16"/>
  <c r="K135" i="16"/>
  <c r="A131" i="16"/>
  <c r="AC125" i="16"/>
  <c r="AB125" i="16"/>
  <c r="H125" i="16"/>
  <c r="I261" i="17" s="1"/>
  <c r="AA125" i="16"/>
  <c r="I125" i="16" s="1"/>
  <c r="I124" i="16" s="1"/>
  <c r="Z125" i="16"/>
  <c r="Y125" i="16"/>
  <c r="G125" i="16" s="1"/>
  <c r="X125" i="16"/>
  <c r="F125" i="16" s="1"/>
  <c r="W125" i="16"/>
  <c r="C261" i="17" s="1"/>
  <c r="P125" i="16"/>
  <c r="O125" i="16"/>
  <c r="N125" i="16"/>
  <c r="K125" i="16"/>
  <c r="J125" i="16"/>
  <c r="AC123" i="16"/>
  <c r="B260" i="17" s="1"/>
  <c r="AB123" i="16"/>
  <c r="AA123" i="16"/>
  <c r="I123" i="16"/>
  <c r="J260" i="17" s="1"/>
  <c r="Z123" i="16"/>
  <c r="Y123" i="16"/>
  <c r="G123" i="16"/>
  <c r="X123" i="16"/>
  <c r="F123" i="16" s="1"/>
  <c r="W123" i="16"/>
  <c r="C260" i="17"/>
  <c r="P123" i="16"/>
  <c r="O123" i="16"/>
  <c r="N123" i="16"/>
  <c r="K123" i="16"/>
  <c r="J123" i="16"/>
  <c r="H123" i="16"/>
  <c r="L123" i="16" s="1"/>
  <c r="AC121" i="16"/>
  <c r="B259" i="17"/>
  <c r="AB121" i="16"/>
  <c r="H121" i="16" s="1"/>
  <c r="AA121" i="16"/>
  <c r="I121" i="16"/>
  <c r="J259" i="17" s="1"/>
  <c r="Z121" i="16"/>
  <c r="J121" i="16" s="1"/>
  <c r="Y121" i="16"/>
  <c r="G121" i="16" s="1"/>
  <c r="X121" i="16"/>
  <c r="F121" i="16"/>
  <c r="W121" i="16"/>
  <c r="C259" i="17" s="1"/>
  <c r="P121" i="16"/>
  <c r="O121" i="16"/>
  <c r="N121" i="16"/>
  <c r="K121" i="16"/>
  <c r="D121" i="16"/>
  <c r="Q121" i="16" s="1"/>
  <c r="AC119" i="16"/>
  <c r="B258" i="17"/>
  <c r="AB119" i="16"/>
  <c r="AA119" i="16"/>
  <c r="I119" i="16" s="1"/>
  <c r="Z119" i="16"/>
  <c r="J119" i="16" s="1"/>
  <c r="Y119" i="16"/>
  <c r="G119" i="16" s="1"/>
  <c r="H258" i="17" s="1"/>
  <c r="K258" i="17" s="1"/>
  <c r="X119" i="16"/>
  <c r="F119" i="16"/>
  <c r="W119" i="16"/>
  <c r="C258" i="17" s="1"/>
  <c r="P119" i="16"/>
  <c r="O119" i="16"/>
  <c r="N119" i="16"/>
  <c r="K119" i="16"/>
  <c r="H119" i="16"/>
  <c r="AC117" i="16"/>
  <c r="AB117" i="16"/>
  <c r="H117" i="16"/>
  <c r="AA117" i="16"/>
  <c r="I117" i="16" s="1"/>
  <c r="I116" i="16" s="1"/>
  <c r="Z117" i="16"/>
  <c r="Y117" i="16"/>
  <c r="G117" i="16"/>
  <c r="G116" i="16" s="1"/>
  <c r="X117" i="16"/>
  <c r="F117" i="16" s="1"/>
  <c r="W117" i="16"/>
  <c r="C257" i="17"/>
  <c r="P117" i="16"/>
  <c r="O117" i="16"/>
  <c r="N117" i="16"/>
  <c r="K117" i="16"/>
  <c r="J117" i="16"/>
  <c r="AC115" i="16"/>
  <c r="B256" i="17" s="1"/>
  <c r="AB115" i="16"/>
  <c r="AA115" i="16"/>
  <c r="I115" i="16" s="1"/>
  <c r="Z115" i="16"/>
  <c r="Y115" i="16"/>
  <c r="G115" i="16"/>
  <c r="X115" i="16"/>
  <c r="F115" i="16" s="1"/>
  <c r="F256" i="17" s="1"/>
  <c r="W115" i="16"/>
  <c r="C256" i="17"/>
  <c r="P115" i="16"/>
  <c r="O115" i="16"/>
  <c r="N115" i="16"/>
  <c r="K115" i="16"/>
  <c r="J115" i="16"/>
  <c r="H115" i="16"/>
  <c r="AC113" i="16"/>
  <c r="B227" i="17"/>
  <c r="AB113" i="16"/>
  <c r="H113" i="16" s="1"/>
  <c r="AA113" i="16"/>
  <c r="I113" i="16"/>
  <c r="Z113" i="16"/>
  <c r="Y113" i="16"/>
  <c r="G113" i="16" s="1"/>
  <c r="X113" i="16"/>
  <c r="F113" i="16" s="1"/>
  <c r="W113" i="16"/>
  <c r="C227" i="17" s="1"/>
  <c r="P113" i="16"/>
  <c r="O113" i="16"/>
  <c r="N113" i="16"/>
  <c r="K113" i="16"/>
  <c r="J113" i="16"/>
  <c r="D113" i="16"/>
  <c r="Q113" i="16" s="1"/>
  <c r="AC111" i="16"/>
  <c r="B226" i="17"/>
  <c r="AB111" i="16"/>
  <c r="H111" i="16" s="1"/>
  <c r="I226" i="17" s="1"/>
  <c r="AA111" i="16"/>
  <c r="I111" i="16" s="1"/>
  <c r="Z111" i="16"/>
  <c r="J111" i="16" s="1"/>
  <c r="Y111" i="16"/>
  <c r="G111" i="16" s="1"/>
  <c r="X111" i="16"/>
  <c r="F111" i="16"/>
  <c r="F226" i="17" s="1"/>
  <c r="W111" i="16"/>
  <c r="C226" i="17" s="1"/>
  <c r="P111" i="16"/>
  <c r="O111" i="16"/>
  <c r="N111" i="16"/>
  <c r="K111" i="16"/>
  <c r="AC109" i="16"/>
  <c r="AB109" i="16"/>
  <c r="H109" i="16"/>
  <c r="I225" i="17" s="1"/>
  <c r="AA109" i="16"/>
  <c r="I109" i="16" s="1"/>
  <c r="I108" i="16" s="1"/>
  <c r="Z109" i="16"/>
  <c r="Y109" i="16"/>
  <c r="G109" i="16" s="1"/>
  <c r="S109" i="16" s="1"/>
  <c r="X109" i="16"/>
  <c r="F109" i="16" s="1"/>
  <c r="W109" i="16"/>
  <c r="C225" i="17" s="1"/>
  <c r="P109" i="16"/>
  <c r="O109" i="16"/>
  <c r="N109" i="16"/>
  <c r="K109" i="16"/>
  <c r="J109" i="16"/>
  <c r="G225" i="17" s="1"/>
  <c r="AC107" i="16"/>
  <c r="B224" i="17" s="1"/>
  <c r="AB107" i="16"/>
  <c r="AA107" i="16"/>
  <c r="I107" i="16"/>
  <c r="Z107" i="16"/>
  <c r="Y107" i="16"/>
  <c r="G107" i="16"/>
  <c r="X107" i="16"/>
  <c r="F107" i="16" s="1"/>
  <c r="W107" i="16"/>
  <c r="C224" i="17"/>
  <c r="P107" i="16"/>
  <c r="O107" i="16"/>
  <c r="N107" i="16"/>
  <c r="K107" i="16"/>
  <c r="J107" i="16"/>
  <c r="G224" i="17" s="1"/>
  <c r="H107" i="16"/>
  <c r="L107" i="16" s="1"/>
  <c r="AC105" i="16"/>
  <c r="B223" i="17"/>
  <c r="AB105" i="16"/>
  <c r="H105" i="16" s="1"/>
  <c r="AA105" i="16"/>
  <c r="I105" i="16"/>
  <c r="J223" i="17" s="1"/>
  <c r="Z105" i="16"/>
  <c r="J105" i="16" s="1"/>
  <c r="G223" i="17" s="1"/>
  <c r="Y105" i="16"/>
  <c r="G105" i="16" s="1"/>
  <c r="H223" i="17" s="1"/>
  <c r="K223" i="17" s="1"/>
  <c r="X105" i="16"/>
  <c r="F105" i="16"/>
  <c r="F223" i="17" s="1"/>
  <c r="W105" i="16"/>
  <c r="C223" i="17" s="1"/>
  <c r="P105" i="16"/>
  <c r="O105" i="16"/>
  <c r="N105" i="16"/>
  <c r="K105" i="16"/>
  <c r="D105" i="16"/>
  <c r="Q105" i="16" s="1"/>
  <c r="AC103" i="16"/>
  <c r="B222" i="17"/>
  <c r="AB103" i="16"/>
  <c r="H103" i="16" s="1"/>
  <c r="H102" i="16" s="1"/>
  <c r="AA103" i="16"/>
  <c r="I103" i="16"/>
  <c r="J222" i="17" s="1"/>
  <c r="Z103" i="16"/>
  <c r="J103" i="16" s="1"/>
  <c r="J102" i="16" s="1"/>
  <c r="Y103" i="16"/>
  <c r="G103" i="16"/>
  <c r="X103" i="16"/>
  <c r="F103" i="16" s="1"/>
  <c r="W103" i="16"/>
  <c r="C222" i="17"/>
  <c r="V103" i="16"/>
  <c r="A99" i="16" s="1"/>
  <c r="P103" i="16"/>
  <c r="O103" i="16"/>
  <c r="N103" i="16"/>
  <c r="K103" i="16"/>
  <c r="AC93" i="16"/>
  <c r="AB93" i="16"/>
  <c r="H93" i="16" s="1"/>
  <c r="AA93" i="16"/>
  <c r="I93" i="16" s="1"/>
  <c r="Z93" i="16"/>
  <c r="Y93" i="16"/>
  <c r="G93" i="16" s="1"/>
  <c r="X93" i="16"/>
  <c r="F93" i="16" s="1"/>
  <c r="W93" i="16"/>
  <c r="C193" i="17"/>
  <c r="P93" i="16"/>
  <c r="O93" i="16"/>
  <c r="N93" i="16"/>
  <c r="K93" i="16"/>
  <c r="J93" i="16"/>
  <c r="AC91" i="16"/>
  <c r="AB91" i="16"/>
  <c r="H91" i="16" s="1"/>
  <c r="AA91" i="16"/>
  <c r="I91" i="16" s="1"/>
  <c r="Z91" i="16"/>
  <c r="J91" i="16"/>
  <c r="G192" i="17" s="1"/>
  <c r="Y91" i="16"/>
  <c r="G91" i="16" s="1"/>
  <c r="G90" i="16" s="1"/>
  <c r="X91" i="16"/>
  <c r="F91" i="16"/>
  <c r="F192" i="17" s="1"/>
  <c r="W91" i="16"/>
  <c r="C192" i="17" s="1"/>
  <c r="P91" i="16"/>
  <c r="O91" i="16"/>
  <c r="N91" i="16"/>
  <c r="K91" i="16"/>
  <c r="AC89" i="16"/>
  <c r="AB89" i="16"/>
  <c r="H89" i="16" s="1"/>
  <c r="AA89" i="16"/>
  <c r="I89" i="16" s="1"/>
  <c r="J191" i="17" s="1"/>
  <c r="Z89" i="16"/>
  <c r="J89" i="16" s="1"/>
  <c r="Y89" i="16"/>
  <c r="G89" i="16" s="1"/>
  <c r="S89" i="16" s="1"/>
  <c r="X89" i="16"/>
  <c r="F89" i="16"/>
  <c r="W89" i="16"/>
  <c r="C191" i="17" s="1"/>
  <c r="P89" i="16"/>
  <c r="O89" i="16"/>
  <c r="N89" i="16"/>
  <c r="K89" i="16"/>
  <c r="AC87" i="16"/>
  <c r="AB87" i="16"/>
  <c r="H87" i="16" s="1"/>
  <c r="AA87" i="16"/>
  <c r="I87" i="16"/>
  <c r="J190" i="17" s="1"/>
  <c r="Z87" i="16"/>
  <c r="Y87" i="16"/>
  <c r="G87" i="16"/>
  <c r="X87" i="16"/>
  <c r="F87" i="16" s="1"/>
  <c r="W87" i="16"/>
  <c r="C190" i="17"/>
  <c r="P87" i="16"/>
  <c r="O87" i="16"/>
  <c r="N87" i="16"/>
  <c r="K87" i="16"/>
  <c r="J87" i="16"/>
  <c r="AC85" i="16"/>
  <c r="AB85" i="16"/>
  <c r="H85" i="16"/>
  <c r="AA85" i="16"/>
  <c r="I85" i="16" s="1"/>
  <c r="Z85" i="16"/>
  <c r="Y85" i="16"/>
  <c r="G85" i="16" s="1"/>
  <c r="X85" i="16"/>
  <c r="F85" i="16" s="1"/>
  <c r="W85" i="16"/>
  <c r="C189" i="17"/>
  <c r="P85" i="16"/>
  <c r="O85" i="16"/>
  <c r="N85" i="16"/>
  <c r="K85" i="16"/>
  <c r="J85" i="16"/>
  <c r="AC83" i="16"/>
  <c r="AB83" i="16"/>
  <c r="H83" i="16" s="1"/>
  <c r="AA83" i="16"/>
  <c r="I83" i="16" s="1"/>
  <c r="J188" i="17" s="1"/>
  <c r="Z83" i="16"/>
  <c r="Y83" i="16"/>
  <c r="G83" i="16"/>
  <c r="H188" i="17" s="1"/>
  <c r="K188" i="17" s="1"/>
  <c r="X83" i="16"/>
  <c r="F83" i="16" s="1"/>
  <c r="W83" i="16"/>
  <c r="C188" i="17"/>
  <c r="P83" i="16"/>
  <c r="O83" i="16"/>
  <c r="N83" i="16"/>
  <c r="K83" i="16"/>
  <c r="J83" i="16"/>
  <c r="J82" i="16" s="1"/>
  <c r="AC81" i="16"/>
  <c r="AB81" i="16"/>
  <c r="H81" i="16" s="1"/>
  <c r="AA81" i="16"/>
  <c r="I81" i="16" s="1"/>
  <c r="Z81" i="16"/>
  <c r="J81" i="16" s="1"/>
  <c r="Y81" i="16"/>
  <c r="G81" i="16" s="1"/>
  <c r="G80" i="16" s="1"/>
  <c r="X81" i="16"/>
  <c r="W81" i="16"/>
  <c r="C159" i="17"/>
  <c r="P81" i="16"/>
  <c r="O81" i="16"/>
  <c r="N81" i="16"/>
  <c r="K81" i="16"/>
  <c r="F81" i="16"/>
  <c r="F159" i="17" s="1"/>
  <c r="AC79" i="16"/>
  <c r="AB79" i="16"/>
  <c r="AA79" i="16"/>
  <c r="I79" i="16"/>
  <c r="J158" i="17" s="1"/>
  <c r="Z79" i="16"/>
  <c r="J79" i="16" s="1"/>
  <c r="Y79" i="16"/>
  <c r="G79" i="16" s="1"/>
  <c r="X79" i="16"/>
  <c r="F79" i="16" s="1"/>
  <c r="W79" i="16"/>
  <c r="C158" i="17" s="1"/>
  <c r="P79" i="16"/>
  <c r="O79" i="16"/>
  <c r="N79" i="16"/>
  <c r="K79" i="16"/>
  <c r="H79" i="16"/>
  <c r="I158" i="17" s="1"/>
  <c r="AC77" i="16"/>
  <c r="AB77" i="16"/>
  <c r="AA77" i="16"/>
  <c r="I77" i="16" s="1"/>
  <c r="I76" i="16" s="1"/>
  <c r="Z77" i="16"/>
  <c r="Y77" i="16"/>
  <c r="G77" i="16"/>
  <c r="H157" i="17" s="1"/>
  <c r="K157" i="17" s="1"/>
  <c r="X77" i="16"/>
  <c r="F77" i="16" s="1"/>
  <c r="W77" i="16"/>
  <c r="C157" i="17" s="1"/>
  <c r="P77" i="16"/>
  <c r="O77" i="16"/>
  <c r="N77" i="16"/>
  <c r="K77" i="16"/>
  <c r="J77" i="16"/>
  <c r="G157" i="17" s="1"/>
  <c r="H77" i="16"/>
  <c r="AC75" i="16"/>
  <c r="AB75" i="16"/>
  <c r="H75" i="16"/>
  <c r="AA75" i="16"/>
  <c r="I75" i="16" s="1"/>
  <c r="Z75" i="16"/>
  <c r="J75" i="16"/>
  <c r="Y75" i="16"/>
  <c r="G75" i="16" s="1"/>
  <c r="X75" i="16"/>
  <c r="F75" i="16" s="1"/>
  <c r="F156" i="17" s="1"/>
  <c r="W75" i="16"/>
  <c r="C156" i="17" s="1"/>
  <c r="P75" i="16"/>
  <c r="O75" i="16"/>
  <c r="N75" i="16"/>
  <c r="K75" i="16"/>
  <c r="AC73" i="16"/>
  <c r="AB73" i="16"/>
  <c r="H73" i="16" s="1"/>
  <c r="AA73" i="16"/>
  <c r="I73" i="16"/>
  <c r="Z73" i="16"/>
  <c r="J73" i="16" s="1"/>
  <c r="J72" i="16" s="1"/>
  <c r="Y73" i="16"/>
  <c r="G73" i="16"/>
  <c r="X73" i="16"/>
  <c r="F73" i="16" s="1"/>
  <c r="F155" i="17" s="1"/>
  <c r="W73" i="16"/>
  <c r="C155" i="17"/>
  <c r="P73" i="16"/>
  <c r="O73" i="16"/>
  <c r="N73" i="16"/>
  <c r="K73" i="16"/>
  <c r="AC71" i="16"/>
  <c r="B154" i="17" s="1"/>
  <c r="AB71" i="16"/>
  <c r="H71" i="16"/>
  <c r="I154" i="17" s="1"/>
  <c r="AA71" i="16"/>
  <c r="I71" i="16" s="1"/>
  <c r="I70" i="16" s="1"/>
  <c r="Z71" i="16"/>
  <c r="J71" i="16"/>
  <c r="Y71" i="16"/>
  <c r="G71" i="16" s="1"/>
  <c r="X71" i="16"/>
  <c r="F71" i="16" s="1"/>
  <c r="W71" i="16"/>
  <c r="V71" i="16"/>
  <c r="A67" i="16" s="1"/>
  <c r="P71" i="16"/>
  <c r="O71" i="16"/>
  <c r="N71" i="16"/>
  <c r="K71" i="16"/>
  <c r="AC61" i="16"/>
  <c r="B125" i="17" s="1"/>
  <c r="AB61" i="16"/>
  <c r="H61" i="16" s="1"/>
  <c r="AA61" i="16"/>
  <c r="I61" i="16"/>
  <c r="J125" i="17" s="1"/>
  <c r="Z61" i="16"/>
  <c r="Y61" i="16"/>
  <c r="G61" i="16"/>
  <c r="H125" i="17" s="1"/>
  <c r="K125" i="17" s="1"/>
  <c r="X61" i="16"/>
  <c r="F61" i="16" s="1"/>
  <c r="F125" i="17" s="1"/>
  <c r="W61" i="16"/>
  <c r="C125" i="17"/>
  <c r="P61" i="16"/>
  <c r="O61" i="16"/>
  <c r="N61" i="16"/>
  <c r="K61" i="16"/>
  <c r="J61" i="16"/>
  <c r="G125" i="17" s="1"/>
  <c r="D61" i="16"/>
  <c r="Q61" i="16" s="1"/>
  <c r="AC59" i="16"/>
  <c r="B124" i="17" s="1"/>
  <c r="AB59" i="16"/>
  <c r="AA59" i="16"/>
  <c r="I59" i="16"/>
  <c r="J124" i="17" s="1"/>
  <c r="Z59" i="16"/>
  <c r="Y59" i="16"/>
  <c r="G59" i="16" s="1"/>
  <c r="G58" i="16" s="1"/>
  <c r="X59" i="16"/>
  <c r="F59" i="16" s="1"/>
  <c r="F58" i="16" s="1"/>
  <c r="W59" i="16"/>
  <c r="C124" i="17" s="1"/>
  <c r="P59" i="16"/>
  <c r="O59" i="16"/>
  <c r="N59" i="16"/>
  <c r="K59" i="16"/>
  <c r="J59" i="16"/>
  <c r="H59" i="16"/>
  <c r="I124" i="17" s="1"/>
  <c r="B58" i="16"/>
  <c r="B59" i="16" s="1"/>
  <c r="AC57" i="16"/>
  <c r="B123" i="17"/>
  <c r="AB57" i="16"/>
  <c r="H57" i="16" s="1"/>
  <c r="AA57" i="16"/>
  <c r="I57" i="16" s="1"/>
  <c r="Z57" i="16"/>
  <c r="J57" i="16" s="1"/>
  <c r="Y57" i="16"/>
  <c r="G57" i="16"/>
  <c r="X57" i="16"/>
  <c r="F57" i="16"/>
  <c r="F123" i="17" s="1"/>
  <c r="W57" i="16"/>
  <c r="C123" i="17"/>
  <c r="P57" i="16"/>
  <c r="O57" i="16"/>
  <c r="N57" i="16"/>
  <c r="K57" i="16"/>
  <c r="D57" i="16"/>
  <c r="Q57" i="16" s="1"/>
  <c r="AC55" i="16"/>
  <c r="B122" i="17" s="1"/>
  <c r="AB55" i="16"/>
  <c r="H55" i="16" s="1"/>
  <c r="H54" i="16" s="1"/>
  <c r="AA55" i="16"/>
  <c r="I55" i="16"/>
  <c r="Z55" i="16"/>
  <c r="J55" i="16" s="1"/>
  <c r="Y55" i="16"/>
  <c r="G55" i="16"/>
  <c r="X55" i="16"/>
  <c r="F55" i="16" s="1"/>
  <c r="W55" i="16"/>
  <c r="C122" i="17" s="1"/>
  <c r="P55" i="16"/>
  <c r="O55" i="16"/>
  <c r="N55" i="16"/>
  <c r="K55" i="16"/>
  <c r="D55" i="16"/>
  <c r="Q55" i="16" s="1"/>
  <c r="AC53" i="16"/>
  <c r="B121" i="17" s="1"/>
  <c r="AB53" i="16"/>
  <c r="H53" i="16" s="1"/>
  <c r="AA53" i="16"/>
  <c r="I53" i="16" s="1"/>
  <c r="Z53" i="16"/>
  <c r="Y53" i="16"/>
  <c r="G53" i="16"/>
  <c r="X53" i="16"/>
  <c r="F53" i="16" s="1"/>
  <c r="W53" i="16"/>
  <c r="C121" i="17"/>
  <c r="P53" i="16"/>
  <c r="O53" i="16"/>
  <c r="N53" i="16"/>
  <c r="K53" i="16"/>
  <c r="J53" i="16"/>
  <c r="G121" i="17" s="1"/>
  <c r="AC51" i="16"/>
  <c r="B120" i="17"/>
  <c r="AB51" i="16"/>
  <c r="H51" i="16" s="1"/>
  <c r="I120" i="17" s="1"/>
  <c r="AA51" i="16"/>
  <c r="I51" i="16"/>
  <c r="Z51" i="16"/>
  <c r="J51" i="16" s="1"/>
  <c r="Y51" i="16"/>
  <c r="G51" i="16" s="1"/>
  <c r="H120" i="17" s="1"/>
  <c r="K120" i="17" s="1"/>
  <c r="X51" i="16"/>
  <c r="F51" i="16"/>
  <c r="F50" i="16" s="1"/>
  <c r="W51" i="16"/>
  <c r="C120" i="17" s="1"/>
  <c r="P51" i="16"/>
  <c r="O51" i="16"/>
  <c r="N51" i="16"/>
  <c r="K51" i="16"/>
  <c r="AC49" i="16"/>
  <c r="B91" i="17" s="1"/>
  <c r="AB49" i="16"/>
  <c r="H49" i="16" s="1"/>
  <c r="AA49" i="16"/>
  <c r="I49" i="16" s="1"/>
  <c r="Z49" i="16"/>
  <c r="J49" i="16" s="1"/>
  <c r="Y49" i="16"/>
  <c r="G49" i="16" s="1"/>
  <c r="X49" i="16"/>
  <c r="F49" i="16"/>
  <c r="W49" i="16"/>
  <c r="C91" i="17" s="1"/>
  <c r="P49" i="16"/>
  <c r="O49" i="16"/>
  <c r="N49" i="16"/>
  <c r="K49" i="16"/>
  <c r="AC47" i="16"/>
  <c r="B90" i="17"/>
  <c r="AB47" i="16"/>
  <c r="H47" i="16" s="1"/>
  <c r="I90" i="17" s="1"/>
  <c r="AA47" i="16"/>
  <c r="Z47" i="16"/>
  <c r="J47" i="16" s="1"/>
  <c r="Y47" i="16"/>
  <c r="G47" i="16"/>
  <c r="H90" i="17" s="1"/>
  <c r="K90" i="17" s="1"/>
  <c r="X47" i="16"/>
  <c r="F47" i="16"/>
  <c r="F90" i="17" s="1"/>
  <c r="W47" i="16"/>
  <c r="C90" i="17"/>
  <c r="P47" i="16"/>
  <c r="O47" i="16"/>
  <c r="N47" i="16"/>
  <c r="K47" i="16"/>
  <c r="I47" i="16"/>
  <c r="J90" i="17" s="1"/>
  <c r="AC45" i="16"/>
  <c r="B89" i="17" s="1"/>
  <c r="AB45" i="16"/>
  <c r="H45" i="16" s="1"/>
  <c r="AA45" i="16"/>
  <c r="I45" i="16" s="1"/>
  <c r="Z45" i="16"/>
  <c r="Y45" i="16"/>
  <c r="G45" i="16" s="1"/>
  <c r="X45" i="16"/>
  <c r="F45" i="16" s="1"/>
  <c r="W45" i="16"/>
  <c r="C89" i="17"/>
  <c r="P45" i="16"/>
  <c r="O45" i="16"/>
  <c r="N45" i="16"/>
  <c r="K45" i="16"/>
  <c r="J45" i="16"/>
  <c r="G89" i="17" s="1"/>
  <c r="AC43" i="16"/>
  <c r="B88" i="17"/>
  <c r="AB43" i="16"/>
  <c r="H43" i="16" s="1"/>
  <c r="AA43" i="16"/>
  <c r="Z43" i="16"/>
  <c r="J43" i="16" s="1"/>
  <c r="Y43" i="16"/>
  <c r="G43" i="16"/>
  <c r="X43" i="16"/>
  <c r="F43" i="16"/>
  <c r="W43" i="16"/>
  <c r="C88" i="17"/>
  <c r="P43" i="16"/>
  <c r="O43" i="16"/>
  <c r="N43" i="16"/>
  <c r="K43" i="16"/>
  <c r="I43" i="16"/>
  <c r="J88" i="17" s="1"/>
  <c r="AC41" i="16"/>
  <c r="B87" i="17" s="1"/>
  <c r="AB41" i="16"/>
  <c r="H41" i="16" s="1"/>
  <c r="AA41" i="16"/>
  <c r="I41" i="16" s="1"/>
  <c r="Z41" i="16"/>
  <c r="J41" i="16" s="1"/>
  <c r="Y41" i="16"/>
  <c r="G41" i="16" s="1"/>
  <c r="G40" i="16" s="1"/>
  <c r="X41" i="16"/>
  <c r="F41" i="16"/>
  <c r="F40" i="16" s="1"/>
  <c r="W41" i="16"/>
  <c r="C87" i="17" s="1"/>
  <c r="P41" i="16"/>
  <c r="O41" i="16"/>
  <c r="N41" i="16"/>
  <c r="K41" i="16"/>
  <c r="AC39" i="16"/>
  <c r="AB39" i="16"/>
  <c r="H39" i="16"/>
  <c r="H38" i="16" s="1"/>
  <c r="AA39" i="16"/>
  <c r="I39" i="16"/>
  <c r="I38" i="16" s="1"/>
  <c r="Z39" i="16"/>
  <c r="J39" i="16" s="1"/>
  <c r="Y39" i="16"/>
  <c r="G39" i="16" s="1"/>
  <c r="S39" i="16" s="1"/>
  <c r="X39" i="16"/>
  <c r="F39" i="16" s="1"/>
  <c r="W39" i="16"/>
  <c r="C86" i="17" s="1"/>
  <c r="V39" i="16"/>
  <c r="A35" i="16" s="1"/>
  <c r="P39" i="16"/>
  <c r="O39" i="16"/>
  <c r="N39" i="16"/>
  <c r="K39" i="16"/>
  <c r="AC29" i="16"/>
  <c r="B57" i="17" s="1"/>
  <c r="AB29" i="16"/>
  <c r="H29" i="16"/>
  <c r="I57" i="17" s="1"/>
  <c r="AA29" i="16"/>
  <c r="I29" i="16" s="1"/>
  <c r="Z29" i="16"/>
  <c r="Y29" i="16"/>
  <c r="G29" i="16"/>
  <c r="G28" i="16" s="1"/>
  <c r="X29" i="16"/>
  <c r="F29" i="16" s="1"/>
  <c r="F57" i="17" s="1"/>
  <c r="W29" i="16"/>
  <c r="C57" i="17"/>
  <c r="P29" i="16"/>
  <c r="O29" i="16"/>
  <c r="N29" i="16"/>
  <c r="K29" i="16"/>
  <c r="J29" i="16"/>
  <c r="AC27" i="16"/>
  <c r="B56" i="17" s="1"/>
  <c r="AB27" i="16"/>
  <c r="H27" i="16" s="1"/>
  <c r="I56" i="17" s="1"/>
  <c r="AA27" i="16"/>
  <c r="I27" i="16"/>
  <c r="Z27" i="16"/>
  <c r="J27" i="16" s="1"/>
  <c r="Y27" i="16"/>
  <c r="G27" i="16" s="1"/>
  <c r="H56" i="17" s="1"/>
  <c r="K56" i="17" s="1"/>
  <c r="X27" i="16"/>
  <c r="F27" i="16"/>
  <c r="W27" i="16"/>
  <c r="C56" i="17"/>
  <c r="P27" i="16"/>
  <c r="O27" i="16"/>
  <c r="N27" i="16"/>
  <c r="K27" i="16"/>
  <c r="AC25" i="16"/>
  <c r="B55" i="17"/>
  <c r="AB25" i="16"/>
  <c r="H25" i="16"/>
  <c r="I55" i="17" s="1"/>
  <c r="AA25" i="16"/>
  <c r="I25" i="16" s="1"/>
  <c r="J55" i="17" s="1"/>
  <c r="Z25" i="16"/>
  <c r="Y25" i="16"/>
  <c r="G25" i="16"/>
  <c r="G24" i="16" s="1"/>
  <c r="X25" i="16"/>
  <c r="F25" i="16"/>
  <c r="W25" i="16"/>
  <c r="C55" i="17"/>
  <c r="P25" i="16"/>
  <c r="O25" i="16"/>
  <c r="N25" i="16"/>
  <c r="K25" i="16"/>
  <c r="J25" i="16"/>
  <c r="G55" i="17" s="1"/>
  <c r="B24" i="16"/>
  <c r="B25" i="16"/>
  <c r="AC23" i="16"/>
  <c r="B54" i="17" s="1"/>
  <c r="AB23" i="16"/>
  <c r="AA23" i="16"/>
  <c r="Z23" i="16"/>
  <c r="J23" i="16" s="1"/>
  <c r="Y23" i="16"/>
  <c r="G23" i="16" s="1"/>
  <c r="X23" i="16"/>
  <c r="F23" i="16" s="1"/>
  <c r="F54" i="17" s="1"/>
  <c r="W23" i="16"/>
  <c r="C54" i="17"/>
  <c r="P23" i="16"/>
  <c r="O23" i="16"/>
  <c r="N23" i="16"/>
  <c r="K23" i="16"/>
  <c r="I23" i="16"/>
  <c r="H23" i="16"/>
  <c r="B22" i="16"/>
  <c r="B23" i="16"/>
  <c r="AC21" i="16"/>
  <c r="B53" i="17"/>
  <c r="AB21" i="16"/>
  <c r="AA21" i="16"/>
  <c r="Z21" i="16"/>
  <c r="J21" i="16" s="1"/>
  <c r="G53" i="17" s="1"/>
  <c r="Y21" i="16"/>
  <c r="G21" i="16"/>
  <c r="H53" i="17" s="1"/>
  <c r="K53" i="17" s="1"/>
  <c r="X21" i="16"/>
  <c r="F21" i="16" s="1"/>
  <c r="F53" i="17" s="1"/>
  <c r="W21" i="16"/>
  <c r="C53" i="17"/>
  <c r="P21" i="16"/>
  <c r="O21" i="16"/>
  <c r="N21" i="16"/>
  <c r="K21" i="16"/>
  <c r="I21" i="16"/>
  <c r="H21" i="16"/>
  <c r="B20" i="16"/>
  <c r="B21" i="16"/>
  <c r="AC19" i="16"/>
  <c r="B52" i="17"/>
  <c r="AB19" i="16"/>
  <c r="AA19" i="16"/>
  <c r="Z19" i="16"/>
  <c r="J19" i="16" s="1"/>
  <c r="Y19" i="16"/>
  <c r="G19" i="16"/>
  <c r="X19" i="16"/>
  <c r="F19" i="16" s="1"/>
  <c r="F52" i="17" s="1"/>
  <c r="W19" i="16"/>
  <c r="C52" i="17"/>
  <c r="P19" i="16"/>
  <c r="O19" i="16"/>
  <c r="N19" i="16"/>
  <c r="K19" i="16"/>
  <c r="I19" i="16"/>
  <c r="H19" i="16"/>
  <c r="B18" i="16"/>
  <c r="B19" i="16"/>
  <c r="AC17" i="16"/>
  <c r="B23" i="17"/>
  <c r="AB17" i="16"/>
  <c r="AA17" i="16"/>
  <c r="Z17" i="16"/>
  <c r="J17" i="16" s="1"/>
  <c r="Y17" i="16"/>
  <c r="G17" i="16"/>
  <c r="H23" i="17" s="1"/>
  <c r="K23" i="17" s="1"/>
  <c r="X17" i="16"/>
  <c r="F17" i="16" s="1"/>
  <c r="F23" i="17" s="1"/>
  <c r="W17" i="16"/>
  <c r="C23" i="17"/>
  <c r="P17" i="16"/>
  <c r="O17" i="16"/>
  <c r="N17" i="16"/>
  <c r="K17" i="16"/>
  <c r="I17" i="16"/>
  <c r="H17" i="16"/>
  <c r="I23" i="17" s="1"/>
  <c r="B16" i="16"/>
  <c r="B17" i="16"/>
  <c r="AC15" i="16"/>
  <c r="B22" i="17"/>
  <c r="AB15" i="16"/>
  <c r="AA15" i="16"/>
  <c r="Z15" i="16"/>
  <c r="J15" i="16" s="1"/>
  <c r="Y15" i="16"/>
  <c r="G15" i="16"/>
  <c r="S15" i="16" s="1"/>
  <c r="X15" i="16"/>
  <c r="F15" i="16" s="1"/>
  <c r="W15" i="16"/>
  <c r="C22" i="17"/>
  <c r="P15" i="16"/>
  <c r="O15" i="16"/>
  <c r="N15" i="16"/>
  <c r="K15" i="16"/>
  <c r="I15" i="16"/>
  <c r="H15" i="16"/>
  <c r="H14" i="16" s="1"/>
  <c r="B14" i="16"/>
  <c r="B15" i="16"/>
  <c r="AC13" i="16"/>
  <c r="B21" i="17"/>
  <c r="AB13" i="16"/>
  <c r="AA13" i="16"/>
  <c r="Z13" i="16"/>
  <c r="J13" i="16" s="1"/>
  <c r="Y13" i="16"/>
  <c r="G13" i="16"/>
  <c r="H21" i="17" s="1"/>
  <c r="K21" i="17" s="1"/>
  <c r="X13" i="16"/>
  <c r="F13" i="16" s="1"/>
  <c r="W13" i="16"/>
  <c r="C21" i="17"/>
  <c r="P13" i="16"/>
  <c r="O13" i="16"/>
  <c r="N13" i="16"/>
  <c r="K13" i="16"/>
  <c r="I13" i="16"/>
  <c r="H13" i="16"/>
  <c r="B12" i="16"/>
  <c r="B13" i="16"/>
  <c r="AC11" i="16"/>
  <c r="B20" i="17"/>
  <c r="AB11" i="16"/>
  <c r="AA11" i="16"/>
  <c r="Z11" i="16"/>
  <c r="J11" i="16" s="1"/>
  <c r="G20" i="17" s="1"/>
  <c r="Y11" i="16"/>
  <c r="G11" i="16"/>
  <c r="S11" i="16" s="1"/>
  <c r="X11" i="16"/>
  <c r="F11" i="16" s="1"/>
  <c r="F20" i="17" s="1"/>
  <c r="W11" i="16"/>
  <c r="C20" i="17"/>
  <c r="P11" i="16"/>
  <c r="O11" i="16"/>
  <c r="N11" i="16"/>
  <c r="K11" i="16"/>
  <c r="I11" i="16"/>
  <c r="H11" i="16"/>
  <c r="H10" i="16" s="1"/>
  <c r="B10" i="16"/>
  <c r="B11" i="16"/>
  <c r="AC9" i="16"/>
  <c r="B19" i="17"/>
  <c r="AB9" i="16"/>
  <c r="AA9" i="16"/>
  <c r="Z9" i="16"/>
  <c r="J9" i="16" s="1"/>
  <c r="Y9" i="16"/>
  <c r="G9" i="16"/>
  <c r="S9" i="16" s="1"/>
  <c r="X9" i="16"/>
  <c r="F9" i="16" s="1"/>
  <c r="W9" i="16"/>
  <c r="C19" i="17"/>
  <c r="P9" i="16"/>
  <c r="O9" i="16"/>
  <c r="N9" i="16"/>
  <c r="K9" i="16"/>
  <c r="I9" i="16"/>
  <c r="H9" i="16"/>
  <c r="I19" i="17" s="1"/>
  <c r="B8" i="16"/>
  <c r="B9" i="16"/>
  <c r="AC7" i="16"/>
  <c r="B18" i="17"/>
  <c r="AB7" i="16"/>
  <c r="H7" i="16" s="1"/>
  <c r="AA7" i="16"/>
  <c r="I7" i="16"/>
  <c r="Z7" i="16"/>
  <c r="Y7" i="16"/>
  <c r="G7" i="16"/>
  <c r="X7" i="16"/>
  <c r="F7" i="16" s="1"/>
  <c r="W7" i="16"/>
  <c r="C18" i="17"/>
  <c r="V7" i="16"/>
  <c r="P7" i="16"/>
  <c r="O7" i="16"/>
  <c r="N7" i="16"/>
  <c r="K7" i="16"/>
  <c r="J7" i="16"/>
  <c r="G18" i="17" s="1"/>
  <c r="A3" i="16"/>
  <c r="O25" i="15"/>
  <c r="G25" i="15"/>
  <c r="I16" i="15" a="1"/>
  <c r="I16" i="15"/>
  <c r="A16" i="15" a="1"/>
  <c r="A16" i="15"/>
  <c r="O12" i="15"/>
  <c r="G12" i="15"/>
  <c r="I3" i="15" a="1"/>
  <c r="I3" i="15"/>
  <c r="A3" i="15" a="1"/>
  <c r="A3" i="15"/>
  <c r="H47" i="12" a="1"/>
  <c r="H47" i="12" s="1"/>
  <c r="G47" i="12" a="1"/>
  <c r="G47" i="12" s="1"/>
  <c r="E47" i="12" a="1"/>
  <c r="E47" i="12" s="1"/>
  <c r="F47" i="12" s="1"/>
  <c r="I47" i="12" s="1"/>
  <c r="O47" i="12" s="1"/>
  <c r="D47" i="12"/>
  <c r="H46" i="12" a="1"/>
  <c r="H46" i="12" s="1"/>
  <c r="G46" i="12" a="1"/>
  <c r="G46" i="12" s="1"/>
  <c r="E46" i="12" a="1"/>
  <c r="E46" i="12" s="1"/>
  <c r="F46" i="12" s="1"/>
  <c r="D46" i="12"/>
  <c r="H45" i="12" a="1"/>
  <c r="H45" i="12" s="1"/>
  <c r="G45" i="12" a="1"/>
  <c r="G45" i="12" s="1"/>
  <c r="E45" i="12" a="1"/>
  <c r="E45" i="12" s="1"/>
  <c r="F45" i="12" s="1"/>
  <c r="D45" i="12"/>
  <c r="H44" i="12" a="1"/>
  <c r="H44" i="12"/>
  <c r="G44" i="12" a="1"/>
  <c r="G44" i="12" s="1"/>
  <c r="E44" i="12" a="1"/>
  <c r="E44" i="12" s="1"/>
  <c r="F44" i="12" s="1"/>
  <c r="D44" i="12"/>
  <c r="H43" i="12" a="1"/>
  <c r="H43" i="12" s="1"/>
  <c r="G43" i="12" a="1"/>
  <c r="G43" i="12" s="1"/>
  <c r="E43" i="12" a="1"/>
  <c r="E43" i="12" s="1"/>
  <c r="D43" i="12"/>
  <c r="A43" i="12"/>
  <c r="A44" i="12"/>
  <c r="A45" i="12"/>
  <c r="H42" i="12" a="1"/>
  <c r="H42" i="12" s="1"/>
  <c r="G42" i="12" a="1"/>
  <c r="G42" i="12" s="1"/>
  <c r="E42" i="12" a="1"/>
  <c r="E42" i="12" s="1"/>
  <c r="D42" i="12"/>
  <c r="A42" i="12"/>
  <c r="H41" i="12" a="1"/>
  <c r="H41" i="12" s="1"/>
  <c r="G41" i="12" a="1"/>
  <c r="G41" i="12" s="1"/>
  <c r="E41" i="12" a="1"/>
  <c r="E41" i="12" s="1"/>
  <c r="D41" i="12"/>
  <c r="O39" i="12"/>
  <c r="G39" i="12" a="1"/>
  <c r="G39" i="12" s="1"/>
  <c r="E39" i="12" a="1"/>
  <c r="E39" i="12" s="1"/>
  <c r="C39" i="12"/>
  <c r="C36" i="12" a="1"/>
  <c r="C36" i="12" s="1"/>
  <c r="F34" i="11" s="1"/>
  <c r="B36" i="12" a="1"/>
  <c r="B36" i="12" s="1"/>
  <c r="A36" i="12"/>
  <c r="T33" i="12"/>
  <c r="T32" i="12"/>
  <c r="J32" i="12"/>
  <c r="I32" i="12"/>
  <c r="H31" i="12"/>
  <c r="G31" i="12"/>
  <c r="F31" i="12" a="1"/>
  <c r="F31" i="12" s="1"/>
  <c r="E31" i="12" a="1"/>
  <c r="E31" i="12" s="1"/>
  <c r="D31" i="12" a="1"/>
  <c r="D31" i="12" s="1"/>
  <c r="L31" i="12" s="1"/>
  <c r="C31" i="12"/>
  <c r="B31" i="12" s="1"/>
  <c r="H30" i="12"/>
  <c r="G30" i="12"/>
  <c r="F30" i="12" a="1"/>
  <c r="F30" i="12" s="1"/>
  <c r="E30" i="12" a="1"/>
  <c r="E30" i="12"/>
  <c r="D30" i="12" a="1"/>
  <c r="D30" i="12" s="1"/>
  <c r="L30" i="12" s="1"/>
  <c r="C30" i="12"/>
  <c r="B30" i="12"/>
  <c r="G29" i="12"/>
  <c r="F29" i="12" a="1"/>
  <c r="F29" i="12" s="1"/>
  <c r="E29" i="12" a="1"/>
  <c r="E29" i="12"/>
  <c r="D29" i="12" a="1"/>
  <c r="D29" i="12" s="1"/>
  <c r="C29" i="12"/>
  <c r="B29" i="12" s="1"/>
  <c r="G28" i="12"/>
  <c r="F28" i="12" a="1"/>
  <c r="F28" i="12"/>
  <c r="E28" i="12" a="1"/>
  <c r="E28" i="12" s="1"/>
  <c r="D28" i="12" a="1"/>
  <c r="D28" i="12" s="1"/>
  <c r="C28" i="12"/>
  <c r="T25" i="12"/>
  <c r="K23" i="12"/>
  <c r="I23" i="12"/>
  <c r="F23" i="12"/>
  <c r="C23" i="12"/>
  <c r="K22" i="12"/>
  <c r="H22" i="12"/>
  <c r="H21" i="12"/>
  <c r="K21" i="12"/>
  <c r="X19" i="12"/>
  <c r="X18" i="12"/>
  <c r="J18" i="12"/>
  <c r="L18" i="12"/>
  <c r="G18" i="12" a="1"/>
  <c r="G18" i="12" s="1"/>
  <c r="E18" i="12" a="1"/>
  <c r="E18" i="12" s="1"/>
  <c r="D18" i="12"/>
  <c r="W17" i="12"/>
  <c r="V17" i="12"/>
  <c r="U17" i="12"/>
  <c r="T17" i="12"/>
  <c r="S17" i="12"/>
  <c r="R17" i="12"/>
  <c r="X16" i="12"/>
  <c r="J16" i="12"/>
  <c r="H16" i="12" a="1"/>
  <c r="H16" i="12" s="1"/>
  <c r="G16" i="12" a="1"/>
  <c r="G16" i="12" s="1"/>
  <c r="E16" i="12" a="1"/>
  <c r="E16" i="12" s="1"/>
  <c r="D16" i="12"/>
  <c r="X15" i="12"/>
  <c r="J15" i="12"/>
  <c r="H15" i="12" a="1"/>
  <c r="H15" i="12" s="1"/>
  <c r="G15" i="12" a="1"/>
  <c r="G15" i="12" s="1"/>
  <c r="E15" i="12" a="1"/>
  <c r="E15" i="12" s="1"/>
  <c r="F15" i="12" s="1"/>
  <c r="I15" i="12" s="1"/>
  <c r="O15" i="12" s="1"/>
  <c r="D15" i="12"/>
  <c r="A15" i="12"/>
  <c r="A16" i="12"/>
  <c r="X14" i="12"/>
  <c r="J14" i="12"/>
  <c r="H14" i="12" a="1"/>
  <c r="H14" i="12" s="1"/>
  <c r="G14" i="12" a="1"/>
  <c r="G14" i="12" s="1"/>
  <c r="E14" i="12" a="1"/>
  <c r="E14" i="12" s="1"/>
  <c r="D14" i="12"/>
  <c r="X13" i="12"/>
  <c r="J13" i="12"/>
  <c r="H13" i="12" a="1"/>
  <c r="H13" i="12"/>
  <c r="G13" i="12" a="1"/>
  <c r="G13" i="12" s="1"/>
  <c r="E13" i="12" a="1"/>
  <c r="E13" i="12" s="1"/>
  <c r="D13" i="12"/>
  <c r="A13" i="12"/>
  <c r="A14" i="12"/>
  <c r="X12" i="12"/>
  <c r="J12" i="12"/>
  <c r="H12" i="12" a="1"/>
  <c r="H12" i="12" s="1"/>
  <c r="G12" i="12" a="1"/>
  <c r="G12" i="12" s="1"/>
  <c r="E12" i="12" a="1"/>
  <c r="E12" i="12" s="1"/>
  <c r="D12" i="12"/>
  <c r="X11" i="12"/>
  <c r="J11" i="12"/>
  <c r="H11" i="12" a="1"/>
  <c r="H11" i="12" s="1"/>
  <c r="G11" i="12" a="1"/>
  <c r="G11" i="12"/>
  <c r="E11" i="12" a="1"/>
  <c r="E11" i="12" s="1"/>
  <c r="D11" i="12"/>
  <c r="X10" i="12"/>
  <c r="J10" i="12"/>
  <c r="H10" i="12" a="1"/>
  <c r="H10" i="12" s="1"/>
  <c r="G10" i="12" a="1"/>
  <c r="G10" i="12"/>
  <c r="E10" i="12" a="1"/>
  <c r="E10" i="12" s="1"/>
  <c r="F10" i="12" s="1"/>
  <c r="I10" i="12" s="1"/>
  <c r="O10" i="12" s="1"/>
  <c r="D10" i="12"/>
  <c r="X9" i="12"/>
  <c r="J9" i="12"/>
  <c r="H9" i="12" a="1"/>
  <c r="H9" i="12" s="1"/>
  <c r="G9" i="12" a="1"/>
  <c r="G9" i="12" s="1"/>
  <c r="E9" i="12" a="1"/>
  <c r="E9" i="12"/>
  <c r="D9" i="12"/>
  <c r="X8" i="12"/>
  <c r="J8" i="12"/>
  <c r="H8" i="12" a="1"/>
  <c r="H8" i="12" s="1"/>
  <c r="G8" i="12" a="1"/>
  <c r="G8" i="12" s="1"/>
  <c r="E8" i="12" a="1"/>
  <c r="E8" i="12" s="1"/>
  <c r="D8" i="12"/>
  <c r="A8" i="12"/>
  <c r="A9" i="12"/>
  <c r="A10" i="12"/>
  <c r="X7" i="12"/>
  <c r="J7" i="12"/>
  <c r="H7" i="12" a="1"/>
  <c r="H7" i="12" s="1"/>
  <c r="G7" i="12" a="1"/>
  <c r="G7" i="12" s="1"/>
  <c r="E7" i="12" a="1"/>
  <c r="E7" i="12"/>
  <c r="D7" i="12"/>
  <c r="X6" i="12"/>
  <c r="J6" i="12"/>
  <c r="H6" i="12" a="1"/>
  <c r="H6" i="12" s="1"/>
  <c r="G6" i="12" a="1"/>
  <c r="G6" i="12" s="1"/>
  <c r="E6" i="12" a="1"/>
  <c r="E6" i="12" s="1"/>
  <c r="D6" i="12"/>
  <c r="X5" i="12"/>
  <c r="J5" i="12"/>
  <c r="H5" i="12" a="1"/>
  <c r="H5" i="12" s="1"/>
  <c r="G5" i="12" a="1"/>
  <c r="G5" i="12" s="1"/>
  <c r="E5" i="12" a="1"/>
  <c r="E5" i="12" s="1"/>
  <c r="D5" i="12"/>
  <c r="A5" i="12"/>
  <c r="A6" i="12"/>
  <c r="A7" i="12"/>
  <c r="X4" i="12"/>
  <c r="H4" i="12" a="1"/>
  <c r="H4" i="12" s="1"/>
  <c r="G4" i="12" a="1"/>
  <c r="G4" i="12" s="1"/>
  <c r="E4" i="12" a="1"/>
  <c r="E4" i="12" s="1"/>
  <c r="D4" i="12"/>
  <c r="B34" i="11"/>
  <c r="AF32" i="11"/>
  <c r="AE32" i="11"/>
  <c r="AD32" i="11"/>
  <c r="AC32" i="11"/>
  <c r="AB32" i="11"/>
  <c r="AA32" i="11"/>
  <c r="Z32" i="11"/>
  <c r="Y32" i="11"/>
  <c r="W32" i="11"/>
  <c r="V32" i="11"/>
  <c r="U32" i="11"/>
  <c r="T32" i="11"/>
  <c r="S32" i="11"/>
  <c r="R32" i="11"/>
  <c r="Q32" i="11"/>
  <c r="P32" i="11"/>
  <c r="E60" i="15" s="1"/>
  <c r="O32" i="11"/>
  <c r="D60" i="15" s="1"/>
  <c r="H32" i="11"/>
  <c r="G32" i="11"/>
  <c r="E32" i="11"/>
  <c r="AF31" i="11"/>
  <c r="AE31" i="11"/>
  <c r="AD31" i="11"/>
  <c r="AC31" i="11"/>
  <c r="AB31" i="11"/>
  <c r="AA31" i="11"/>
  <c r="Z31" i="11"/>
  <c r="Y31" i="11"/>
  <c r="W31" i="11"/>
  <c r="V31" i="11"/>
  <c r="U31" i="11"/>
  <c r="T31" i="11"/>
  <c r="S31" i="11"/>
  <c r="R31" i="11"/>
  <c r="Q31" i="11"/>
  <c r="C59" i="15" s="1"/>
  <c r="P31" i="11"/>
  <c r="E59" i="15" s="1"/>
  <c r="O31" i="11"/>
  <c r="D59" i="15" s="1"/>
  <c r="H31" i="11"/>
  <c r="G31" i="11"/>
  <c r="E31" i="11"/>
  <c r="AF30" i="11"/>
  <c r="AE30" i="11"/>
  <c r="AD30" i="11"/>
  <c r="AC30" i="11"/>
  <c r="AB30" i="11"/>
  <c r="AA30" i="11"/>
  <c r="Z30" i="11"/>
  <c r="Y30" i="11"/>
  <c r="W30" i="11"/>
  <c r="V30" i="11"/>
  <c r="U30" i="11"/>
  <c r="T30" i="11"/>
  <c r="S30" i="11"/>
  <c r="R30" i="11"/>
  <c r="Q30" i="11"/>
  <c r="C58" i="15" s="1"/>
  <c r="P30" i="11"/>
  <c r="E58" i="15" s="1"/>
  <c r="O30" i="11"/>
  <c r="D58" i="15" s="1"/>
  <c r="H30" i="11"/>
  <c r="G30" i="11"/>
  <c r="E30" i="11"/>
  <c r="AF29" i="11"/>
  <c r="AE29" i="11"/>
  <c r="AD29" i="11"/>
  <c r="AC29" i="11"/>
  <c r="AB29" i="11"/>
  <c r="AA29" i="11"/>
  <c r="Z29" i="11"/>
  <c r="Y29" i="11"/>
  <c r="W29" i="11"/>
  <c r="V29" i="11"/>
  <c r="U29" i="11"/>
  <c r="T29" i="11"/>
  <c r="S29" i="11"/>
  <c r="R29" i="11"/>
  <c r="Q29" i="11"/>
  <c r="C57" i="15" s="1"/>
  <c r="P29" i="11"/>
  <c r="E57" i="15" s="1"/>
  <c r="O29" i="11"/>
  <c r="D57" i="15" s="1"/>
  <c r="H29" i="11"/>
  <c r="G29" i="11"/>
  <c r="E29" i="11"/>
  <c r="AF28" i="11"/>
  <c r="AE28" i="11"/>
  <c r="AD28" i="11"/>
  <c r="AC28" i="11"/>
  <c r="AB28" i="11"/>
  <c r="AA28" i="11"/>
  <c r="Z28" i="11"/>
  <c r="Y28" i="11"/>
  <c r="W28" i="11"/>
  <c r="V28" i="11"/>
  <c r="U28" i="11"/>
  <c r="T28" i="11"/>
  <c r="S28" i="11"/>
  <c r="R28" i="11"/>
  <c r="Q28" i="11"/>
  <c r="C56" i="15" s="1"/>
  <c r="P28" i="11"/>
  <c r="E56" i="15" s="1"/>
  <c r="O28" i="11"/>
  <c r="D56" i="15" s="1"/>
  <c r="H28" i="11"/>
  <c r="G28" i="11"/>
  <c r="E28" i="11"/>
  <c r="AF27" i="11"/>
  <c r="AE27" i="11"/>
  <c r="AD27" i="11"/>
  <c r="AC27" i="11"/>
  <c r="AB27" i="11"/>
  <c r="AA27" i="11"/>
  <c r="Z27" i="11"/>
  <c r="Y27" i="11"/>
  <c r="W27" i="11"/>
  <c r="V27" i="11"/>
  <c r="U27" i="11"/>
  <c r="T27" i="11"/>
  <c r="S27" i="11"/>
  <c r="R27" i="11"/>
  <c r="Q27" i="11"/>
  <c r="C55" i="15" s="1"/>
  <c r="P27" i="11"/>
  <c r="E55" i="15" s="1"/>
  <c r="O27" i="11"/>
  <c r="D55" i="15" s="1"/>
  <c r="H27" i="11"/>
  <c r="G27" i="11"/>
  <c r="E27" i="11"/>
  <c r="AF26" i="11"/>
  <c r="AE26" i="11"/>
  <c r="AD26" i="11"/>
  <c r="AC26" i="11"/>
  <c r="AB26" i="11"/>
  <c r="AA26" i="11"/>
  <c r="Z26" i="11"/>
  <c r="Y26" i="11"/>
  <c r="W26" i="11"/>
  <c r="V26" i="11"/>
  <c r="U26" i="11"/>
  <c r="T26" i="11"/>
  <c r="S26" i="11"/>
  <c r="R26" i="11"/>
  <c r="Q26" i="11"/>
  <c r="C54" i="15" s="1"/>
  <c r="P26" i="11"/>
  <c r="E54" i="15" s="1"/>
  <c r="O26" i="11"/>
  <c r="D54" i="15" s="1"/>
  <c r="H26" i="11"/>
  <c r="G26" i="11"/>
  <c r="E26" i="11"/>
  <c r="AF25" i="11"/>
  <c r="AE25" i="11"/>
  <c r="AD25" i="11"/>
  <c r="AC25" i="11"/>
  <c r="AB25" i="11"/>
  <c r="AA25" i="11"/>
  <c r="Z25" i="11"/>
  <c r="Y25" i="11"/>
  <c r="W25" i="11"/>
  <c r="V25" i="11"/>
  <c r="U25" i="11"/>
  <c r="T25" i="11"/>
  <c r="S25" i="11"/>
  <c r="R25" i="11"/>
  <c r="Q25" i="11"/>
  <c r="C53" i="15" s="1"/>
  <c r="P25" i="11"/>
  <c r="E53" i="15" s="1"/>
  <c r="O25" i="11"/>
  <c r="D53" i="15" s="1"/>
  <c r="H25" i="11"/>
  <c r="G25" i="11"/>
  <c r="E25" i="11"/>
  <c r="AF24" i="11"/>
  <c r="AE24" i="11"/>
  <c r="AD24" i="11"/>
  <c r="AC24" i="11"/>
  <c r="AB24" i="11"/>
  <c r="AA24" i="11"/>
  <c r="Z24" i="11"/>
  <c r="Y24" i="11"/>
  <c r="W24" i="11"/>
  <c r="V24" i="11"/>
  <c r="U24" i="11"/>
  <c r="T24" i="11"/>
  <c r="S24" i="11"/>
  <c r="R24" i="11"/>
  <c r="Q24" i="11"/>
  <c r="P24" i="11"/>
  <c r="E52" i="15" s="1"/>
  <c r="O24" i="11"/>
  <c r="D52" i="15" s="1"/>
  <c r="H24" i="11"/>
  <c r="G24" i="11"/>
  <c r="E24" i="11"/>
  <c r="AF23" i="11"/>
  <c r="AE23" i="11"/>
  <c r="AD23" i="11"/>
  <c r="AC23" i="11"/>
  <c r="AB23" i="11"/>
  <c r="AA23" i="11"/>
  <c r="Z23" i="11"/>
  <c r="Y23" i="11"/>
  <c r="W23" i="11"/>
  <c r="V23" i="11"/>
  <c r="U23" i="11"/>
  <c r="T23" i="11"/>
  <c r="S23" i="11"/>
  <c r="R23" i="11"/>
  <c r="Q23" i="11"/>
  <c r="C51" i="15" s="1"/>
  <c r="P23" i="11"/>
  <c r="E51" i="15" s="1"/>
  <c r="O23" i="11"/>
  <c r="D51" i="15" s="1"/>
  <c r="H23" i="11"/>
  <c r="G23" i="11"/>
  <c r="E23" i="11"/>
  <c r="AF22" i="11"/>
  <c r="AE22" i="11"/>
  <c r="AD22" i="11"/>
  <c r="AC22" i="11"/>
  <c r="AB22" i="11"/>
  <c r="AA22" i="11"/>
  <c r="Z22" i="11"/>
  <c r="Y22" i="11"/>
  <c r="W22" i="11"/>
  <c r="V22" i="11"/>
  <c r="U22" i="11"/>
  <c r="T22" i="11"/>
  <c r="S22" i="11"/>
  <c r="R22" i="11"/>
  <c r="Q22" i="11"/>
  <c r="C50" i="15" s="1"/>
  <c r="P22" i="11"/>
  <c r="E50" i="15" s="1"/>
  <c r="O22" i="11"/>
  <c r="D50" i="15" s="1"/>
  <c r="H22" i="11"/>
  <c r="G22" i="11"/>
  <c r="E22" i="11"/>
  <c r="AF21" i="11"/>
  <c r="AE21" i="11"/>
  <c r="AD21" i="11"/>
  <c r="AC21" i="11"/>
  <c r="AB21" i="11"/>
  <c r="AA21" i="11"/>
  <c r="Z21" i="11"/>
  <c r="Y21" i="11"/>
  <c r="W21" i="11"/>
  <c r="V21" i="11"/>
  <c r="U21" i="11"/>
  <c r="T21" i="11"/>
  <c r="S21" i="11"/>
  <c r="R21" i="11"/>
  <c r="Q21" i="11"/>
  <c r="C49" i="15" s="1"/>
  <c r="P21" i="11"/>
  <c r="E49" i="15" s="1"/>
  <c r="O21" i="11"/>
  <c r="D49" i="15" s="1"/>
  <c r="H21" i="11"/>
  <c r="G21" i="11"/>
  <c r="E21" i="11"/>
  <c r="AF20" i="11"/>
  <c r="AE20" i="11"/>
  <c r="AD20" i="11"/>
  <c r="AC20" i="11"/>
  <c r="AB20" i="11"/>
  <c r="AA20" i="11"/>
  <c r="Z20" i="11"/>
  <c r="Y20" i="11"/>
  <c r="W20" i="11"/>
  <c r="V20" i="11"/>
  <c r="U20" i="11"/>
  <c r="T20" i="11"/>
  <c r="S20" i="11"/>
  <c r="R20" i="11"/>
  <c r="Q20" i="11"/>
  <c r="C48" i="15" s="1"/>
  <c r="P20" i="11"/>
  <c r="E48" i="15" s="1"/>
  <c r="O20" i="11"/>
  <c r="D48" i="15" s="1"/>
  <c r="H20" i="11"/>
  <c r="G20" i="11"/>
  <c r="E20" i="11"/>
  <c r="AF19" i="11"/>
  <c r="AE19" i="11"/>
  <c r="AD19" i="11"/>
  <c r="AC19" i="11"/>
  <c r="AB19" i="11"/>
  <c r="AA19" i="11"/>
  <c r="Z19" i="11"/>
  <c r="Y19" i="11"/>
  <c r="W19" i="11"/>
  <c r="V19" i="11"/>
  <c r="U19" i="11"/>
  <c r="T19" i="11"/>
  <c r="S19" i="11"/>
  <c r="R19" i="11"/>
  <c r="Q19" i="11"/>
  <c r="P19" i="11"/>
  <c r="E47" i="15" s="1"/>
  <c r="O19" i="11"/>
  <c r="D47" i="15" s="1"/>
  <c r="H19" i="11"/>
  <c r="G19" i="11"/>
  <c r="E19" i="11"/>
  <c r="AF18" i="11"/>
  <c r="AE18" i="11"/>
  <c r="AD18" i="11"/>
  <c r="AC18" i="11"/>
  <c r="AB18" i="11"/>
  <c r="AA18" i="11"/>
  <c r="Z18" i="11"/>
  <c r="Y18" i="11"/>
  <c r="W18" i="11"/>
  <c r="V18" i="11"/>
  <c r="U18" i="11"/>
  <c r="T18" i="11"/>
  <c r="S18" i="11"/>
  <c r="R18" i="11"/>
  <c r="Q18" i="11"/>
  <c r="P18" i="11"/>
  <c r="E46" i="15" s="1"/>
  <c r="O18" i="11"/>
  <c r="D46" i="15" s="1"/>
  <c r="H18" i="11"/>
  <c r="G18" i="11"/>
  <c r="E18" i="11"/>
  <c r="AF17" i="11"/>
  <c r="AE17" i="11"/>
  <c r="AD17" i="11"/>
  <c r="AC17" i="11"/>
  <c r="AB17" i="11"/>
  <c r="AA17" i="11"/>
  <c r="Z17" i="11"/>
  <c r="Y17" i="11"/>
  <c r="W17" i="11"/>
  <c r="V17" i="11"/>
  <c r="U17" i="11"/>
  <c r="T17" i="11"/>
  <c r="S17" i="11"/>
  <c r="R17" i="11"/>
  <c r="Q17" i="11"/>
  <c r="C45" i="15" s="1"/>
  <c r="P17" i="11"/>
  <c r="E45" i="15" s="1"/>
  <c r="O17" i="11"/>
  <c r="D45" i="15" s="1"/>
  <c r="H17" i="11"/>
  <c r="G17" i="11"/>
  <c r="E17" i="11"/>
  <c r="AF16" i="11"/>
  <c r="AE16" i="11"/>
  <c r="AD16" i="11"/>
  <c r="AC16" i="11"/>
  <c r="AB16" i="11"/>
  <c r="AA16" i="11"/>
  <c r="Z16" i="11"/>
  <c r="Y16" i="11"/>
  <c r="W16" i="11"/>
  <c r="V16" i="11"/>
  <c r="U16" i="11"/>
  <c r="T16" i="11"/>
  <c r="S16" i="11"/>
  <c r="R16" i="11"/>
  <c r="Q16" i="11"/>
  <c r="C44" i="15" s="1"/>
  <c r="P16" i="11"/>
  <c r="E44" i="15" s="1"/>
  <c r="O16" i="11"/>
  <c r="D44" i="15" s="1"/>
  <c r="H16" i="11"/>
  <c r="G16" i="11"/>
  <c r="E16" i="11"/>
  <c r="AF15" i="11"/>
  <c r="AE15" i="11"/>
  <c r="AD15" i="11"/>
  <c r="AC15" i="11"/>
  <c r="AB15" i="11"/>
  <c r="AA15" i="11"/>
  <c r="Z15" i="11"/>
  <c r="Y15" i="11"/>
  <c r="W15" i="11"/>
  <c r="V15" i="11"/>
  <c r="U15" i="11"/>
  <c r="T15" i="11"/>
  <c r="S15" i="11"/>
  <c r="R15" i="11"/>
  <c r="Q15" i="11"/>
  <c r="P15" i="11"/>
  <c r="E43" i="15" s="1"/>
  <c r="O15" i="11"/>
  <c r="D43" i="15" s="1"/>
  <c r="H15" i="11"/>
  <c r="G15" i="11"/>
  <c r="E15" i="11"/>
  <c r="AF14" i="11"/>
  <c r="AE14" i="11"/>
  <c r="AD14" i="11"/>
  <c r="AC14" i="11"/>
  <c r="AB14" i="11"/>
  <c r="AA14" i="11"/>
  <c r="Z14" i="11"/>
  <c r="Y14" i="11"/>
  <c r="W14" i="11"/>
  <c r="V14" i="11"/>
  <c r="U14" i="11"/>
  <c r="T14" i="11"/>
  <c r="S14" i="11"/>
  <c r="R14" i="11"/>
  <c r="Q14" i="11"/>
  <c r="C42" i="15" s="1"/>
  <c r="P14" i="11"/>
  <c r="E42" i="15" s="1"/>
  <c r="O14" i="11"/>
  <c r="D42" i="15" s="1"/>
  <c r="H14" i="11"/>
  <c r="G14" i="11"/>
  <c r="E14" i="11"/>
  <c r="AF13" i="11"/>
  <c r="AE13" i="11"/>
  <c r="AD13" i="11"/>
  <c r="AC13" i="11"/>
  <c r="AB13" i="11"/>
  <c r="AA13" i="11"/>
  <c r="Z13" i="11"/>
  <c r="Y13" i="11"/>
  <c r="W13" i="11"/>
  <c r="V13" i="11"/>
  <c r="U13" i="11"/>
  <c r="T13" i="11"/>
  <c r="S13" i="11"/>
  <c r="R13" i="11"/>
  <c r="Q13" i="11"/>
  <c r="C41" i="15" s="1"/>
  <c r="P13" i="11"/>
  <c r="E41" i="15" s="1"/>
  <c r="O13" i="11"/>
  <c r="D41" i="15" s="1"/>
  <c r="H13" i="11"/>
  <c r="G13" i="11"/>
  <c r="E13" i="11"/>
  <c r="AF12" i="11"/>
  <c r="AE12" i="11"/>
  <c r="AD12" i="11"/>
  <c r="AC12" i="11"/>
  <c r="AB12" i="11"/>
  <c r="AA12" i="11"/>
  <c r="Z12" i="11"/>
  <c r="Y12" i="11"/>
  <c r="W12" i="11"/>
  <c r="V12" i="11"/>
  <c r="U12" i="11"/>
  <c r="T12" i="11"/>
  <c r="S12" i="11"/>
  <c r="R12" i="11"/>
  <c r="Q12" i="11"/>
  <c r="C40" i="15" s="1"/>
  <c r="P12" i="11"/>
  <c r="E40" i="15" s="1"/>
  <c r="O12" i="11"/>
  <c r="D40" i="15" s="1"/>
  <c r="H12" i="11"/>
  <c r="G12" i="11"/>
  <c r="E12" i="11"/>
  <c r="AF11" i="11"/>
  <c r="AE11" i="11"/>
  <c r="AD11" i="11"/>
  <c r="AC11" i="11"/>
  <c r="AB11" i="11"/>
  <c r="AA11" i="11"/>
  <c r="Z11" i="11"/>
  <c r="Y11" i="11"/>
  <c r="W11" i="11"/>
  <c r="V11" i="11"/>
  <c r="U11" i="11"/>
  <c r="T11" i="11"/>
  <c r="S11" i="11"/>
  <c r="R11" i="11"/>
  <c r="Q11" i="11"/>
  <c r="C39" i="15" s="1"/>
  <c r="P11" i="11"/>
  <c r="E39" i="15" s="1"/>
  <c r="O11" i="11"/>
  <c r="D39" i="15" s="1"/>
  <c r="H11" i="11"/>
  <c r="G11" i="11"/>
  <c r="E11" i="11"/>
  <c r="AF10" i="11"/>
  <c r="AE10" i="11"/>
  <c r="AD10" i="11"/>
  <c r="AC10" i="11"/>
  <c r="AB10" i="11"/>
  <c r="AA10" i="11"/>
  <c r="Z10" i="11"/>
  <c r="Y10" i="11"/>
  <c r="W10" i="11"/>
  <c r="V10" i="11"/>
  <c r="U10" i="11"/>
  <c r="T10" i="11"/>
  <c r="S10" i="11"/>
  <c r="R10" i="11"/>
  <c r="Q10" i="11"/>
  <c r="C38" i="15" s="1"/>
  <c r="P10" i="11"/>
  <c r="E38" i="15" s="1"/>
  <c r="O10" i="11"/>
  <c r="D38" i="15" s="1"/>
  <c r="H10" i="11"/>
  <c r="G10" i="11"/>
  <c r="E10" i="11"/>
  <c r="AF9" i="11"/>
  <c r="AE9" i="11"/>
  <c r="AD9" i="11"/>
  <c r="AC9" i="11"/>
  <c r="AB9" i="11"/>
  <c r="AA9" i="11"/>
  <c r="Z9" i="11"/>
  <c r="Y9" i="11"/>
  <c r="W9" i="11"/>
  <c r="V9" i="11"/>
  <c r="U9" i="11"/>
  <c r="T9" i="11"/>
  <c r="S9" i="11"/>
  <c r="R9" i="11"/>
  <c r="Q9" i="11"/>
  <c r="P9" i="11"/>
  <c r="E37" i="15" s="1"/>
  <c r="O9" i="11"/>
  <c r="D37" i="15" s="1"/>
  <c r="H9" i="11"/>
  <c r="G9" i="11"/>
  <c r="E9" i="11"/>
  <c r="AF8" i="11"/>
  <c r="AE8" i="11"/>
  <c r="AD8" i="11"/>
  <c r="AC8" i="11"/>
  <c r="AB8" i="11"/>
  <c r="AA8" i="11"/>
  <c r="Z8" i="11"/>
  <c r="Y8" i="11"/>
  <c r="W8" i="11"/>
  <c r="V8" i="11"/>
  <c r="U8" i="11"/>
  <c r="T8" i="11"/>
  <c r="S8" i="11"/>
  <c r="R8" i="11"/>
  <c r="R33" i="11" s="1"/>
  <c r="Q8" i="11"/>
  <c r="P8" i="11"/>
  <c r="E36" i="15" s="1"/>
  <c r="O8" i="11"/>
  <c r="D36" i="15" s="1"/>
  <c r="H8" i="11"/>
  <c r="G8" i="11"/>
  <c r="E8" i="11"/>
  <c r="AF7" i="11"/>
  <c r="AE7" i="11"/>
  <c r="AD7" i="11"/>
  <c r="AC7" i="11"/>
  <c r="AB7" i="11"/>
  <c r="AA7" i="11"/>
  <c r="Z7" i="11"/>
  <c r="Y7" i="11"/>
  <c r="W7" i="11"/>
  <c r="V7" i="11"/>
  <c r="U7" i="11"/>
  <c r="T7" i="11"/>
  <c r="S7" i="11"/>
  <c r="R7" i="11"/>
  <c r="Q7" i="11"/>
  <c r="N7" i="11" s="1"/>
  <c r="B35" i="15" s="1"/>
  <c r="P7" i="11"/>
  <c r="E35" i="15" s="1"/>
  <c r="O7" i="11"/>
  <c r="D35" i="15" s="1"/>
  <c r="H7" i="11"/>
  <c r="G7" i="11"/>
  <c r="E7" i="11"/>
  <c r="AF6" i="11"/>
  <c r="AE6" i="11"/>
  <c r="AD6" i="11"/>
  <c r="AC6" i="11"/>
  <c r="AB6" i="11"/>
  <c r="AA6" i="11"/>
  <c r="Z6" i="11"/>
  <c r="Y6" i="11"/>
  <c r="W6" i="11"/>
  <c r="V6" i="11"/>
  <c r="U6" i="11"/>
  <c r="T6" i="11"/>
  <c r="S6" i="11"/>
  <c r="R6" i="11"/>
  <c r="Q6" i="11"/>
  <c r="P6" i="11"/>
  <c r="E34" i="15" s="1"/>
  <c r="O6" i="11"/>
  <c r="D34" i="15" s="1"/>
  <c r="H6" i="11"/>
  <c r="G6" i="11"/>
  <c r="E6" i="11"/>
  <c r="AF5" i="11"/>
  <c r="AE5" i="11"/>
  <c r="AD5" i="11"/>
  <c r="AC5" i="11"/>
  <c r="AB5" i="11"/>
  <c r="AA5" i="11"/>
  <c r="Z5" i="11"/>
  <c r="Y5" i="11"/>
  <c r="W5" i="11"/>
  <c r="V5" i="11"/>
  <c r="U5" i="11"/>
  <c r="T5" i="11"/>
  <c r="S5" i="11"/>
  <c r="R5" i="11"/>
  <c r="Q5" i="11"/>
  <c r="C33" i="15" s="1"/>
  <c r="N16" i="15" s="1" a="1"/>
  <c r="N16" i="15" s="1"/>
  <c r="N25" i="15" s="1"/>
  <c r="P5" i="11"/>
  <c r="E33" i="15" s="1"/>
  <c r="L16" i="15" s="1" a="1"/>
  <c r="L16" i="15" s="1"/>
  <c r="L25" i="15" s="1"/>
  <c r="O5" i="11"/>
  <c r="D33" i="15" s="1"/>
  <c r="M16" i="15" s="1" a="1"/>
  <c r="M16" i="15" s="1"/>
  <c r="H5" i="11"/>
  <c r="G5" i="11"/>
  <c r="E5" i="11"/>
  <c r="AF4" i="11"/>
  <c r="AE4" i="11"/>
  <c r="AD4" i="11"/>
  <c r="AC4" i="11"/>
  <c r="AB4" i="11"/>
  <c r="AA4" i="11"/>
  <c r="Z4" i="11"/>
  <c r="Y4" i="11"/>
  <c r="W4" i="11"/>
  <c r="V4" i="11"/>
  <c r="U4" i="11"/>
  <c r="T4" i="11"/>
  <c r="S4" i="11"/>
  <c r="R4" i="11"/>
  <c r="Q4" i="11"/>
  <c r="C32" i="15" s="1"/>
  <c r="F16" i="15" s="1" a="1"/>
  <c r="F16" i="15" s="1"/>
  <c r="F25" i="15" s="1"/>
  <c r="P4" i="11"/>
  <c r="E32" i="15" s="1"/>
  <c r="D16" i="15" s="1" a="1"/>
  <c r="D16" i="15" s="1"/>
  <c r="D25" i="15" s="1"/>
  <c r="O4" i="11"/>
  <c r="D32" i="15" s="1"/>
  <c r="E16" i="15" s="1" a="1"/>
  <c r="E16" i="15" s="1"/>
  <c r="E25" i="15" s="1"/>
  <c r="H4" i="11"/>
  <c r="G4" i="11"/>
  <c r="E4" i="11"/>
  <c r="AF3" i="11"/>
  <c r="AE3" i="11"/>
  <c r="AD3" i="11"/>
  <c r="AC3" i="11"/>
  <c r="AB3" i="11"/>
  <c r="AA3" i="11"/>
  <c r="Z3" i="11"/>
  <c r="Y3" i="11"/>
  <c r="W3" i="11"/>
  <c r="V3" i="11"/>
  <c r="U3" i="11"/>
  <c r="T3" i="11"/>
  <c r="S3" i="11"/>
  <c r="R3" i="11"/>
  <c r="Q3" i="11"/>
  <c r="C31" i="15" s="1"/>
  <c r="N3" i="15" s="1" a="1"/>
  <c r="N3" i="15" s="1"/>
  <c r="N12" i="15" s="1"/>
  <c r="P3" i="11"/>
  <c r="E31" i="15" s="1"/>
  <c r="L3" i="15" s="1" a="1"/>
  <c r="L3" i="15" s="1"/>
  <c r="L12" i="15" s="1"/>
  <c r="O3" i="11"/>
  <c r="D31" i="15" s="1"/>
  <c r="M3" i="15" s="1" a="1"/>
  <c r="M3" i="15" s="1"/>
  <c r="H3" i="11"/>
  <c r="G3" i="11"/>
  <c r="E3" i="11"/>
  <c r="AF2" i="11"/>
  <c r="AE2" i="11"/>
  <c r="AE33" i="11" s="1"/>
  <c r="AD2" i="11"/>
  <c r="AD33" i="11" s="1"/>
  <c r="AC2" i="11"/>
  <c r="AB2" i="11"/>
  <c r="AA2" i="11"/>
  <c r="Z2" i="11"/>
  <c r="Z33" i="11" s="1"/>
  <c r="Y2" i="11"/>
  <c r="W2" i="11"/>
  <c r="V2" i="11"/>
  <c r="U2" i="11"/>
  <c r="T2" i="11"/>
  <c r="T33" i="11" s="1"/>
  <c r="S2" i="11"/>
  <c r="S33" i="11" s="1"/>
  <c r="R2" i="11"/>
  <c r="Q2" i="11"/>
  <c r="C30" i="15" s="1"/>
  <c r="F3" i="15" s="1" a="1"/>
  <c r="F3" i="15" s="1"/>
  <c r="F12" i="15" s="1"/>
  <c r="P2" i="11"/>
  <c r="O2" i="11"/>
  <c r="D30" i="15" s="1"/>
  <c r="E3" i="15" s="1" a="1"/>
  <c r="E3" i="15" s="1"/>
  <c r="E12" i="15" s="1"/>
  <c r="H2" i="11"/>
  <c r="G2" i="11"/>
  <c r="E2" i="11"/>
  <c r="B3" i="11" s="1"/>
  <c r="D2" i="11"/>
  <c r="Y1" i="11"/>
  <c r="L18" i="10"/>
  <c r="F18" i="10"/>
  <c r="D18" i="10"/>
  <c r="L15" i="10"/>
  <c r="N15" i="10"/>
  <c r="P15" i="10"/>
  <c r="F15" i="10"/>
  <c r="D15" i="10"/>
  <c r="J7" i="10"/>
  <c r="Y6" i="10"/>
  <c r="N1234" i="8"/>
  <c r="O1233" i="8"/>
  <c r="M1233" i="8"/>
  <c r="L1233" i="8"/>
  <c r="M1232" i="8"/>
  <c r="L1232" i="8"/>
  <c r="M1231" i="8"/>
  <c r="L1231" i="8"/>
  <c r="M1230" i="8"/>
  <c r="L1230" i="8"/>
  <c r="N1223" i="8"/>
  <c r="M1222" i="8"/>
  <c r="L1222" i="8"/>
  <c r="M1221" i="8"/>
  <c r="L1221" i="8"/>
  <c r="M1220" i="8"/>
  <c r="L1220" i="8"/>
  <c r="M1219" i="8"/>
  <c r="L1219" i="8"/>
  <c r="O1214" i="8"/>
  <c r="N1214" i="8"/>
  <c r="M1214" i="8"/>
  <c r="L1214" i="8"/>
  <c r="K1214" i="8"/>
  <c r="O1213" i="8"/>
  <c r="N1213" i="8"/>
  <c r="M1213" i="8"/>
  <c r="L1213" i="8"/>
  <c r="K1213" i="8"/>
  <c r="R1210" i="8"/>
  <c r="Q1210" i="8"/>
  <c r="P1210" i="8"/>
  <c r="O1210" i="8"/>
  <c r="N1210" i="8"/>
  <c r="M1210" i="8"/>
  <c r="L1210" i="8"/>
  <c r="K1210" i="8"/>
  <c r="N1205" i="8"/>
  <c r="M1205" i="8"/>
  <c r="L1205" i="8"/>
  <c r="K1205" i="8"/>
  <c r="R1204" i="8"/>
  <c r="Q1204" i="8"/>
  <c r="P1204" i="8"/>
  <c r="O1204" i="8"/>
  <c r="N1204" i="8"/>
  <c r="M1204" i="8"/>
  <c r="L1204" i="8"/>
  <c r="K1204" i="8"/>
  <c r="N1194" i="8"/>
  <c r="M1193" i="8"/>
  <c r="L1193" i="8"/>
  <c r="M1192" i="8"/>
  <c r="L1192" i="8"/>
  <c r="M1191" i="8"/>
  <c r="L1191" i="8"/>
  <c r="M1190" i="8"/>
  <c r="L1190" i="8"/>
  <c r="N1183" i="8"/>
  <c r="M1182" i="8"/>
  <c r="L1182" i="8"/>
  <c r="M1181" i="8"/>
  <c r="L1181" i="8"/>
  <c r="M1180" i="8"/>
  <c r="L1180" i="8"/>
  <c r="M1179" i="8"/>
  <c r="L1179" i="8"/>
  <c r="O1174" i="8"/>
  <c r="N1174" i="8"/>
  <c r="M1174" i="8"/>
  <c r="L1174" i="8"/>
  <c r="K1174" i="8"/>
  <c r="O1173" i="8"/>
  <c r="N1173" i="8"/>
  <c r="M1173" i="8"/>
  <c r="L1173" i="8"/>
  <c r="K1173" i="8"/>
  <c r="R1170" i="8"/>
  <c r="Q1170" i="8"/>
  <c r="P1170" i="8"/>
  <c r="O1170" i="8"/>
  <c r="N1170" i="8"/>
  <c r="M1170" i="8"/>
  <c r="L1170" i="8"/>
  <c r="K1170" i="8"/>
  <c r="N1165" i="8"/>
  <c r="M1165" i="8"/>
  <c r="L1165" i="8"/>
  <c r="K1165" i="8"/>
  <c r="R1164" i="8"/>
  <c r="Q1164" i="8"/>
  <c r="P1164" i="8"/>
  <c r="O1164" i="8"/>
  <c r="N1164" i="8"/>
  <c r="M1164" i="8"/>
  <c r="L1164" i="8"/>
  <c r="K1164" i="8"/>
  <c r="N1154" i="8"/>
  <c r="M1153" i="8"/>
  <c r="L1153" i="8"/>
  <c r="M1152" i="8"/>
  <c r="L1152" i="8"/>
  <c r="M1151" i="8"/>
  <c r="L1151" i="8"/>
  <c r="M1150" i="8"/>
  <c r="L1150" i="8"/>
  <c r="N1143" i="8"/>
  <c r="M1142" i="8"/>
  <c r="L1142" i="8"/>
  <c r="M1141" i="8"/>
  <c r="L1141" i="8"/>
  <c r="M1140" i="8"/>
  <c r="L1140" i="8"/>
  <c r="M1139" i="8"/>
  <c r="L1139" i="8"/>
  <c r="O1134" i="8"/>
  <c r="N1134" i="8"/>
  <c r="M1134" i="8"/>
  <c r="L1134" i="8"/>
  <c r="K1134" i="8"/>
  <c r="O1133" i="8"/>
  <c r="N1133" i="8"/>
  <c r="M1133" i="8"/>
  <c r="L1133" i="8"/>
  <c r="K1133" i="8"/>
  <c r="R1130" i="8"/>
  <c r="Q1130" i="8"/>
  <c r="P1130" i="8"/>
  <c r="O1130" i="8"/>
  <c r="N1130" i="8"/>
  <c r="M1130" i="8"/>
  <c r="L1130" i="8"/>
  <c r="K1130" i="8"/>
  <c r="N1125" i="8"/>
  <c r="M1125" i="8"/>
  <c r="L1125" i="8"/>
  <c r="K1125" i="8"/>
  <c r="R1124" i="8"/>
  <c r="Q1124" i="8"/>
  <c r="P1124" i="8"/>
  <c r="O1124" i="8"/>
  <c r="N1124" i="8"/>
  <c r="M1124" i="8"/>
  <c r="L1124" i="8"/>
  <c r="K1124" i="8"/>
  <c r="N1114" i="8"/>
  <c r="M1113" i="8"/>
  <c r="L1113" i="8"/>
  <c r="M1112" i="8"/>
  <c r="L1112" i="8"/>
  <c r="M1111" i="8"/>
  <c r="L1111" i="8"/>
  <c r="M1110" i="8"/>
  <c r="L1110" i="8"/>
  <c r="N1103" i="8"/>
  <c r="M1102" i="8"/>
  <c r="L1102" i="8"/>
  <c r="M1101" i="8"/>
  <c r="L1101" i="8"/>
  <c r="M1100" i="8"/>
  <c r="L1100" i="8"/>
  <c r="M1099" i="8"/>
  <c r="L1099" i="8"/>
  <c r="O1094" i="8"/>
  <c r="N1094" i="8"/>
  <c r="M1094" i="8"/>
  <c r="L1094" i="8"/>
  <c r="K1094" i="8"/>
  <c r="R1090" i="8"/>
  <c r="Q1090" i="8"/>
  <c r="O1090" i="8"/>
  <c r="N1090" i="8"/>
  <c r="M1090" i="8"/>
  <c r="N1085" i="8"/>
  <c r="L1085" i="8"/>
  <c r="K1085" i="8"/>
  <c r="R1084" i="8"/>
  <c r="Q1084" i="8"/>
  <c r="P1084" i="8"/>
  <c r="O1084" i="8"/>
  <c r="N1084" i="8"/>
  <c r="K1084" i="8"/>
  <c r="N1074" i="8"/>
  <c r="M1073" i="8"/>
  <c r="L1073" i="8"/>
  <c r="M1072" i="8"/>
  <c r="L1072" i="8"/>
  <c r="M1071" i="8"/>
  <c r="L1071" i="8"/>
  <c r="M1070" i="8"/>
  <c r="L1070" i="8"/>
  <c r="N1063" i="8"/>
  <c r="M1062" i="8"/>
  <c r="L1062" i="8"/>
  <c r="M1061" i="8"/>
  <c r="L1061" i="8"/>
  <c r="M1060" i="8"/>
  <c r="L1060" i="8"/>
  <c r="M1059" i="8"/>
  <c r="L1059" i="8"/>
  <c r="N1034" i="8"/>
  <c r="M1033" i="8"/>
  <c r="L1033" i="8"/>
  <c r="M1032" i="8"/>
  <c r="L1032" i="8"/>
  <c r="M1031" i="8"/>
  <c r="L1031" i="8"/>
  <c r="M1030" i="8"/>
  <c r="L1030" i="8"/>
  <c r="N1023" i="8"/>
  <c r="M1022" i="8"/>
  <c r="L1022" i="8"/>
  <c r="M1021" i="8"/>
  <c r="L1021" i="8"/>
  <c r="M1020" i="8"/>
  <c r="L1020" i="8"/>
  <c r="M1019" i="8"/>
  <c r="L1019" i="8"/>
  <c r="K1005" i="8"/>
  <c r="N994" i="8"/>
  <c r="N993" i="8"/>
  <c r="M993" i="8"/>
  <c r="L993" i="8"/>
  <c r="M992" i="8"/>
  <c r="L992" i="8"/>
  <c r="M991" i="8"/>
  <c r="L991" i="8"/>
  <c r="M990" i="8"/>
  <c r="L990" i="8"/>
  <c r="N983" i="8"/>
  <c r="O982" i="8"/>
  <c r="M982" i="8"/>
  <c r="L982" i="8"/>
  <c r="M981" i="8"/>
  <c r="L981" i="8"/>
  <c r="M980" i="8"/>
  <c r="L980" i="8"/>
  <c r="M979" i="8"/>
  <c r="L979" i="8"/>
  <c r="N954" i="8"/>
  <c r="M953" i="8"/>
  <c r="L953" i="8"/>
  <c r="M952" i="8"/>
  <c r="L952" i="8"/>
  <c r="M951" i="8"/>
  <c r="L951" i="8"/>
  <c r="M950" i="8"/>
  <c r="L950" i="8"/>
  <c r="N943" i="8"/>
  <c r="M942" i="8"/>
  <c r="L942" i="8"/>
  <c r="M941" i="8"/>
  <c r="L941" i="8"/>
  <c r="M940" i="8"/>
  <c r="L940" i="8"/>
  <c r="M939" i="8"/>
  <c r="L939" i="8"/>
  <c r="L924" i="8"/>
  <c r="N914" i="8"/>
  <c r="M913" i="8"/>
  <c r="L913" i="8"/>
  <c r="M912" i="8"/>
  <c r="L912" i="8"/>
  <c r="M911" i="8"/>
  <c r="L911" i="8"/>
  <c r="M910" i="8"/>
  <c r="L910" i="8"/>
  <c r="N903" i="8"/>
  <c r="M902" i="8"/>
  <c r="L902" i="8"/>
  <c r="M901" i="8"/>
  <c r="L901" i="8"/>
  <c r="M900" i="8"/>
  <c r="L900" i="8"/>
  <c r="M899" i="8"/>
  <c r="L899" i="8"/>
  <c r="N874" i="8"/>
  <c r="M873" i="8"/>
  <c r="L873" i="8"/>
  <c r="M872" i="8"/>
  <c r="L872" i="8"/>
  <c r="M871" i="8"/>
  <c r="L871" i="8"/>
  <c r="M870" i="8"/>
  <c r="L870" i="8"/>
  <c r="N863" i="8"/>
  <c r="M862" i="8"/>
  <c r="L862" i="8"/>
  <c r="M861" i="8"/>
  <c r="L861" i="8"/>
  <c r="M860" i="8"/>
  <c r="L860" i="8"/>
  <c r="M859" i="8"/>
  <c r="L859" i="8"/>
  <c r="N834" i="8"/>
  <c r="M833" i="8"/>
  <c r="L833" i="8"/>
  <c r="M832" i="8"/>
  <c r="L832" i="8"/>
  <c r="M831" i="8"/>
  <c r="L831" i="8"/>
  <c r="M830" i="8"/>
  <c r="L830" i="8"/>
  <c r="N823" i="8"/>
  <c r="M822" i="8"/>
  <c r="L822" i="8"/>
  <c r="M821" i="8"/>
  <c r="L821" i="8"/>
  <c r="M820" i="8"/>
  <c r="L820" i="8"/>
  <c r="N819" i="8"/>
  <c r="M819" i="8"/>
  <c r="L819" i="8"/>
  <c r="P804" i="8"/>
  <c r="N794" i="8"/>
  <c r="M793" i="8"/>
  <c r="L793" i="8"/>
  <c r="M792" i="8"/>
  <c r="L792" i="8"/>
  <c r="M791" i="8"/>
  <c r="L791" i="8"/>
  <c r="M790" i="8"/>
  <c r="L790" i="8"/>
  <c r="N783" i="8"/>
  <c r="M782" i="8"/>
  <c r="L782" i="8"/>
  <c r="M781" i="8"/>
  <c r="L781" i="8"/>
  <c r="M780" i="8"/>
  <c r="L780" i="8"/>
  <c r="M779" i="8"/>
  <c r="L779" i="8"/>
  <c r="N754" i="8"/>
  <c r="M753" i="8"/>
  <c r="L753" i="8"/>
  <c r="M752" i="8"/>
  <c r="L752" i="8"/>
  <c r="M751" i="8"/>
  <c r="L751" i="8"/>
  <c r="M750" i="8"/>
  <c r="L750" i="8"/>
  <c r="N743" i="8"/>
  <c r="M742" i="8"/>
  <c r="L742" i="8"/>
  <c r="M741" i="8"/>
  <c r="L741" i="8"/>
  <c r="M740" i="8"/>
  <c r="L740" i="8"/>
  <c r="M739" i="8"/>
  <c r="L739" i="8"/>
  <c r="N714" i="8"/>
  <c r="M713" i="8"/>
  <c r="L713" i="8"/>
  <c r="M712" i="8"/>
  <c r="L712" i="8"/>
  <c r="M711" i="8"/>
  <c r="L711" i="8"/>
  <c r="M710" i="8"/>
  <c r="L710" i="8"/>
  <c r="N703" i="8"/>
  <c r="M702" i="8"/>
  <c r="L702" i="8"/>
  <c r="M701" i="8"/>
  <c r="L701" i="8"/>
  <c r="M700" i="8"/>
  <c r="L700" i="8"/>
  <c r="M699" i="8"/>
  <c r="L699" i="8"/>
  <c r="N674" i="8"/>
  <c r="M673" i="8"/>
  <c r="L673" i="8"/>
  <c r="M672" i="8"/>
  <c r="L672" i="8"/>
  <c r="M671" i="8"/>
  <c r="L671" i="8"/>
  <c r="M670" i="8"/>
  <c r="L670" i="8"/>
  <c r="N663" i="8"/>
  <c r="M662" i="8"/>
  <c r="L662" i="8"/>
  <c r="M661" i="8"/>
  <c r="L661" i="8"/>
  <c r="M660" i="8"/>
  <c r="L660" i="8"/>
  <c r="M659" i="8"/>
  <c r="L659" i="8"/>
  <c r="N634" i="8"/>
  <c r="M633" i="8"/>
  <c r="L633" i="8"/>
  <c r="M632" i="8"/>
  <c r="L632" i="8"/>
  <c r="M631" i="8"/>
  <c r="L631" i="8"/>
  <c r="M630" i="8"/>
  <c r="L630" i="8"/>
  <c r="N623" i="8"/>
  <c r="M622" i="8"/>
  <c r="L622" i="8"/>
  <c r="M621" i="8"/>
  <c r="L621" i="8"/>
  <c r="M620" i="8"/>
  <c r="L620" i="8"/>
  <c r="M619" i="8"/>
  <c r="L619" i="8"/>
  <c r="N594" i="8"/>
  <c r="M593" i="8"/>
  <c r="L593" i="8"/>
  <c r="M592" i="8"/>
  <c r="L592" i="8"/>
  <c r="M591" i="8"/>
  <c r="L591" i="8"/>
  <c r="M590" i="8"/>
  <c r="L590" i="8"/>
  <c r="N583" i="8"/>
  <c r="O582" i="8"/>
  <c r="M582" i="8"/>
  <c r="L582" i="8"/>
  <c r="M581" i="8"/>
  <c r="L581" i="8"/>
  <c r="M580" i="8"/>
  <c r="L580" i="8"/>
  <c r="M579" i="8"/>
  <c r="L579" i="8"/>
  <c r="N554" i="8"/>
  <c r="M553" i="8"/>
  <c r="L553" i="8"/>
  <c r="M552" i="8"/>
  <c r="L552" i="8"/>
  <c r="M551" i="8"/>
  <c r="L551" i="8"/>
  <c r="M550" i="8"/>
  <c r="L550" i="8"/>
  <c r="N543" i="8"/>
  <c r="M542" i="8"/>
  <c r="L542" i="8"/>
  <c r="M541" i="8"/>
  <c r="L541" i="8"/>
  <c r="M540" i="8"/>
  <c r="L540" i="8"/>
  <c r="M539" i="8"/>
  <c r="L539" i="8"/>
  <c r="N514" i="8"/>
  <c r="M513" i="8"/>
  <c r="L513" i="8"/>
  <c r="M512" i="8"/>
  <c r="L512" i="8"/>
  <c r="M511" i="8"/>
  <c r="L511" i="8"/>
  <c r="M510" i="8"/>
  <c r="L510" i="8"/>
  <c r="N503" i="8"/>
  <c r="M502" i="8"/>
  <c r="L502" i="8"/>
  <c r="M501" i="8"/>
  <c r="L501" i="8"/>
  <c r="M500" i="8"/>
  <c r="L500" i="8"/>
  <c r="M499" i="8"/>
  <c r="L499" i="8"/>
  <c r="N474" i="8"/>
  <c r="M473" i="8"/>
  <c r="L473" i="8"/>
  <c r="M472" i="8"/>
  <c r="L472" i="8"/>
  <c r="M471" i="8"/>
  <c r="L471" i="8"/>
  <c r="M470" i="8"/>
  <c r="L470" i="8"/>
  <c r="N463" i="8"/>
  <c r="M462" i="8"/>
  <c r="L462" i="8"/>
  <c r="M461" i="8"/>
  <c r="L461" i="8"/>
  <c r="M460" i="8"/>
  <c r="L460" i="8"/>
  <c r="M459" i="8"/>
  <c r="L459" i="8"/>
  <c r="N434" i="8"/>
  <c r="M433" i="8"/>
  <c r="L433" i="8"/>
  <c r="M432" i="8"/>
  <c r="L432" i="8"/>
  <c r="M431" i="8"/>
  <c r="L431" i="8"/>
  <c r="M430" i="8"/>
  <c r="L430" i="8"/>
  <c r="N423" i="8"/>
  <c r="M422" i="8"/>
  <c r="L422" i="8"/>
  <c r="M421" i="8"/>
  <c r="L421" i="8"/>
  <c r="M420" i="8"/>
  <c r="L420" i="8"/>
  <c r="M419" i="8"/>
  <c r="L419" i="8"/>
  <c r="N394" i="8"/>
  <c r="M393" i="8"/>
  <c r="L393" i="8"/>
  <c r="M392" i="8"/>
  <c r="L392" i="8"/>
  <c r="M391" i="8"/>
  <c r="L391" i="8"/>
  <c r="M390" i="8"/>
  <c r="L390" i="8"/>
  <c r="N383" i="8"/>
  <c r="O382" i="8"/>
  <c r="M382" i="8"/>
  <c r="L382" i="8"/>
  <c r="M381" i="8"/>
  <c r="L381" i="8"/>
  <c r="M380" i="8"/>
  <c r="L380" i="8"/>
  <c r="M379" i="8"/>
  <c r="L379" i="8"/>
  <c r="N354" i="8"/>
  <c r="M353" i="8"/>
  <c r="L353" i="8"/>
  <c r="M352" i="8"/>
  <c r="L352" i="8"/>
  <c r="M351" i="8"/>
  <c r="L351" i="8"/>
  <c r="M350" i="8"/>
  <c r="L350" i="8"/>
  <c r="N343" i="8"/>
  <c r="M342" i="8"/>
  <c r="L342" i="8"/>
  <c r="M341" i="8"/>
  <c r="L341" i="8"/>
  <c r="M340" i="8"/>
  <c r="L340" i="8"/>
  <c r="M339" i="8"/>
  <c r="L339" i="8"/>
  <c r="N314" i="8"/>
  <c r="M313" i="8"/>
  <c r="L313" i="8"/>
  <c r="M312" i="8"/>
  <c r="L312" i="8"/>
  <c r="M311" i="8"/>
  <c r="L311" i="8"/>
  <c r="M310" i="8"/>
  <c r="L310" i="8"/>
  <c r="N303" i="8"/>
  <c r="M302" i="8"/>
  <c r="L302" i="8"/>
  <c r="M301" i="8"/>
  <c r="L301" i="8"/>
  <c r="M300" i="8"/>
  <c r="L300" i="8"/>
  <c r="M299" i="8"/>
  <c r="L299" i="8"/>
  <c r="N274" i="8"/>
  <c r="M273" i="8"/>
  <c r="L273" i="8"/>
  <c r="M272" i="8"/>
  <c r="L272" i="8"/>
  <c r="M271" i="8"/>
  <c r="L271" i="8"/>
  <c r="M270" i="8"/>
  <c r="L270" i="8"/>
  <c r="N263" i="8"/>
  <c r="O262" i="8"/>
  <c r="M262" i="8"/>
  <c r="L262" i="8"/>
  <c r="M261" i="8"/>
  <c r="L261" i="8"/>
  <c r="M260" i="8"/>
  <c r="L260" i="8"/>
  <c r="M259" i="8"/>
  <c r="L259" i="8"/>
  <c r="N234" i="8"/>
  <c r="M233" i="8"/>
  <c r="L233" i="8"/>
  <c r="M232" i="8"/>
  <c r="L232" i="8"/>
  <c r="M231" i="8"/>
  <c r="L231" i="8"/>
  <c r="M230" i="8"/>
  <c r="L230" i="8"/>
  <c r="N223" i="8"/>
  <c r="M222" i="8"/>
  <c r="L222" i="8"/>
  <c r="M221" i="8"/>
  <c r="L221" i="8"/>
  <c r="M220" i="8"/>
  <c r="L220" i="8"/>
  <c r="M219" i="8"/>
  <c r="L219" i="8"/>
  <c r="N194" i="8"/>
  <c r="M193" i="8"/>
  <c r="L193" i="8"/>
  <c r="M192" i="8"/>
  <c r="L192" i="8"/>
  <c r="M191" i="8"/>
  <c r="L191" i="8"/>
  <c r="M190" i="8"/>
  <c r="L190" i="8"/>
  <c r="N183" i="8"/>
  <c r="M182" i="8"/>
  <c r="L182" i="8"/>
  <c r="M181" i="8"/>
  <c r="L181" i="8"/>
  <c r="M180" i="8"/>
  <c r="L180" i="8"/>
  <c r="M179" i="8"/>
  <c r="L179" i="8"/>
  <c r="N154" i="8"/>
  <c r="M153" i="8"/>
  <c r="L153" i="8"/>
  <c r="M152" i="8"/>
  <c r="L152" i="8"/>
  <c r="M151" i="8"/>
  <c r="L151" i="8"/>
  <c r="M150" i="8"/>
  <c r="L150" i="8"/>
  <c r="N143" i="8"/>
  <c r="O142" i="8"/>
  <c r="M142" i="8"/>
  <c r="L142" i="8"/>
  <c r="M141" i="8"/>
  <c r="L141" i="8"/>
  <c r="M140" i="8"/>
  <c r="L140" i="8"/>
  <c r="M139" i="8"/>
  <c r="L139" i="8"/>
  <c r="N114" i="8"/>
  <c r="M113" i="8"/>
  <c r="L113" i="8"/>
  <c r="M112" i="8"/>
  <c r="L112" i="8"/>
  <c r="M111" i="8"/>
  <c r="L111" i="8"/>
  <c r="M110" i="8"/>
  <c r="L110" i="8"/>
  <c r="N103" i="8"/>
  <c r="O102" i="8" s="1"/>
  <c r="M102" i="8"/>
  <c r="L102" i="8"/>
  <c r="M101" i="8"/>
  <c r="L101" i="8"/>
  <c r="M100" i="8"/>
  <c r="L100" i="8"/>
  <c r="M99" i="8"/>
  <c r="L99" i="8"/>
  <c r="N74" i="8"/>
  <c r="M73" i="8"/>
  <c r="L73" i="8"/>
  <c r="M72" i="8"/>
  <c r="L72" i="8"/>
  <c r="M71" i="8"/>
  <c r="L71" i="8"/>
  <c r="M70" i="8"/>
  <c r="L70" i="8"/>
  <c r="N63" i="8"/>
  <c r="M62" i="8"/>
  <c r="L62" i="8"/>
  <c r="M61" i="8"/>
  <c r="L61" i="8"/>
  <c r="M60" i="8"/>
  <c r="L60" i="8"/>
  <c r="M59" i="8"/>
  <c r="L59" i="8"/>
  <c r="F40" i="8"/>
  <c r="F39" i="8"/>
  <c r="F38" i="8"/>
  <c r="F37" i="8"/>
  <c r="F36" i="8"/>
  <c r="F35" i="8"/>
  <c r="N34" i="8"/>
  <c r="M33" i="8"/>
  <c r="F28" i="8" s="1"/>
  <c r="L33" i="8"/>
  <c r="M32" i="8"/>
  <c r="F25" i="8"/>
  <c r="L32" i="8"/>
  <c r="M31" i="8"/>
  <c r="F24" i="8"/>
  <c r="L31" i="8"/>
  <c r="M30" i="8"/>
  <c r="L30" i="8"/>
  <c r="F30" i="8"/>
  <c r="F26" i="8"/>
  <c r="N23" i="8"/>
  <c r="F23" i="8"/>
  <c r="M22" i="8"/>
  <c r="F27" i="8"/>
  <c r="L22" i="8"/>
  <c r="M21" i="8"/>
  <c r="L21" i="8"/>
  <c r="G21" i="8"/>
  <c r="M20" i="8"/>
  <c r="L20" i="8"/>
  <c r="M19" i="8"/>
  <c r="L19" i="8"/>
  <c r="D18" i="8"/>
  <c r="D17" i="8"/>
  <c r="V16" i="8"/>
  <c r="V13" i="8"/>
  <c r="V17" i="8" s="1"/>
  <c r="U16" i="8"/>
  <c r="V15" i="8"/>
  <c r="U15" i="8"/>
  <c r="D15" i="8"/>
  <c r="V14" i="8"/>
  <c r="U14" i="8"/>
  <c r="U13" i="8"/>
  <c r="W12" i="8"/>
  <c r="V12" i="8"/>
  <c r="U12" i="8"/>
  <c r="H12" i="8"/>
  <c r="V3" i="8"/>
  <c r="W11" i="8"/>
  <c r="V11" i="8"/>
  <c r="U11" i="8"/>
  <c r="H11" i="8"/>
  <c r="U3" i="8" s="1"/>
  <c r="W10" i="8"/>
  <c r="V10" i="8"/>
  <c r="U10" i="8"/>
  <c r="H10" i="8"/>
  <c r="Y3" i="8" s="1"/>
  <c r="W9" i="8"/>
  <c r="V9" i="8"/>
  <c r="U9" i="8"/>
  <c r="H9" i="8"/>
  <c r="W3" i="8" s="1"/>
  <c r="I1" i="8" s="1"/>
  <c r="W8" i="8"/>
  <c r="V8" i="8"/>
  <c r="U8" i="8"/>
  <c r="H8" i="8"/>
  <c r="X3" i="8" s="1"/>
  <c r="V7" i="8"/>
  <c r="U7" i="8"/>
  <c r="Y2" i="8"/>
  <c r="X2" i="8"/>
  <c r="V2" i="8"/>
  <c r="U2" i="8"/>
  <c r="A1" i="8"/>
  <c r="U5" i="8"/>
  <c r="U985" i="6"/>
  <c r="T985" i="6"/>
  <c r="U983" i="6"/>
  <c r="T983" i="6"/>
  <c r="U981" i="6"/>
  <c r="T981" i="6"/>
  <c r="U978" i="6"/>
  <c r="T978" i="6"/>
  <c r="P978" i="6"/>
  <c r="O978" i="6"/>
  <c r="N978" i="6"/>
  <c r="M978" i="6"/>
  <c r="L978" i="6"/>
  <c r="K978" i="6"/>
  <c r="U977" i="6"/>
  <c r="T977" i="6"/>
  <c r="L976" i="6"/>
  <c r="U975" i="6"/>
  <c r="T975" i="6"/>
  <c r="L975" i="6"/>
  <c r="L974" i="6"/>
  <c r="U973" i="6"/>
  <c r="T973" i="6"/>
  <c r="L973" i="6"/>
  <c r="L972" i="6"/>
  <c r="U971" i="6"/>
  <c r="T971" i="6"/>
  <c r="L971" i="6"/>
  <c r="L970" i="6"/>
  <c r="L969" i="6"/>
  <c r="U968" i="6"/>
  <c r="L968" i="6"/>
  <c r="L967" i="6"/>
  <c r="L966" i="6"/>
  <c r="U946" i="6"/>
  <c r="T946" i="6"/>
  <c r="P946" i="6"/>
  <c r="N946" i="6"/>
  <c r="M946" i="6"/>
  <c r="L946" i="6"/>
  <c r="U936" i="6"/>
  <c r="T936" i="6"/>
  <c r="L935" i="6"/>
  <c r="L934" i="6"/>
  <c r="U914" i="6"/>
  <c r="T914" i="6"/>
  <c r="P914" i="6"/>
  <c r="N914" i="6"/>
  <c r="M914" i="6"/>
  <c r="L914" i="6"/>
  <c r="U904" i="6"/>
  <c r="T904" i="6"/>
  <c r="L903" i="6"/>
  <c r="M882" i="6"/>
  <c r="U872" i="6"/>
  <c r="Z861" i="6"/>
  <c r="Y861" i="6"/>
  <c r="Y860" i="6"/>
  <c r="AA857" i="6"/>
  <c r="AA856" i="6"/>
  <c r="AA855" i="6"/>
  <c r="Z853" i="6"/>
  <c r="Z848" i="6"/>
  <c r="AA848" i="6"/>
  <c r="U850" i="6"/>
  <c r="T850" i="6"/>
  <c r="Z829" i="6"/>
  <c r="Y829" i="6"/>
  <c r="Y828" i="6"/>
  <c r="AA825" i="6"/>
  <c r="AA824" i="6"/>
  <c r="AA823" i="6"/>
  <c r="Z821" i="6"/>
  <c r="Z816" i="6"/>
  <c r="AA816" i="6"/>
  <c r="U818" i="6"/>
  <c r="T818" i="6"/>
  <c r="Z797" i="6"/>
  <c r="Y797" i="6"/>
  <c r="Y796" i="6"/>
  <c r="AA793" i="6"/>
  <c r="AA792" i="6"/>
  <c r="AA791" i="6"/>
  <c r="Z789" i="6"/>
  <c r="Z784" i="6"/>
  <c r="AA784" i="6"/>
  <c r="U786" i="6"/>
  <c r="T786" i="6"/>
  <c r="Y766" i="6"/>
  <c r="Y765" i="6"/>
  <c r="AA762" i="6"/>
  <c r="AA761" i="6"/>
  <c r="AA760" i="6"/>
  <c r="AA759" i="6"/>
  <c r="Z757" i="6"/>
  <c r="Z752" i="6"/>
  <c r="AA752" i="6"/>
  <c r="U754" i="6"/>
  <c r="T754" i="6"/>
  <c r="Y734" i="6"/>
  <c r="Y733" i="6"/>
  <c r="AA730" i="6"/>
  <c r="AA729" i="6"/>
  <c r="AA728" i="6"/>
  <c r="AA727" i="6"/>
  <c r="Z725" i="6"/>
  <c r="T722" i="6"/>
  <c r="Z720" i="6"/>
  <c r="U722" i="6"/>
  <c r="U712" i="6"/>
  <c r="Y702" i="6"/>
  <c r="Y701" i="6"/>
  <c r="AA698" i="6"/>
  <c r="AA697" i="6"/>
  <c r="AA696" i="6"/>
  <c r="AA695" i="6"/>
  <c r="Z693" i="6"/>
  <c r="U690" i="6"/>
  <c r="T690" i="6"/>
  <c r="Z688" i="6"/>
  <c r="X685" i="6"/>
  <c r="U680" i="6"/>
  <c r="T680" i="6"/>
  <c r="AB668" i="6"/>
  <c r="AA666" i="6"/>
  <c r="AA665" i="6"/>
  <c r="AA664" i="6"/>
  <c r="AA663" i="6"/>
  <c r="Z661" i="6"/>
  <c r="Z656" i="6"/>
  <c r="AA656" i="6"/>
  <c r="U658" i="6"/>
  <c r="T658" i="6"/>
  <c r="X653" i="6"/>
  <c r="AA633" i="6"/>
  <c r="AA632" i="6"/>
  <c r="AA631" i="6"/>
  <c r="Z629" i="6"/>
  <c r="Z624" i="6"/>
  <c r="AA624" i="6"/>
  <c r="U626" i="6"/>
  <c r="T626" i="6"/>
  <c r="X621" i="6"/>
  <c r="U616" i="6"/>
  <c r="AA601" i="6"/>
  <c r="AA600" i="6"/>
  <c r="Z597" i="6"/>
  <c r="Z592" i="6"/>
  <c r="U594" i="6"/>
  <c r="T594" i="6"/>
  <c r="X589" i="6"/>
  <c r="T584" i="6"/>
  <c r="U584" i="6"/>
  <c r="AA569" i="6"/>
  <c r="AA568" i="6"/>
  <c r="Z565" i="6"/>
  <c r="Z560" i="6"/>
  <c r="AA560" i="6"/>
  <c r="U562" i="6"/>
  <c r="T562" i="6"/>
  <c r="X557" i="6"/>
  <c r="U552" i="6"/>
  <c r="T552" i="6"/>
  <c r="AA537" i="6"/>
  <c r="AA536" i="6"/>
  <c r="Z533" i="6"/>
  <c r="Z528" i="6"/>
  <c r="U530" i="6"/>
  <c r="T530" i="6"/>
  <c r="X525" i="6"/>
  <c r="AA505" i="6"/>
  <c r="AA504" i="6"/>
  <c r="AA496" i="6"/>
  <c r="Z501" i="6"/>
  <c r="Z496" i="6"/>
  <c r="U498" i="6"/>
  <c r="T498" i="6"/>
  <c r="X493" i="6"/>
  <c r="AA472" i="6"/>
  <c r="AA464" i="6"/>
  <c r="Z469" i="6"/>
  <c r="T466" i="6"/>
  <c r="Z464" i="6"/>
  <c r="U466" i="6"/>
  <c r="X461" i="6"/>
  <c r="AA440" i="6"/>
  <c r="Z437" i="6"/>
  <c r="Z432" i="6"/>
  <c r="U434" i="6"/>
  <c r="T434" i="6"/>
  <c r="X429" i="6"/>
  <c r="AA408" i="6"/>
  <c r="AA400" i="6"/>
  <c r="Z405" i="6"/>
  <c r="U402" i="6"/>
  <c r="T402" i="6"/>
  <c r="X397" i="6"/>
  <c r="AA376" i="6"/>
  <c r="Z373" i="6"/>
  <c r="AA368" i="6"/>
  <c r="U370" i="6"/>
  <c r="T370" i="6"/>
  <c r="X365" i="6"/>
  <c r="AA344" i="6"/>
  <c r="Z341" i="6"/>
  <c r="U338" i="6"/>
  <c r="T338" i="6"/>
  <c r="Z336" i="6"/>
  <c r="AA336" i="6"/>
  <c r="X333" i="6"/>
  <c r="Z311" i="6"/>
  <c r="Z309" i="6"/>
  <c r="Z304" i="6"/>
  <c r="U306" i="6"/>
  <c r="T306" i="6"/>
  <c r="X301" i="6"/>
  <c r="Z272" i="6"/>
  <c r="U274" i="6"/>
  <c r="T274" i="6"/>
  <c r="X269" i="6"/>
  <c r="U242" i="6"/>
  <c r="T242" i="6"/>
  <c r="X237" i="6"/>
  <c r="AA208" i="6"/>
  <c r="Z208" i="6"/>
  <c r="U210" i="6"/>
  <c r="T210" i="6"/>
  <c r="X205" i="6"/>
  <c r="U178" i="6"/>
  <c r="T178" i="6"/>
  <c r="U146" i="6"/>
  <c r="T146" i="6"/>
  <c r="U114" i="6"/>
  <c r="T114" i="6"/>
  <c r="U82" i="6"/>
  <c r="T82" i="6"/>
  <c r="U50" i="6"/>
  <c r="T50" i="6"/>
  <c r="U18" i="6"/>
  <c r="T18" i="6"/>
  <c r="R13" i="5"/>
  <c r="R12" i="5"/>
  <c r="R11" i="5"/>
  <c r="O11" i="5"/>
  <c r="N11" i="5"/>
  <c r="M11" i="5"/>
  <c r="L11" i="5"/>
  <c r="R10" i="5"/>
  <c r="P10" i="5"/>
  <c r="R9" i="5"/>
  <c r="P9" i="5"/>
  <c r="R8" i="5"/>
  <c r="P8" i="5"/>
  <c r="Q7" i="5"/>
  <c r="P7" i="5"/>
  <c r="P6" i="5"/>
  <c r="P5" i="5"/>
  <c r="P4" i="5"/>
  <c r="P3" i="5"/>
  <c r="P11" i="5"/>
  <c r="N1222" i="8"/>
  <c r="AY555" i="3"/>
  <c r="N1221" i="8"/>
  <c r="AM555" i="3"/>
  <c r="AL555" i="3"/>
  <c r="AJ555" i="3"/>
  <c r="AN555" i="3"/>
  <c r="AY554" i="3"/>
  <c r="N1220" i="8"/>
  <c r="AL554" i="3"/>
  <c r="AK554" i="3"/>
  <c r="AJ554" i="3"/>
  <c r="AM554" i="3"/>
  <c r="AY553" i="3"/>
  <c r="N1219" i="8"/>
  <c r="AJ553" i="3"/>
  <c r="AN553" i="3"/>
  <c r="AY552" i="3"/>
  <c r="AM552" i="3"/>
  <c r="AL552" i="3"/>
  <c r="AJ552" i="3"/>
  <c r="AN552" i="3"/>
  <c r="AY551" i="3"/>
  <c r="AJ551" i="3"/>
  <c r="AN551" i="3"/>
  <c r="AY550" i="3"/>
  <c r="AM550" i="3"/>
  <c r="AL550" i="3"/>
  <c r="AJ550" i="3"/>
  <c r="AN550" i="3"/>
  <c r="AY549" i="3"/>
  <c r="AJ549" i="3"/>
  <c r="AN549" i="3"/>
  <c r="AY548" i="3"/>
  <c r="N1233" i="8"/>
  <c r="AN548" i="3"/>
  <c r="AJ548" i="3"/>
  <c r="AY547" i="3"/>
  <c r="N1232" i="8"/>
  <c r="AJ547" i="3"/>
  <c r="AY546" i="3"/>
  <c r="AX546" i="3"/>
  <c r="N1231" i="8"/>
  <c r="AN546" i="3"/>
  <c r="AM546" i="3"/>
  <c r="AJ546" i="3"/>
  <c r="AY545" i="3"/>
  <c r="AX545" i="3"/>
  <c r="N1230" i="8"/>
  <c r="AJ545" i="3"/>
  <c r="AY544" i="3"/>
  <c r="AX544" i="3"/>
  <c r="AM544" i="3"/>
  <c r="AL544" i="3"/>
  <c r="AJ544" i="3"/>
  <c r="AN544" i="3"/>
  <c r="AY537" i="3"/>
  <c r="AK537" i="3"/>
  <c r="AJ537" i="3"/>
  <c r="AN537" i="3"/>
  <c r="AY536" i="3"/>
  <c r="AJ536" i="3"/>
  <c r="AY535" i="3"/>
  <c r="AJ535" i="3"/>
  <c r="AY534" i="3"/>
  <c r="AJ534" i="3"/>
  <c r="AY533" i="3"/>
  <c r="AJ533" i="3"/>
  <c r="AY532" i="3"/>
  <c r="AJ532" i="3"/>
  <c r="AY531" i="3"/>
  <c r="AJ531" i="3"/>
  <c r="AY530" i="3"/>
  <c r="N1193" i="8"/>
  <c r="AJ530" i="3"/>
  <c r="AY529" i="3"/>
  <c r="N1192" i="8"/>
  <c r="AJ529" i="3"/>
  <c r="AX528" i="3"/>
  <c r="AY528" i="3"/>
  <c r="AJ528" i="3"/>
  <c r="AX527" i="3"/>
  <c r="AY527" i="3"/>
  <c r="N1190" i="8"/>
  <c r="AJ527" i="3"/>
  <c r="AN527" i="3"/>
  <c r="AX526" i="3"/>
  <c r="AY526" i="3"/>
  <c r="AJ526" i="3"/>
  <c r="AN526" i="3"/>
  <c r="AY519" i="3"/>
  <c r="AX519" i="3"/>
  <c r="AJ519" i="3"/>
  <c r="AY518" i="3"/>
  <c r="AX518" i="3"/>
  <c r="AJ518" i="3"/>
  <c r="AY517" i="3"/>
  <c r="AX517" i="3"/>
  <c r="N1139" i="8"/>
  <c r="AJ517" i="3"/>
  <c r="AY516" i="3"/>
  <c r="AX516" i="3"/>
  <c r="AJ516" i="3"/>
  <c r="AX515" i="3"/>
  <c r="AY515" i="3"/>
  <c r="AJ515" i="3"/>
  <c r="AN515" i="3"/>
  <c r="AX514" i="3"/>
  <c r="AY514" i="3"/>
  <c r="AJ514" i="3"/>
  <c r="AN514" i="3"/>
  <c r="AX513" i="3"/>
  <c r="AY513" i="3"/>
  <c r="AJ513" i="3"/>
  <c r="AN513" i="3"/>
  <c r="AY512" i="3"/>
  <c r="AX512" i="3"/>
  <c r="N1153" i="8"/>
  <c r="AJ512" i="3"/>
  <c r="AX511" i="3"/>
  <c r="AY511" i="3"/>
  <c r="N1152" i="8"/>
  <c r="AJ511" i="3"/>
  <c r="AN511" i="3"/>
  <c r="AX510" i="3"/>
  <c r="AY510" i="3"/>
  <c r="N1151" i="8"/>
  <c r="AJ510" i="3"/>
  <c r="AX509" i="3"/>
  <c r="AY509" i="3"/>
  <c r="N1150" i="8"/>
  <c r="AJ509" i="3"/>
  <c r="AN509" i="3"/>
  <c r="AX508" i="3"/>
  <c r="AY508" i="3"/>
  <c r="AJ508" i="3"/>
  <c r="AN508" i="3"/>
  <c r="N1102" i="8"/>
  <c r="AX501" i="3"/>
  <c r="AY501" i="3"/>
  <c r="N1101" i="8"/>
  <c r="AJ501" i="3"/>
  <c r="AN501" i="3"/>
  <c r="AY500" i="3"/>
  <c r="AX500" i="3"/>
  <c r="N1100" i="8"/>
  <c r="AJ500" i="3"/>
  <c r="AX499" i="3"/>
  <c r="AY499" i="3"/>
  <c r="N1099" i="8"/>
  <c r="AJ499" i="3"/>
  <c r="AN499" i="3"/>
  <c r="AY498" i="3"/>
  <c r="AX498" i="3"/>
  <c r="AJ498" i="3"/>
  <c r="AX497" i="3"/>
  <c r="AY497" i="3"/>
  <c r="AJ497" i="3"/>
  <c r="AX496" i="3"/>
  <c r="AY496" i="3"/>
  <c r="AJ496" i="3"/>
  <c r="AY495" i="3"/>
  <c r="AX495" i="3"/>
  <c r="AJ495" i="3"/>
  <c r="AX494" i="3"/>
  <c r="AY494" i="3"/>
  <c r="AJ494" i="3"/>
  <c r="AN494" i="3"/>
  <c r="AY493" i="3"/>
  <c r="AX493" i="3"/>
  <c r="AJ493" i="3"/>
  <c r="AY492" i="3"/>
  <c r="AX492" i="3"/>
  <c r="AJ492" i="3"/>
  <c r="AY491" i="3"/>
  <c r="AX491" i="3"/>
  <c r="AJ491" i="3"/>
  <c r="AY490" i="3"/>
  <c r="AX490" i="3"/>
  <c r="AJ490" i="3"/>
  <c r="AN490" i="3"/>
  <c r="R1044" i="8"/>
  <c r="Q1044" i="8"/>
  <c r="P1044" i="8"/>
  <c r="O1044" i="8"/>
  <c r="N1044" i="8"/>
  <c r="M1044" i="8"/>
  <c r="L1044" i="8"/>
  <c r="K1044" i="8"/>
  <c r="R1050" i="8"/>
  <c r="Q1050" i="8"/>
  <c r="P1050" i="8"/>
  <c r="O1050" i="8"/>
  <c r="N1050" i="8"/>
  <c r="M1050" i="8"/>
  <c r="L1050" i="8"/>
  <c r="K1050" i="8"/>
  <c r="N1062" i="8"/>
  <c r="N1045" i="8"/>
  <c r="M1045" i="8"/>
  <c r="L1045" i="8"/>
  <c r="K1045" i="8"/>
  <c r="N1053" i="8"/>
  <c r="M1053" i="8"/>
  <c r="L1053" i="8"/>
  <c r="AX483" i="3"/>
  <c r="AY483" i="3"/>
  <c r="N1061" i="8"/>
  <c r="AJ483" i="3"/>
  <c r="AN483" i="3"/>
  <c r="AF861" i="16"/>
  <c r="AX482" i="3"/>
  <c r="AY482" i="3"/>
  <c r="N1060" i="8"/>
  <c r="AJ482" i="3"/>
  <c r="AN482" i="3"/>
  <c r="AX481" i="3"/>
  <c r="N1059" i="8"/>
  <c r="AJ481" i="3"/>
  <c r="AN481" i="3"/>
  <c r="AF857" i="16"/>
  <c r="AX480" i="3"/>
  <c r="AJ480" i="3"/>
  <c r="AX479" i="3"/>
  <c r="AJ479" i="3"/>
  <c r="AX478" i="3"/>
  <c r="AJ478" i="3"/>
  <c r="AX477" i="3"/>
  <c r="AJ477" i="3"/>
  <c r="AF849" i="16"/>
  <c r="AX476" i="3"/>
  <c r="N1073" i="8"/>
  <c r="AJ476" i="3"/>
  <c r="AN476" i="3"/>
  <c r="AX475" i="3"/>
  <c r="N1072" i="8"/>
  <c r="AJ475" i="3"/>
  <c r="AX474" i="3"/>
  <c r="N1071" i="8"/>
  <c r="AJ474" i="3"/>
  <c r="AX473" i="3"/>
  <c r="N1070" i="8"/>
  <c r="AJ473" i="3"/>
  <c r="AX472" i="3"/>
  <c r="AJ472" i="3"/>
  <c r="AY472" i="3"/>
  <c r="R1004" i="8"/>
  <c r="Q1004" i="8"/>
  <c r="P1004" i="8"/>
  <c r="O1004" i="8"/>
  <c r="N1004" i="8"/>
  <c r="M1004" i="8"/>
  <c r="L1004" i="8"/>
  <c r="K1004" i="8"/>
  <c r="R1010" i="8"/>
  <c r="Q1010" i="8"/>
  <c r="P1010" i="8"/>
  <c r="O1010" i="8"/>
  <c r="N1010" i="8"/>
  <c r="M1010" i="8"/>
  <c r="L1010" i="8"/>
  <c r="K1010" i="8"/>
  <c r="N1005" i="8"/>
  <c r="M1005" i="8"/>
  <c r="L1005" i="8"/>
  <c r="O1013" i="8"/>
  <c r="N1013" i="8"/>
  <c r="M1013" i="8"/>
  <c r="L1013" i="8"/>
  <c r="K1014" i="8"/>
  <c r="AX465" i="3"/>
  <c r="AJ465" i="3"/>
  <c r="AX464" i="3"/>
  <c r="N1020" i="8"/>
  <c r="AJ464" i="3"/>
  <c r="AN464" i="3"/>
  <c r="AF827" i="16"/>
  <c r="AX463" i="3"/>
  <c r="AJ463" i="3"/>
  <c r="AX462" i="3"/>
  <c r="AJ462" i="3"/>
  <c r="AN462" i="3"/>
  <c r="AX461" i="3"/>
  <c r="AJ461" i="3"/>
  <c r="AN461" i="3"/>
  <c r="AF821" i="16"/>
  <c r="AX460" i="3"/>
  <c r="AJ460" i="3"/>
  <c r="AX459" i="3"/>
  <c r="AJ459" i="3"/>
  <c r="AX458" i="3"/>
  <c r="N1033" i="8"/>
  <c r="AJ458" i="3"/>
  <c r="AX457" i="3"/>
  <c r="AJ457" i="3"/>
  <c r="AN457" i="3"/>
  <c r="AX456" i="3"/>
  <c r="N1031" i="8"/>
  <c r="AJ456" i="3"/>
  <c r="AX455" i="3"/>
  <c r="AJ455" i="3"/>
  <c r="AN455" i="3"/>
  <c r="AX454" i="3"/>
  <c r="AJ454" i="3"/>
  <c r="AN454" i="3"/>
  <c r="AF807" i="16"/>
  <c r="R964" i="8"/>
  <c r="Q964" i="8"/>
  <c r="P964" i="8"/>
  <c r="O964" i="8"/>
  <c r="N964" i="8"/>
  <c r="M964" i="8"/>
  <c r="L964" i="8"/>
  <c r="K964" i="8"/>
  <c r="R970" i="8"/>
  <c r="Q970" i="8"/>
  <c r="P970" i="8"/>
  <c r="O970" i="8"/>
  <c r="N970" i="8"/>
  <c r="M970" i="8"/>
  <c r="L970" i="8"/>
  <c r="K970" i="8"/>
  <c r="O974" i="8"/>
  <c r="N982" i="8"/>
  <c r="N965" i="8"/>
  <c r="M965" i="8"/>
  <c r="L965" i="8"/>
  <c r="K965" i="8"/>
  <c r="O973" i="8"/>
  <c r="N973" i="8"/>
  <c r="M973" i="8"/>
  <c r="L973" i="8"/>
  <c r="K973" i="8"/>
  <c r="AX447" i="3"/>
  <c r="AY447" i="3"/>
  <c r="N981" i="8"/>
  <c r="AJ447" i="3"/>
  <c r="AF797" i="16"/>
  <c r="AX446" i="3"/>
  <c r="N980" i="8"/>
  <c r="AM446" i="3"/>
  <c r="AL446" i="3"/>
  <c r="AJ446" i="3"/>
  <c r="AN446" i="3"/>
  <c r="AY446" i="3"/>
  <c r="AX445" i="3"/>
  <c r="AY445" i="3"/>
  <c r="N979" i="8"/>
  <c r="AN445" i="3"/>
  <c r="AJ445" i="3"/>
  <c r="AK445" i="3"/>
  <c r="AF793" i="16"/>
  <c r="AX444" i="3"/>
  <c r="AY444" i="3"/>
  <c r="AL444" i="3"/>
  <c r="AJ444" i="3"/>
  <c r="AN444" i="3"/>
  <c r="AY443" i="3"/>
  <c r="AX443" i="3"/>
  <c r="AJ443" i="3"/>
  <c r="AN443" i="3"/>
  <c r="AX442" i="3"/>
  <c r="AY442" i="3"/>
  <c r="AJ442" i="3"/>
  <c r="AN442" i="3"/>
  <c r="AF787" i="16"/>
  <c r="AX441" i="3"/>
  <c r="AY441" i="3"/>
  <c r="AJ441" i="3"/>
  <c r="AN441" i="3"/>
  <c r="AF785" i="16"/>
  <c r="AX440" i="3"/>
  <c r="AY440" i="3"/>
  <c r="AN440" i="3"/>
  <c r="AJ440" i="3"/>
  <c r="AM440" i="3"/>
  <c r="AF783" i="16"/>
  <c r="AX439" i="3"/>
  <c r="N992" i="8"/>
  <c r="AL439" i="3"/>
  <c r="AJ439" i="3"/>
  <c r="AN439" i="3"/>
  <c r="AY438" i="3"/>
  <c r="AX438" i="3"/>
  <c r="N991" i="8"/>
  <c r="AJ438" i="3"/>
  <c r="AN438" i="3"/>
  <c r="AF779" i="16"/>
  <c r="AX437" i="3"/>
  <c r="N990" i="8"/>
  <c r="AM437" i="3"/>
  <c r="AK437" i="3"/>
  <c r="AJ437" i="3"/>
  <c r="AN437" i="3"/>
  <c r="AY436" i="3"/>
  <c r="AX436" i="3"/>
  <c r="AM436" i="3"/>
  <c r="AL436" i="3"/>
  <c r="AJ436" i="3"/>
  <c r="AN436" i="3"/>
  <c r="R924" i="8"/>
  <c r="Q924" i="8"/>
  <c r="P924" i="8"/>
  <c r="O924" i="8"/>
  <c r="N924" i="8"/>
  <c r="M924" i="8"/>
  <c r="K924" i="8"/>
  <c r="R930" i="8"/>
  <c r="Q930" i="8"/>
  <c r="P930" i="8"/>
  <c r="O930" i="8"/>
  <c r="N930" i="8"/>
  <c r="M930" i="8"/>
  <c r="L930" i="8"/>
  <c r="K930" i="8"/>
  <c r="N942" i="8"/>
  <c r="N925" i="8"/>
  <c r="M925" i="8"/>
  <c r="L925" i="8"/>
  <c r="K925" i="8"/>
  <c r="O933" i="8"/>
  <c r="N933" i="8"/>
  <c r="M933" i="8"/>
  <c r="L933" i="8"/>
  <c r="K933" i="8"/>
  <c r="AX429" i="3"/>
  <c r="AY429" i="3"/>
  <c r="AL429" i="3"/>
  <c r="AJ429" i="3"/>
  <c r="AN429" i="3"/>
  <c r="AX428" i="3"/>
  <c r="AY428" i="3"/>
  <c r="N940" i="8"/>
  <c r="AJ428" i="3"/>
  <c r="AF763" i="16"/>
  <c r="AY427" i="3"/>
  <c r="AX427" i="3"/>
  <c r="AJ427" i="3"/>
  <c r="AN427" i="3"/>
  <c r="AX426" i="3"/>
  <c r="AY426" i="3"/>
  <c r="AJ426" i="3"/>
  <c r="AF759" i="16"/>
  <c r="AX425" i="3"/>
  <c r="AY425" i="3"/>
  <c r="AJ425" i="3"/>
  <c r="AF757" i="16"/>
  <c r="AX424" i="3"/>
  <c r="AJ424" i="3"/>
  <c r="AN424" i="3"/>
  <c r="AY424" i="3"/>
  <c r="AX423" i="3"/>
  <c r="AM423" i="3"/>
  <c r="AJ423" i="3"/>
  <c r="AN423" i="3"/>
  <c r="AY423" i="3"/>
  <c r="AX422" i="3"/>
  <c r="N953" i="8"/>
  <c r="AM422" i="3"/>
  <c r="AK422" i="3"/>
  <c r="AJ422" i="3"/>
  <c r="AN422" i="3"/>
  <c r="AY421" i="3"/>
  <c r="AX421" i="3"/>
  <c r="AJ421" i="3"/>
  <c r="AF749" i="16"/>
  <c r="AX420" i="3"/>
  <c r="AL420" i="3"/>
  <c r="AJ420" i="3"/>
  <c r="AN420" i="3"/>
  <c r="AY419" i="3"/>
  <c r="AX419" i="3"/>
  <c r="AJ419" i="3"/>
  <c r="AN419" i="3"/>
  <c r="AF745" i="16"/>
  <c r="AX418" i="3"/>
  <c r="AY418" i="3"/>
  <c r="AN418" i="3"/>
  <c r="AJ418" i="3"/>
  <c r="AK418" i="3"/>
  <c r="AF743" i="16"/>
  <c r="R884" i="8"/>
  <c r="Q884" i="8"/>
  <c r="P884" i="8"/>
  <c r="O884" i="8"/>
  <c r="N884" i="8"/>
  <c r="M884" i="8"/>
  <c r="L884" i="8"/>
  <c r="K884" i="8"/>
  <c r="R890" i="8"/>
  <c r="Q890" i="8"/>
  <c r="P890" i="8"/>
  <c r="O890" i="8"/>
  <c r="N890" i="8"/>
  <c r="M890" i="8"/>
  <c r="L890" i="8"/>
  <c r="K890" i="8"/>
  <c r="N902" i="8"/>
  <c r="N885" i="8"/>
  <c r="M885" i="8"/>
  <c r="L885" i="8"/>
  <c r="K885" i="8"/>
  <c r="O893" i="8"/>
  <c r="N893" i="8"/>
  <c r="M893" i="8"/>
  <c r="L893" i="8"/>
  <c r="K893" i="8"/>
  <c r="AX411" i="3"/>
  <c r="AY411" i="3"/>
  <c r="N901" i="8"/>
  <c r="AJ411" i="3"/>
  <c r="AN411" i="3"/>
  <c r="AF733" i="16"/>
  <c r="AX410" i="3"/>
  <c r="AY410" i="3"/>
  <c r="N900" i="8"/>
  <c r="AL410" i="3"/>
  <c r="AJ410" i="3"/>
  <c r="AN410" i="3"/>
  <c r="AX409" i="3"/>
  <c r="AY409" i="3"/>
  <c r="N899" i="8"/>
  <c r="AN409" i="3"/>
  <c r="AJ409" i="3"/>
  <c r="AF729" i="16"/>
  <c r="AX408" i="3"/>
  <c r="AY408" i="3"/>
  <c r="AJ408" i="3"/>
  <c r="AN408" i="3"/>
  <c r="AY407" i="3"/>
  <c r="AX407" i="3"/>
  <c r="AL407" i="3"/>
  <c r="AJ407" i="3"/>
  <c r="AN407" i="3"/>
  <c r="AX406" i="3"/>
  <c r="AY406" i="3"/>
  <c r="AJ406" i="3"/>
  <c r="AF723" i="16"/>
  <c r="AX405" i="3"/>
  <c r="AY405" i="3"/>
  <c r="AJ405" i="3"/>
  <c r="AF721" i="16"/>
  <c r="AY404" i="3"/>
  <c r="AX404" i="3"/>
  <c r="N913" i="8"/>
  <c r="AJ404" i="3"/>
  <c r="AN404" i="3"/>
  <c r="AF719" i="16"/>
  <c r="AX403" i="3"/>
  <c r="N912" i="8"/>
  <c r="AM403" i="3"/>
  <c r="AL403" i="3"/>
  <c r="AK403" i="3"/>
  <c r="AJ403" i="3"/>
  <c r="AN403" i="3"/>
  <c r="AY402" i="3"/>
  <c r="AX402" i="3"/>
  <c r="N911" i="8"/>
  <c r="AN402" i="3"/>
  <c r="AM402" i="3"/>
  <c r="AJ402" i="3"/>
  <c r="AF715" i="16"/>
  <c r="AX401" i="3"/>
  <c r="N910" i="8"/>
  <c r="AM401" i="3"/>
  <c r="AL401" i="3"/>
  <c r="AK401" i="3"/>
  <c r="AJ401" i="3"/>
  <c r="AN401" i="3"/>
  <c r="AY400" i="3"/>
  <c r="AX400" i="3"/>
  <c r="AL400" i="3"/>
  <c r="AJ400" i="3"/>
  <c r="AN400" i="3"/>
  <c r="R844" i="8"/>
  <c r="Q844" i="8"/>
  <c r="P844" i="8"/>
  <c r="O844" i="8"/>
  <c r="N844" i="8"/>
  <c r="M844" i="8"/>
  <c r="L844" i="8"/>
  <c r="K844" i="8"/>
  <c r="R850" i="8"/>
  <c r="Q850" i="8"/>
  <c r="P850" i="8"/>
  <c r="O850" i="8"/>
  <c r="N850" i="8"/>
  <c r="M850" i="8"/>
  <c r="L850" i="8"/>
  <c r="K850" i="8"/>
  <c r="M854" i="8"/>
  <c r="N862" i="8"/>
  <c r="N845" i="8"/>
  <c r="M845" i="8"/>
  <c r="L845" i="8"/>
  <c r="K845" i="8"/>
  <c r="O853" i="8"/>
  <c r="N853" i="8"/>
  <c r="M853" i="8"/>
  <c r="L853" i="8"/>
  <c r="K853" i="8"/>
  <c r="AY393" i="3"/>
  <c r="AX393" i="3"/>
  <c r="AM393" i="3"/>
  <c r="AJ393" i="3"/>
  <c r="AN393" i="3"/>
  <c r="AX392" i="3"/>
  <c r="AY392" i="3"/>
  <c r="N860" i="8"/>
  <c r="AJ392" i="3"/>
  <c r="AN392" i="3"/>
  <c r="AF699" i="16"/>
  <c r="AX391" i="3"/>
  <c r="AM391" i="3"/>
  <c r="AL391" i="3"/>
  <c r="AJ391" i="3"/>
  <c r="AN391" i="3"/>
  <c r="AY391" i="3"/>
  <c r="AX390" i="3"/>
  <c r="AY390" i="3"/>
  <c r="AJ390" i="3"/>
  <c r="AN390" i="3"/>
  <c r="AF695" i="16"/>
  <c r="AX389" i="3"/>
  <c r="AY389" i="3"/>
  <c r="AJ389" i="3"/>
  <c r="AN389" i="3"/>
  <c r="AF693" i="16"/>
  <c r="AX388" i="3"/>
  <c r="AM388" i="3"/>
  <c r="AL388" i="3"/>
  <c r="AK388" i="3"/>
  <c r="AJ388" i="3"/>
  <c r="AN388" i="3"/>
  <c r="AY388" i="3"/>
  <c r="AX387" i="3"/>
  <c r="AL387" i="3"/>
  <c r="AJ387" i="3"/>
  <c r="AN387" i="3"/>
  <c r="AY387" i="3"/>
  <c r="AX386" i="3"/>
  <c r="N873" i="8"/>
  <c r="AM386" i="3"/>
  <c r="AK386" i="3"/>
  <c r="AJ386" i="3"/>
  <c r="AN386" i="3"/>
  <c r="AY385" i="3"/>
  <c r="AX385" i="3"/>
  <c r="AJ385" i="3"/>
  <c r="AN385" i="3"/>
  <c r="AF685" i="16"/>
  <c r="AX384" i="3"/>
  <c r="AM384" i="3"/>
  <c r="AK384" i="3"/>
  <c r="AJ384" i="3"/>
  <c r="AN384" i="3"/>
  <c r="AY383" i="3"/>
  <c r="AX383" i="3"/>
  <c r="AN383" i="3"/>
  <c r="AM383" i="3"/>
  <c r="AJ383" i="3"/>
  <c r="AF681" i="16"/>
  <c r="AX382" i="3"/>
  <c r="AY382" i="3"/>
  <c r="AJ382" i="3"/>
  <c r="AN382" i="3"/>
  <c r="AF679" i="16"/>
  <c r="R804" i="8"/>
  <c r="Q804" i="8"/>
  <c r="O804" i="8"/>
  <c r="N804" i="8"/>
  <c r="M804" i="8"/>
  <c r="L804" i="8"/>
  <c r="K804" i="8"/>
  <c r="R810" i="8"/>
  <c r="Q810" i="8"/>
  <c r="P810" i="8"/>
  <c r="O810" i="8"/>
  <c r="N810" i="8"/>
  <c r="M810" i="8"/>
  <c r="L810" i="8"/>
  <c r="K810" i="8"/>
  <c r="N822" i="8"/>
  <c r="N805" i="8"/>
  <c r="M805" i="8"/>
  <c r="L805" i="8"/>
  <c r="K805" i="8"/>
  <c r="O813" i="8"/>
  <c r="N813" i="8"/>
  <c r="M814" i="8"/>
  <c r="L813" i="8"/>
  <c r="K813" i="8"/>
  <c r="AX375" i="3"/>
  <c r="AY375" i="3"/>
  <c r="N821" i="8"/>
  <c r="AK375" i="3"/>
  <c r="AJ375" i="3"/>
  <c r="AN375" i="3"/>
  <c r="AX374" i="3"/>
  <c r="AY374" i="3"/>
  <c r="N820" i="8"/>
  <c r="AJ374" i="3"/>
  <c r="AN374" i="3"/>
  <c r="AX373" i="3"/>
  <c r="AY373" i="3"/>
  <c r="AJ373" i="3"/>
  <c r="AX372" i="3"/>
  <c r="AY372" i="3"/>
  <c r="AJ372" i="3"/>
  <c r="AY371" i="3"/>
  <c r="AX371" i="3"/>
  <c r="AM371" i="3"/>
  <c r="AJ371" i="3"/>
  <c r="AN371" i="3"/>
  <c r="AY370" i="3"/>
  <c r="AX370" i="3"/>
  <c r="AJ370" i="3"/>
  <c r="AN370" i="3"/>
  <c r="AX369" i="3"/>
  <c r="AY369" i="3"/>
  <c r="AJ369" i="3"/>
  <c r="AN369" i="3"/>
  <c r="AF657" i="16"/>
  <c r="AX368" i="3"/>
  <c r="AY368" i="3"/>
  <c r="N833" i="8"/>
  <c r="AJ368" i="3"/>
  <c r="AN368" i="3"/>
  <c r="AF655" i="16"/>
  <c r="AX367" i="3"/>
  <c r="N832" i="8"/>
  <c r="AJ367" i="3"/>
  <c r="AN367" i="3"/>
  <c r="AY366" i="3"/>
  <c r="AX366" i="3"/>
  <c r="N831" i="8"/>
  <c r="AJ366" i="3"/>
  <c r="AN366" i="3"/>
  <c r="AF651" i="16"/>
  <c r="AX365" i="3"/>
  <c r="N830" i="8"/>
  <c r="AM365" i="3"/>
  <c r="AK365" i="3"/>
  <c r="AJ365" i="3"/>
  <c r="AN365" i="3"/>
  <c r="AY365" i="3"/>
  <c r="AY364" i="3"/>
  <c r="AX364" i="3"/>
  <c r="AL364" i="3"/>
  <c r="AJ364" i="3"/>
  <c r="AK364" i="3"/>
  <c r="R764" i="8"/>
  <c r="Q764" i="8"/>
  <c r="P764" i="8"/>
  <c r="O764" i="8"/>
  <c r="N764" i="8"/>
  <c r="M764" i="8"/>
  <c r="L764" i="8"/>
  <c r="K764" i="8"/>
  <c r="R770" i="8"/>
  <c r="Q770" i="8"/>
  <c r="P770" i="8"/>
  <c r="O770" i="8"/>
  <c r="N770" i="8"/>
  <c r="M770" i="8"/>
  <c r="L770" i="8"/>
  <c r="K770" i="8"/>
  <c r="N782" i="8"/>
  <c r="N765" i="8"/>
  <c r="M765" i="8"/>
  <c r="L765" i="8"/>
  <c r="K765" i="8"/>
  <c r="O773" i="8"/>
  <c r="N773" i="8"/>
  <c r="M773" i="8"/>
  <c r="L773" i="8"/>
  <c r="K773" i="8"/>
  <c r="AX357" i="3"/>
  <c r="AY357" i="3"/>
  <c r="N781" i="8"/>
  <c r="AJ357" i="3"/>
  <c r="AN357" i="3"/>
  <c r="AF637" i="16"/>
  <c r="AX356" i="3"/>
  <c r="AY356" i="3"/>
  <c r="N780" i="8"/>
  <c r="AL356" i="3"/>
  <c r="AJ356" i="3"/>
  <c r="AK356" i="3"/>
  <c r="AF635" i="16"/>
  <c r="AX355" i="3"/>
  <c r="AY355" i="3"/>
  <c r="N779" i="8"/>
  <c r="AJ355" i="3"/>
  <c r="AN355" i="3"/>
  <c r="AF633" i="16"/>
  <c r="AX354" i="3"/>
  <c r="AY354" i="3"/>
  <c r="AJ354" i="3"/>
  <c r="AN354" i="3"/>
  <c r="AF631" i="16"/>
  <c r="AX353" i="3"/>
  <c r="AM353" i="3"/>
  <c r="AJ353" i="3"/>
  <c r="AK353" i="3"/>
  <c r="AF629" i="16"/>
  <c r="AY353" i="3"/>
  <c r="AX352" i="3"/>
  <c r="AY352" i="3"/>
  <c r="AJ352" i="3"/>
  <c r="AL352" i="3"/>
  <c r="AF627" i="16"/>
  <c r="AX351" i="3"/>
  <c r="AY351" i="3"/>
  <c r="AJ351" i="3"/>
  <c r="AN351" i="3"/>
  <c r="AF625" i="16"/>
  <c r="AX350" i="3"/>
  <c r="AY350" i="3"/>
  <c r="N793" i="8"/>
  <c r="AJ350" i="3"/>
  <c r="AL350" i="3"/>
  <c r="AF623" i="16"/>
  <c r="AX349" i="3"/>
  <c r="AY349" i="3"/>
  <c r="N792" i="8"/>
  <c r="AJ349" i="3"/>
  <c r="AN349" i="3"/>
  <c r="AF621" i="16"/>
  <c r="AY348" i="3"/>
  <c r="AX348" i="3"/>
  <c r="N791" i="8"/>
  <c r="AM348" i="3"/>
  <c r="AJ348" i="3"/>
  <c r="AL348" i="3"/>
  <c r="AF619" i="16"/>
  <c r="AX347" i="3"/>
  <c r="AY347" i="3"/>
  <c r="N790" i="8"/>
  <c r="AM347" i="3"/>
  <c r="AK347" i="3"/>
  <c r="AJ347" i="3"/>
  <c r="AN347" i="3"/>
  <c r="AF617" i="16"/>
  <c r="AX346" i="3"/>
  <c r="AM346" i="3"/>
  <c r="AL346" i="3"/>
  <c r="AJ346" i="3"/>
  <c r="AK346" i="3"/>
  <c r="AY346" i="3"/>
  <c r="R724" i="8"/>
  <c r="Q724" i="8"/>
  <c r="P724" i="8"/>
  <c r="O724" i="8"/>
  <c r="N724" i="8"/>
  <c r="M724" i="8"/>
  <c r="L724" i="8"/>
  <c r="K724" i="8"/>
  <c r="R730" i="8"/>
  <c r="Q730" i="8"/>
  <c r="P730" i="8"/>
  <c r="O730" i="8"/>
  <c r="N730" i="8"/>
  <c r="M730" i="8"/>
  <c r="L730" i="8"/>
  <c r="K730" i="8"/>
  <c r="N741" i="8"/>
  <c r="N742" i="8"/>
  <c r="N725" i="8"/>
  <c r="M725" i="8"/>
  <c r="L725" i="8"/>
  <c r="K725" i="8"/>
  <c r="O733" i="8"/>
  <c r="N733" i="8"/>
  <c r="M733" i="8"/>
  <c r="L733" i="8"/>
  <c r="K733" i="8"/>
  <c r="AX339" i="3"/>
  <c r="AY339" i="3"/>
  <c r="AJ339" i="3"/>
  <c r="AK339" i="3"/>
  <c r="AF605" i="16"/>
  <c r="AX338" i="3"/>
  <c r="AY338" i="3"/>
  <c r="N740" i="8"/>
  <c r="AJ338" i="3"/>
  <c r="AN338" i="3"/>
  <c r="AF603" i="16"/>
  <c r="AX337" i="3"/>
  <c r="AY337" i="3"/>
  <c r="AJ337" i="3"/>
  <c r="AK337" i="3"/>
  <c r="AF601" i="16"/>
  <c r="AX336" i="3"/>
  <c r="AY336" i="3"/>
  <c r="AM336" i="3"/>
  <c r="AJ336" i="3"/>
  <c r="AL336" i="3"/>
  <c r="AF599" i="16"/>
  <c r="AX335" i="3"/>
  <c r="AY335" i="3"/>
  <c r="AJ335" i="3"/>
  <c r="AN335" i="3"/>
  <c r="AF597" i="16"/>
  <c r="AX334" i="3"/>
  <c r="AY334" i="3"/>
  <c r="AK334" i="3"/>
  <c r="AJ334" i="3"/>
  <c r="AN334" i="3"/>
  <c r="AF595" i="16"/>
  <c r="AX333" i="3"/>
  <c r="AM333" i="3"/>
  <c r="AL333" i="3"/>
  <c r="AJ333" i="3"/>
  <c r="AK333" i="3"/>
  <c r="AF593" i="16"/>
  <c r="AY333" i="3"/>
  <c r="AX332" i="3"/>
  <c r="AY332" i="3"/>
  <c r="N752" i="8"/>
  <c r="N753" i="8"/>
  <c r="AK332" i="3"/>
  <c r="AJ332" i="3"/>
  <c r="AN332" i="3"/>
  <c r="AF591" i="16"/>
  <c r="AY331" i="3"/>
  <c r="AX331" i="3"/>
  <c r="AM331" i="3"/>
  <c r="AJ331" i="3"/>
  <c r="AL331" i="3"/>
  <c r="AF589" i="16"/>
  <c r="AX330" i="3"/>
  <c r="AY330" i="3"/>
  <c r="N751" i="8"/>
  <c r="AM330" i="3"/>
  <c r="AL330" i="3"/>
  <c r="AK330" i="3"/>
  <c r="AJ330" i="3"/>
  <c r="AN330" i="3"/>
  <c r="AF587" i="16"/>
  <c r="AY329" i="3"/>
  <c r="AX329" i="3"/>
  <c r="AM329" i="3"/>
  <c r="AJ329" i="3"/>
  <c r="AL329" i="3"/>
  <c r="AF585" i="16"/>
  <c r="AX328" i="3"/>
  <c r="AY328" i="3"/>
  <c r="AJ328" i="3"/>
  <c r="AN328" i="3"/>
  <c r="AF583" i="16"/>
  <c r="R684" i="8"/>
  <c r="Q684" i="8"/>
  <c r="P684" i="8"/>
  <c r="O684" i="8"/>
  <c r="N684" i="8"/>
  <c r="M684" i="8"/>
  <c r="L684" i="8"/>
  <c r="K684" i="8"/>
  <c r="R690" i="8"/>
  <c r="Q690" i="8"/>
  <c r="P690" i="8"/>
  <c r="O690" i="8"/>
  <c r="N690" i="8"/>
  <c r="M690" i="8"/>
  <c r="L690" i="8"/>
  <c r="K690" i="8"/>
  <c r="N702" i="8"/>
  <c r="N685" i="8"/>
  <c r="M685" i="8"/>
  <c r="L685" i="8"/>
  <c r="K685" i="8"/>
  <c r="O693" i="8"/>
  <c r="N693" i="8"/>
  <c r="M693" i="8"/>
  <c r="L693" i="8"/>
  <c r="K693" i="8"/>
  <c r="AX321" i="3"/>
  <c r="AY321" i="3"/>
  <c r="N701" i="8"/>
  <c r="AJ321" i="3"/>
  <c r="AN321" i="3"/>
  <c r="AF573" i="16"/>
  <c r="AX320" i="3"/>
  <c r="AY320" i="3"/>
  <c r="N700" i="8"/>
  <c r="AJ320" i="3"/>
  <c r="AK320" i="3"/>
  <c r="AF571" i="16"/>
  <c r="AX319" i="3"/>
  <c r="AY319" i="3"/>
  <c r="N699" i="8"/>
  <c r="AJ319" i="3"/>
  <c r="AN319" i="3"/>
  <c r="AF569" i="16"/>
  <c r="AX318" i="3"/>
  <c r="AY318" i="3"/>
  <c r="AK318" i="3"/>
  <c r="AJ318" i="3"/>
  <c r="AN318" i="3"/>
  <c r="AF567" i="16"/>
  <c r="AX317" i="3"/>
  <c r="AM317" i="3"/>
  <c r="AJ317" i="3"/>
  <c r="AK317" i="3"/>
  <c r="AF565" i="16"/>
  <c r="AY317" i="3"/>
  <c r="AX316" i="3"/>
  <c r="AY316" i="3"/>
  <c r="AM316" i="3"/>
  <c r="AJ316" i="3"/>
  <c r="AL316" i="3"/>
  <c r="AF563" i="16"/>
  <c r="AX315" i="3"/>
  <c r="AY315" i="3"/>
  <c r="AJ315" i="3"/>
  <c r="AN315" i="3"/>
  <c r="AF561" i="16"/>
  <c r="AX314" i="3"/>
  <c r="AY314" i="3"/>
  <c r="N713" i="8"/>
  <c r="AM314" i="3"/>
  <c r="AJ314" i="3"/>
  <c r="AL314" i="3"/>
  <c r="AF559" i="16"/>
  <c r="AX313" i="3"/>
  <c r="AY313" i="3"/>
  <c r="N712" i="8"/>
  <c r="AK313" i="3"/>
  <c r="AJ313" i="3"/>
  <c r="AN313" i="3"/>
  <c r="AF557" i="16"/>
  <c r="AY312" i="3"/>
  <c r="AX312" i="3"/>
  <c r="N711" i="8"/>
  <c r="AJ312" i="3"/>
  <c r="AL312" i="3"/>
  <c r="AF555" i="16"/>
  <c r="AX311" i="3"/>
  <c r="AY311" i="3"/>
  <c r="N710" i="8"/>
  <c r="AJ311" i="3"/>
  <c r="AN311" i="3"/>
  <c r="AF553" i="16"/>
  <c r="AX310" i="3"/>
  <c r="AM310" i="3"/>
  <c r="AL310" i="3"/>
  <c r="AJ310" i="3"/>
  <c r="AK310" i="3"/>
  <c r="AY310" i="3"/>
  <c r="R644" i="8"/>
  <c r="Q644" i="8"/>
  <c r="P644" i="8"/>
  <c r="O644" i="8"/>
  <c r="N644" i="8"/>
  <c r="M644" i="8"/>
  <c r="L644" i="8"/>
  <c r="K644" i="8"/>
  <c r="R650" i="8"/>
  <c r="Q650" i="8"/>
  <c r="P650" i="8"/>
  <c r="O650" i="8"/>
  <c r="N650" i="8"/>
  <c r="M650" i="8"/>
  <c r="L650" i="8"/>
  <c r="K650" i="8"/>
  <c r="N661" i="8"/>
  <c r="N662" i="8"/>
  <c r="N645" i="8"/>
  <c r="M645" i="8"/>
  <c r="L645" i="8"/>
  <c r="K645" i="8"/>
  <c r="O653" i="8"/>
  <c r="N653" i="8"/>
  <c r="M653" i="8"/>
  <c r="L653" i="8"/>
  <c r="K653" i="8"/>
  <c r="AX303" i="3"/>
  <c r="AY303" i="3"/>
  <c r="AL303" i="3"/>
  <c r="AJ303" i="3"/>
  <c r="AK303" i="3"/>
  <c r="AF541" i="16"/>
  <c r="AX302" i="3"/>
  <c r="AY302" i="3"/>
  <c r="N660" i="8"/>
  <c r="AJ302" i="3"/>
  <c r="AN302" i="3"/>
  <c r="AF539" i="16"/>
  <c r="AX301" i="3"/>
  <c r="AY301" i="3"/>
  <c r="AL301" i="3"/>
  <c r="AJ301" i="3"/>
  <c r="AK301" i="3"/>
  <c r="AF537" i="16"/>
  <c r="AX300" i="3"/>
  <c r="AY300" i="3"/>
  <c r="AM300" i="3"/>
  <c r="AJ300" i="3"/>
  <c r="AL300" i="3"/>
  <c r="AF535" i="16"/>
  <c r="AX299" i="3"/>
  <c r="AY299" i="3"/>
  <c r="AJ299" i="3"/>
  <c r="AN299" i="3"/>
  <c r="AF533" i="16"/>
  <c r="AX298" i="3"/>
  <c r="AY298" i="3"/>
  <c r="AL298" i="3"/>
  <c r="AK298" i="3"/>
  <c r="AJ298" i="3"/>
  <c r="AN298" i="3"/>
  <c r="AF531" i="16"/>
  <c r="AX297" i="3"/>
  <c r="AJ297" i="3"/>
  <c r="AK297" i="3"/>
  <c r="AF529" i="16"/>
  <c r="AY297" i="3"/>
  <c r="AX296" i="3"/>
  <c r="AY296" i="3"/>
  <c r="N672" i="8"/>
  <c r="N673" i="8"/>
  <c r="AL296" i="3"/>
  <c r="AK296" i="3"/>
  <c r="AJ296" i="3"/>
  <c r="AN296" i="3"/>
  <c r="AF527" i="16"/>
  <c r="AY295" i="3"/>
  <c r="AX295" i="3"/>
  <c r="AJ295" i="3"/>
  <c r="AL295" i="3"/>
  <c r="AF525" i="16"/>
  <c r="AX294" i="3"/>
  <c r="AY294" i="3"/>
  <c r="N671" i="8"/>
  <c r="AJ294" i="3"/>
  <c r="AN294" i="3"/>
  <c r="AF523" i="16"/>
  <c r="AY293" i="3"/>
  <c r="AX293" i="3"/>
  <c r="AM293" i="3"/>
  <c r="AJ293" i="3"/>
  <c r="AL293" i="3"/>
  <c r="AF521" i="16"/>
  <c r="AX292" i="3"/>
  <c r="AY292" i="3"/>
  <c r="AJ292" i="3"/>
  <c r="AN292" i="3"/>
  <c r="AF519" i="16"/>
  <c r="R604" i="8"/>
  <c r="Q604" i="8"/>
  <c r="P604" i="8"/>
  <c r="O604" i="8"/>
  <c r="N604" i="8"/>
  <c r="M604" i="8"/>
  <c r="L604" i="8"/>
  <c r="K604" i="8"/>
  <c r="R610" i="8"/>
  <c r="Q610" i="8"/>
  <c r="P610" i="8"/>
  <c r="O610" i="8"/>
  <c r="N610" i="8"/>
  <c r="M610" i="8"/>
  <c r="L610" i="8"/>
  <c r="K610" i="8"/>
  <c r="N622" i="8"/>
  <c r="N605" i="8"/>
  <c r="M605" i="8"/>
  <c r="L605" i="8"/>
  <c r="K605" i="8"/>
  <c r="O613" i="8"/>
  <c r="N614" i="8"/>
  <c r="M613" i="8"/>
  <c r="L613" i="8"/>
  <c r="K613" i="8"/>
  <c r="AX285" i="3"/>
  <c r="AY285" i="3"/>
  <c r="N621" i="8"/>
  <c r="AJ285" i="3"/>
  <c r="AN285" i="3"/>
  <c r="AF509" i="16"/>
  <c r="AX284" i="3"/>
  <c r="AY284" i="3"/>
  <c r="N620" i="8"/>
  <c r="AL284" i="3"/>
  <c r="AJ284" i="3"/>
  <c r="AK284" i="3"/>
  <c r="AF507" i="16"/>
  <c r="AX283" i="3"/>
  <c r="AY283" i="3"/>
  <c r="N619" i="8"/>
  <c r="AJ283" i="3"/>
  <c r="AN283" i="3"/>
  <c r="AF505" i="16"/>
  <c r="AX282" i="3"/>
  <c r="AY282" i="3"/>
  <c r="AL282" i="3"/>
  <c r="AK282" i="3"/>
  <c r="AJ282" i="3"/>
  <c r="AN282" i="3"/>
  <c r="AF503" i="16"/>
  <c r="AX281" i="3"/>
  <c r="AJ281" i="3"/>
  <c r="AK281" i="3"/>
  <c r="AF501" i="16"/>
  <c r="AY281" i="3"/>
  <c r="AX280" i="3"/>
  <c r="AY280" i="3"/>
  <c r="AM280" i="3"/>
  <c r="AJ280" i="3"/>
  <c r="AL280" i="3"/>
  <c r="AF499" i="16"/>
  <c r="AX279" i="3"/>
  <c r="AY279" i="3"/>
  <c r="AJ279" i="3"/>
  <c r="AN279" i="3"/>
  <c r="AF497" i="16"/>
  <c r="AX278" i="3"/>
  <c r="AY278" i="3"/>
  <c r="N633" i="8"/>
  <c r="AM278" i="3"/>
  <c r="AJ278" i="3"/>
  <c r="AL278" i="3"/>
  <c r="AF495" i="16"/>
  <c r="AX277" i="3"/>
  <c r="AY277" i="3"/>
  <c r="N632" i="8"/>
  <c r="AL277" i="3"/>
  <c r="AK277" i="3"/>
  <c r="AJ277" i="3"/>
  <c r="AN277" i="3"/>
  <c r="AF493" i="16"/>
  <c r="AY276" i="3"/>
  <c r="AX276" i="3"/>
  <c r="N631" i="8"/>
  <c r="AM276" i="3"/>
  <c r="AJ276" i="3"/>
  <c r="AL276" i="3"/>
  <c r="AF491" i="16"/>
  <c r="AX275" i="3"/>
  <c r="AY275" i="3"/>
  <c r="N630" i="8"/>
  <c r="AK275" i="3"/>
  <c r="AJ275" i="3"/>
  <c r="AN275" i="3"/>
  <c r="AF489" i="16"/>
  <c r="AX274" i="3"/>
  <c r="AM274" i="3"/>
  <c r="AL274" i="3"/>
  <c r="AJ274" i="3"/>
  <c r="AK274" i="3"/>
  <c r="AY274" i="3"/>
  <c r="R564" i="8"/>
  <c r="Q564" i="8"/>
  <c r="P564" i="8"/>
  <c r="O564" i="8"/>
  <c r="N564" i="8"/>
  <c r="M564" i="8"/>
  <c r="L564" i="8"/>
  <c r="K564" i="8"/>
  <c r="R570" i="8"/>
  <c r="Q570" i="8"/>
  <c r="P570" i="8"/>
  <c r="O570" i="8"/>
  <c r="N570" i="8"/>
  <c r="M570" i="8"/>
  <c r="L570" i="8"/>
  <c r="K570" i="8"/>
  <c r="N581" i="8"/>
  <c r="N582" i="8"/>
  <c r="N565" i="8"/>
  <c r="M565" i="8"/>
  <c r="L565" i="8"/>
  <c r="K565" i="8"/>
  <c r="O573" i="8"/>
  <c r="N573" i="8"/>
  <c r="M573" i="8"/>
  <c r="L573" i="8"/>
  <c r="K573" i="8"/>
  <c r="AX267" i="3"/>
  <c r="AY267" i="3"/>
  <c r="AM267" i="3"/>
  <c r="AL267" i="3"/>
  <c r="AJ267" i="3"/>
  <c r="AK267" i="3"/>
  <c r="AF477" i="16"/>
  <c r="AX266" i="3"/>
  <c r="AY266" i="3"/>
  <c r="N580" i="8"/>
  <c r="AJ266" i="3"/>
  <c r="AN266" i="3"/>
  <c r="AF475" i="16"/>
  <c r="AX265" i="3"/>
  <c r="AY265" i="3"/>
  <c r="AM265" i="3"/>
  <c r="AL265" i="3"/>
  <c r="AJ265" i="3"/>
  <c r="AK265" i="3"/>
  <c r="AF473" i="16"/>
  <c r="AX264" i="3"/>
  <c r="AY264" i="3"/>
  <c r="AM264" i="3"/>
  <c r="AJ264" i="3"/>
  <c r="AL264" i="3"/>
  <c r="AF471" i="16"/>
  <c r="AX263" i="3"/>
  <c r="AY263" i="3"/>
  <c r="AJ263" i="3"/>
  <c r="AN263" i="3"/>
  <c r="AF469" i="16"/>
  <c r="AX262" i="3"/>
  <c r="AY262" i="3"/>
  <c r="AM262" i="3"/>
  <c r="AL262" i="3"/>
  <c r="AK262" i="3"/>
  <c r="AJ262" i="3"/>
  <c r="AN262" i="3"/>
  <c r="AF467" i="16"/>
  <c r="AX261" i="3"/>
  <c r="AL261" i="3"/>
  <c r="AJ261" i="3"/>
  <c r="AK261" i="3"/>
  <c r="AF465" i="16"/>
  <c r="AY261" i="3"/>
  <c r="AX260" i="3"/>
  <c r="AY260" i="3"/>
  <c r="N592" i="8"/>
  <c r="N593" i="8"/>
  <c r="AM260" i="3"/>
  <c r="AL260" i="3"/>
  <c r="AK260" i="3"/>
  <c r="AJ260" i="3"/>
  <c r="AN260" i="3"/>
  <c r="AF463" i="16"/>
  <c r="AY259" i="3"/>
  <c r="AX259" i="3"/>
  <c r="AM259" i="3"/>
  <c r="AJ259" i="3"/>
  <c r="AL259" i="3"/>
  <c r="AF461" i="16"/>
  <c r="AX258" i="3"/>
  <c r="AY258" i="3"/>
  <c r="N591" i="8"/>
  <c r="AK258" i="3"/>
  <c r="AJ258" i="3"/>
  <c r="AN258" i="3"/>
  <c r="AF459" i="16"/>
  <c r="AY257" i="3"/>
  <c r="AX257" i="3"/>
  <c r="AM257" i="3"/>
  <c r="AJ257" i="3"/>
  <c r="AL257" i="3"/>
  <c r="AF457" i="16"/>
  <c r="AX256" i="3"/>
  <c r="AY256" i="3"/>
  <c r="AJ256" i="3"/>
  <c r="AN256" i="3"/>
  <c r="AF455" i="16"/>
  <c r="R524" i="8"/>
  <c r="Q524" i="8"/>
  <c r="P524" i="8"/>
  <c r="O524" i="8"/>
  <c r="N524" i="8"/>
  <c r="M524" i="8"/>
  <c r="L524" i="8"/>
  <c r="K524" i="8"/>
  <c r="R530" i="8"/>
  <c r="Q530" i="8"/>
  <c r="P530" i="8"/>
  <c r="O530" i="8"/>
  <c r="N530" i="8"/>
  <c r="M530" i="8"/>
  <c r="L530" i="8"/>
  <c r="K530" i="8"/>
  <c r="N542" i="8"/>
  <c r="N525" i="8"/>
  <c r="M525" i="8"/>
  <c r="L525" i="8"/>
  <c r="K525" i="8"/>
  <c r="O533" i="8"/>
  <c r="N533" i="8"/>
  <c r="M533" i="8"/>
  <c r="L533" i="8"/>
  <c r="K533" i="8"/>
  <c r="AX249" i="3"/>
  <c r="AY249" i="3"/>
  <c r="N541" i="8"/>
  <c r="AJ249" i="3"/>
  <c r="AN249" i="3"/>
  <c r="AF445" i="16"/>
  <c r="AX248" i="3"/>
  <c r="AY248" i="3"/>
  <c r="N540" i="8"/>
  <c r="AM248" i="3"/>
  <c r="AL248" i="3"/>
  <c r="AJ248" i="3"/>
  <c r="AK248" i="3"/>
  <c r="AF443" i="16"/>
  <c r="AX247" i="3"/>
  <c r="AY247" i="3"/>
  <c r="N539" i="8"/>
  <c r="AJ247" i="3"/>
  <c r="AN247" i="3"/>
  <c r="AF441" i="16"/>
  <c r="AX246" i="3"/>
  <c r="AY246" i="3"/>
  <c r="AJ246" i="3"/>
  <c r="AN246" i="3"/>
  <c r="AF439" i="16"/>
  <c r="AX245" i="3"/>
  <c r="AM245" i="3"/>
  <c r="AL245" i="3"/>
  <c r="AJ245" i="3"/>
  <c r="AK245" i="3"/>
  <c r="AF437" i="16"/>
  <c r="AY245" i="3"/>
  <c r="AX244" i="3"/>
  <c r="AY244" i="3"/>
  <c r="AJ244" i="3"/>
  <c r="AL244" i="3"/>
  <c r="AF435" i="16"/>
  <c r="AX243" i="3"/>
  <c r="AY243" i="3"/>
  <c r="AJ243" i="3"/>
  <c r="AN243" i="3"/>
  <c r="AF433" i="16"/>
  <c r="AX242" i="3"/>
  <c r="AY242" i="3"/>
  <c r="N553" i="8"/>
  <c r="AJ242" i="3"/>
  <c r="AL242" i="3"/>
  <c r="AF431" i="16"/>
  <c r="AX241" i="3"/>
  <c r="AY241" i="3"/>
  <c r="N552" i="8"/>
  <c r="AJ241" i="3"/>
  <c r="AN241" i="3"/>
  <c r="AF429" i="16"/>
  <c r="AY240" i="3"/>
  <c r="AX240" i="3"/>
  <c r="N551" i="8"/>
  <c r="AM240" i="3"/>
  <c r="AJ240" i="3"/>
  <c r="AL240" i="3"/>
  <c r="AF427" i="16"/>
  <c r="AX239" i="3"/>
  <c r="AY239" i="3"/>
  <c r="N550" i="8"/>
  <c r="AM239" i="3"/>
  <c r="AL239" i="3"/>
  <c r="AK239" i="3"/>
  <c r="AJ239" i="3"/>
  <c r="AN239" i="3"/>
  <c r="AF425" i="16"/>
  <c r="AX238" i="3"/>
  <c r="AL238" i="3"/>
  <c r="AJ238" i="3"/>
  <c r="AK238" i="3"/>
  <c r="AY238" i="3"/>
  <c r="R484" i="8"/>
  <c r="Q484" i="8"/>
  <c r="P484" i="8"/>
  <c r="O484" i="8"/>
  <c r="N484" i="8"/>
  <c r="M484" i="8"/>
  <c r="L484" i="8"/>
  <c r="K484" i="8"/>
  <c r="R490" i="8"/>
  <c r="Q490" i="8"/>
  <c r="P490" i="8"/>
  <c r="O490" i="8"/>
  <c r="N490" i="8"/>
  <c r="M490" i="8"/>
  <c r="L490" i="8"/>
  <c r="K490" i="8"/>
  <c r="N501" i="8"/>
  <c r="N502" i="8"/>
  <c r="N485" i="8"/>
  <c r="M485" i="8"/>
  <c r="L485" i="8"/>
  <c r="K485" i="8"/>
  <c r="O493" i="8"/>
  <c r="N493" i="8"/>
  <c r="M493" i="8"/>
  <c r="L493" i="8"/>
  <c r="K493" i="8"/>
  <c r="AX231" i="3"/>
  <c r="AY231" i="3"/>
  <c r="AJ231" i="3"/>
  <c r="AK231" i="3"/>
  <c r="AF413" i="16"/>
  <c r="AX230" i="3"/>
  <c r="AY230" i="3"/>
  <c r="N500" i="8"/>
  <c r="AJ230" i="3"/>
  <c r="AN230" i="3"/>
  <c r="AF411" i="16"/>
  <c r="AX229" i="3"/>
  <c r="AY229" i="3"/>
  <c r="AJ229" i="3"/>
  <c r="AK229" i="3"/>
  <c r="AF409" i="16"/>
  <c r="AX228" i="3"/>
  <c r="AY228" i="3"/>
  <c r="AM228" i="3"/>
  <c r="AJ228" i="3"/>
  <c r="AL228" i="3"/>
  <c r="AF407" i="16"/>
  <c r="AX227" i="3"/>
  <c r="AY227" i="3"/>
  <c r="AJ227" i="3"/>
  <c r="AN227" i="3"/>
  <c r="AF405" i="16"/>
  <c r="AX226" i="3"/>
  <c r="AY226" i="3"/>
  <c r="AK226" i="3"/>
  <c r="AJ226" i="3"/>
  <c r="AN226" i="3"/>
  <c r="AF403" i="16"/>
  <c r="AX225" i="3"/>
  <c r="AM225" i="3"/>
  <c r="AJ225" i="3"/>
  <c r="AK225" i="3"/>
  <c r="AF401" i="16"/>
  <c r="AY225" i="3"/>
  <c r="AX224" i="3"/>
  <c r="AY224" i="3"/>
  <c r="N512" i="8"/>
  <c r="N513" i="8"/>
  <c r="AK224" i="3"/>
  <c r="AJ224" i="3"/>
  <c r="AN224" i="3"/>
  <c r="AF399" i="16"/>
  <c r="AY223" i="3"/>
  <c r="AX223" i="3"/>
  <c r="AJ223" i="3"/>
  <c r="AL223" i="3"/>
  <c r="AF397" i="16"/>
  <c r="AX222" i="3"/>
  <c r="AY222" i="3"/>
  <c r="N511" i="8"/>
  <c r="AM222" i="3"/>
  <c r="AL222" i="3"/>
  <c r="AJ222" i="3"/>
  <c r="AN222" i="3"/>
  <c r="AF395" i="16"/>
  <c r="AY221" i="3"/>
  <c r="AX221" i="3"/>
  <c r="AM221" i="3"/>
  <c r="AJ221" i="3"/>
  <c r="AL221" i="3"/>
  <c r="AF393" i="16"/>
  <c r="AX220" i="3"/>
  <c r="AY220" i="3"/>
  <c r="AJ220" i="3"/>
  <c r="AN220" i="3"/>
  <c r="AF391" i="16"/>
  <c r="R444" i="8"/>
  <c r="Q444" i="8"/>
  <c r="P444" i="8"/>
  <c r="O444" i="8"/>
  <c r="N444" i="8"/>
  <c r="M444" i="8"/>
  <c r="L444" i="8"/>
  <c r="K444" i="8"/>
  <c r="R450" i="8"/>
  <c r="Q450" i="8"/>
  <c r="P450" i="8"/>
  <c r="O450" i="8"/>
  <c r="N450" i="8"/>
  <c r="M450" i="8"/>
  <c r="L450" i="8"/>
  <c r="K450" i="8"/>
  <c r="N462" i="8"/>
  <c r="N445" i="8"/>
  <c r="M445" i="8"/>
  <c r="L445" i="8"/>
  <c r="K445" i="8"/>
  <c r="O453" i="8"/>
  <c r="N453" i="8"/>
  <c r="M453" i="8"/>
  <c r="L453" i="8"/>
  <c r="K453" i="8"/>
  <c r="AX213" i="3"/>
  <c r="AY213" i="3"/>
  <c r="N461" i="8"/>
  <c r="AJ213" i="3"/>
  <c r="AN213" i="3"/>
  <c r="AF381" i="16"/>
  <c r="AX212" i="3"/>
  <c r="AY212" i="3"/>
  <c r="N460" i="8"/>
  <c r="AM212" i="3"/>
  <c r="AJ212" i="3"/>
  <c r="AK212" i="3"/>
  <c r="AF379" i="16"/>
  <c r="AX211" i="3"/>
  <c r="AY211" i="3"/>
  <c r="N459" i="8"/>
  <c r="AJ211" i="3"/>
  <c r="AN211" i="3"/>
  <c r="AF377" i="16"/>
  <c r="AX210" i="3"/>
  <c r="AY210" i="3"/>
  <c r="AJ210" i="3"/>
  <c r="AN210" i="3"/>
  <c r="AF375" i="16"/>
  <c r="AX209" i="3"/>
  <c r="AM209" i="3"/>
  <c r="AL209" i="3"/>
  <c r="AJ209" i="3"/>
  <c r="AK209" i="3"/>
  <c r="AF373" i="16"/>
  <c r="AY209" i="3"/>
  <c r="AX208" i="3"/>
  <c r="AY208" i="3"/>
  <c r="AJ208" i="3"/>
  <c r="AL208" i="3"/>
  <c r="AF371" i="16"/>
  <c r="AX207" i="3"/>
  <c r="AY207" i="3"/>
  <c r="AJ207" i="3"/>
  <c r="AN207" i="3"/>
  <c r="AF369" i="16"/>
  <c r="AX206" i="3"/>
  <c r="AY206" i="3"/>
  <c r="N473" i="8"/>
  <c r="AJ206" i="3"/>
  <c r="AL206" i="3"/>
  <c r="AF367" i="16"/>
  <c r="AX205" i="3"/>
  <c r="AY205" i="3"/>
  <c r="N472" i="8"/>
  <c r="AJ205" i="3"/>
  <c r="AN205" i="3"/>
  <c r="AF365" i="16"/>
  <c r="AY204" i="3"/>
  <c r="AX204" i="3"/>
  <c r="N471" i="8"/>
  <c r="AJ204" i="3"/>
  <c r="AL204" i="3"/>
  <c r="AF363" i="16"/>
  <c r="AX203" i="3"/>
  <c r="AY203" i="3"/>
  <c r="N470" i="8"/>
  <c r="AM203" i="3"/>
  <c r="AL203" i="3"/>
  <c r="AJ203" i="3"/>
  <c r="AN203" i="3"/>
  <c r="AF361" i="16"/>
  <c r="AX202" i="3"/>
  <c r="AL202" i="3"/>
  <c r="AJ202" i="3"/>
  <c r="AK202" i="3"/>
  <c r="AY202" i="3"/>
  <c r="R404" i="8"/>
  <c r="Q404" i="8"/>
  <c r="P404" i="8"/>
  <c r="O404" i="8"/>
  <c r="N404" i="8"/>
  <c r="M404" i="8"/>
  <c r="L404" i="8"/>
  <c r="K404" i="8"/>
  <c r="R410" i="8"/>
  <c r="Q410" i="8"/>
  <c r="P410" i="8"/>
  <c r="O410" i="8"/>
  <c r="N410" i="8"/>
  <c r="M410" i="8"/>
  <c r="L410" i="8"/>
  <c r="K410" i="8"/>
  <c r="N421" i="8"/>
  <c r="N422" i="8"/>
  <c r="N405" i="8"/>
  <c r="M405" i="8"/>
  <c r="L405" i="8"/>
  <c r="K405" i="8"/>
  <c r="O413" i="8"/>
  <c r="N413" i="8"/>
  <c r="M413" i="8"/>
  <c r="L413" i="8"/>
  <c r="K413" i="8"/>
  <c r="AX195" i="3"/>
  <c r="AY195" i="3"/>
  <c r="AJ195" i="3"/>
  <c r="AK195" i="3"/>
  <c r="AF349" i="16"/>
  <c r="AX194" i="3"/>
  <c r="AY194" i="3"/>
  <c r="N420" i="8"/>
  <c r="AJ194" i="3"/>
  <c r="AN194" i="3"/>
  <c r="AF347" i="16"/>
  <c r="AX193" i="3"/>
  <c r="AY193" i="3"/>
  <c r="AJ193" i="3"/>
  <c r="AK193" i="3"/>
  <c r="AF345" i="16"/>
  <c r="AX192" i="3"/>
  <c r="AY192" i="3"/>
  <c r="AM192" i="3"/>
  <c r="AJ192" i="3"/>
  <c r="AL192" i="3"/>
  <c r="AF343" i="16"/>
  <c r="AX191" i="3"/>
  <c r="AY191" i="3"/>
  <c r="AJ191" i="3"/>
  <c r="AN191" i="3"/>
  <c r="AF341" i="16"/>
  <c r="AX190" i="3"/>
  <c r="AY190" i="3"/>
  <c r="AK190" i="3"/>
  <c r="AJ190" i="3"/>
  <c r="AN190" i="3"/>
  <c r="AF339" i="16"/>
  <c r="AX189" i="3"/>
  <c r="AM189" i="3"/>
  <c r="AJ189" i="3"/>
  <c r="AK189" i="3"/>
  <c r="AF337" i="16"/>
  <c r="AY189" i="3"/>
  <c r="AX188" i="3"/>
  <c r="AY188" i="3"/>
  <c r="N432" i="8"/>
  <c r="N433" i="8"/>
  <c r="AK188" i="3"/>
  <c r="AJ188" i="3"/>
  <c r="AN188" i="3"/>
  <c r="AF335" i="16"/>
  <c r="AY187" i="3"/>
  <c r="AX187" i="3"/>
  <c r="AJ187" i="3"/>
  <c r="AL187" i="3"/>
  <c r="AF333" i="16"/>
  <c r="AX186" i="3"/>
  <c r="AY186" i="3"/>
  <c r="N431" i="8"/>
  <c r="AM186" i="3"/>
  <c r="AL186" i="3"/>
  <c r="AJ186" i="3"/>
  <c r="AN186" i="3"/>
  <c r="AF331" i="16"/>
  <c r="AY185" i="3"/>
  <c r="AX185" i="3"/>
  <c r="AM185" i="3"/>
  <c r="AJ185" i="3"/>
  <c r="AL185" i="3"/>
  <c r="AF329" i="16"/>
  <c r="AX184" i="3"/>
  <c r="AY184" i="3"/>
  <c r="AJ184" i="3"/>
  <c r="AN184" i="3"/>
  <c r="AF327" i="16"/>
  <c r="R364" i="8"/>
  <c r="Q364" i="8"/>
  <c r="P364" i="8"/>
  <c r="O364" i="8"/>
  <c r="N364" i="8"/>
  <c r="M364" i="8"/>
  <c r="L364" i="8"/>
  <c r="K364" i="8"/>
  <c r="R370" i="8"/>
  <c r="Q370" i="8"/>
  <c r="P370" i="8"/>
  <c r="O370" i="8"/>
  <c r="N370" i="8"/>
  <c r="M370" i="8"/>
  <c r="L370" i="8"/>
  <c r="K370" i="8"/>
  <c r="N382" i="8"/>
  <c r="N365" i="8"/>
  <c r="M365" i="8"/>
  <c r="L365" i="8"/>
  <c r="K365" i="8"/>
  <c r="O374" i="8"/>
  <c r="N373" i="8"/>
  <c r="M373" i="8"/>
  <c r="L373" i="8"/>
  <c r="K373" i="8"/>
  <c r="AX177" i="3"/>
  <c r="AY177" i="3"/>
  <c r="N381" i="8"/>
  <c r="AJ177" i="3"/>
  <c r="AN177" i="3"/>
  <c r="AF317" i="16"/>
  <c r="AX176" i="3"/>
  <c r="AY176" i="3"/>
  <c r="N380" i="8"/>
  <c r="AJ176" i="3"/>
  <c r="AK176" i="3"/>
  <c r="AF315" i="16"/>
  <c r="AX175" i="3"/>
  <c r="AY175" i="3"/>
  <c r="N379" i="8"/>
  <c r="AJ175" i="3"/>
  <c r="AN175" i="3"/>
  <c r="AF313" i="16"/>
  <c r="AX174" i="3"/>
  <c r="AY174" i="3"/>
  <c r="AK174" i="3"/>
  <c r="AJ174" i="3"/>
  <c r="AN174" i="3"/>
  <c r="AF311" i="16"/>
  <c r="AX173" i="3"/>
  <c r="AM173" i="3"/>
  <c r="AJ173" i="3"/>
  <c r="AK173" i="3"/>
  <c r="AF309" i="16"/>
  <c r="AY173" i="3"/>
  <c r="AX172" i="3"/>
  <c r="AY172" i="3"/>
  <c r="AM172" i="3"/>
  <c r="AJ172" i="3"/>
  <c r="AL172" i="3"/>
  <c r="AF307" i="16"/>
  <c r="AX171" i="3"/>
  <c r="AY171" i="3"/>
  <c r="AJ171" i="3"/>
  <c r="AN171" i="3"/>
  <c r="AF305" i="16"/>
  <c r="AX170" i="3"/>
  <c r="AY170" i="3"/>
  <c r="N393" i="8"/>
  <c r="AM170" i="3"/>
  <c r="AJ170" i="3"/>
  <c r="AL170" i="3"/>
  <c r="AF303" i="16"/>
  <c r="AX169" i="3"/>
  <c r="AY169" i="3"/>
  <c r="N392" i="8"/>
  <c r="AK169" i="3"/>
  <c r="AJ169" i="3"/>
  <c r="AN169" i="3"/>
  <c r="AF301" i="16"/>
  <c r="AY168" i="3"/>
  <c r="AX168" i="3"/>
  <c r="N391" i="8"/>
  <c r="AJ168" i="3"/>
  <c r="AL168" i="3"/>
  <c r="AF299" i="16"/>
  <c r="AX167" i="3"/>
  <c r="AY167" i="3"/>
  <c r="N390" i="8"/>
  <c r="AJ167" i="3"/>
  <c r="AN167" i="3"/>
  <c r="AF297" i="16"/>
  <c r="AX166" i="3"/>
  <c r="AM166" i="3"/>
  <c r="AL166" i="3"/>
  <c r="AJ166" i="3"/>
  <c r="AK166" i="3"/>
  <c r="AY166" i="3"/>
  <c r="R324" i="8"/>
  <c r="Q324" i="8"/>
  <c r="P324" i="8"/>
  <c r="O324" i="8"/>
  <c r="N324" i="8"/>
  <c r="M324" i="8"/>
  <c r="L324" i="8"/>
  <c r="K324" i="8"/>
  <c r="R330" i="8"/>
  <c r="Q330" i="8"/>
  <c r="P330" i="8"/>
  <c r="O330" i="8"/>
  <c r="N330" i="8"/>
  <c r="M330" i="8"/>
  <c r="L330" i="8"/>
  <c r="K330" i="8"/>
  <c r="N341" i="8"/>
  <c r="N342" i="8"/>
  <c r="N325" i="8"/>
  <c r="M325" i="8"/>
  <c r="L325" i="8"/>
  <c r="K325" i="8"/>
  <c r="O333" i="8"/>
  <c r="N333" i="8"/>
  <c r="M333" i="8"/>
  <c r="L333" i="8"/>
  <c r="K333" i="8"/>
  <c r="AX159" i="3"/>
  <c r="AY159" i="3"/>
  <c r="AL159" i="3"/>
  <c r="AJ159" i="3"/>
  <c r="AK159" i="3"/>
  <c r="AF285" i="16"/>
  <c r="AX158" i="3"/>
  <c r="AY158" i="3"/>
  <c r="N340" i="8"/>
  <c r="AJ158" i="3"/>
  <c r="AN158" i="3"/>
  <c r="AF283" i="16"/>
  <c r="AX157" i="3"/>
  <c r="AY157" i="3"/>
  <c r="AL157" i="3"/>
  <c r="AJ157" i="3"/>
  <c r="AK157" i="3"/>
  <c r="AF281" i="16"/>
  <c r="AX156" i="3"/>
  <c r="AY156" i="3"/>
  <c r="AM156" i="3"/>
  <c r="AJ156" i="3"/>
  <c r="AL156" i="3"/>
  <c r="AF279" i="16"/>
  <c r="AX155" i="3"/>
  <c r="AY155" i="3"/>
  <c r="AJ155" i="3"/>
  <c r="AN155" i="3"/>
  <c r="AF277" i="16"/>
  <c r="AX154" i="3"/>
  <c r="AY154" i="3"/>
  <c r="AL154" i="3"/>
  <c r="AK154" i="3"/>
  <c r="AJ154" i="3"/>
  <c r="AN154" i="3"/>
  <c r="AF275" i="16"/>
  <c r="AX153" i="3"/>
  <c r="AJ153" i="3"/>
  <c r="AK153" i="3"/>
  <c r="AF273" i="16"/>
  <c r="AY153" i="3"/>
  <c r="AX152" i="3"/>
  <c r="AY152" i="3"/>
  <c r="N352" i="8"/>
  <c r="N353" i="8"/>
  <c r="AL152" i="3"/>
  <c r="AK152" i="3"/>
  <c r="AJ152" i="3"/>
  <c r="AN152" i="3"/>
  <c r="AF271" i="16"/>
  <c r="AY151" i="3"/>
  <c r="AX151" i="3"/>
  <c r="AJ151" i="3"/>
  <c r="AL151" i="3"/>
  <c r="AF269" i="16"/>
  <c r="AX150" i="3"/>
  <c r="AY150" i="3"/>
  <c r="N351" i="8"/>
  <c r="AJ150" i="3"/>
  <c r="AN150" i="3"/>
  <c r="AF267" i="16"/>
  <c r="AY149" i="3"/>
  <c r="AX149" i="3"/>
  <c r="AM149" i="3"/>
  <c r="AJ149" i="3"/>
  <c r="AL149" i="3"/>
  <c r="AF265" i="16"/>
  <c r="AX148" i="3"/>
  <c r="AY148" i="3"/>
  <c r="AJ148" i="3"/>
  <c r="AN148" i="3"/>
  <c r="AF263" i="16"/>
  <c r="R284" i="8"/>
  <c r="Q284" i="8"/>
  <c r="P284" i="8"/>
  <c r="O284" i="8"/>
  <c r="N284" i="8"/>
  <c r="M284" i="8"/>
  <c r="L284" i="8"/>
  <c r="K284" i="8"/>
  <c r="R290" i="8"/>
  <c r="Q290" i="8"/>
  <c r="P290" i="8"/>
  <c r="O290" i="8"/>
  <c r="N290" i="8"/>
  <c r="M290" i="8"/>
  <c r="L290" i="8"/>
  <c r="K290" i="8"/>
  <c r="N302" i="8"/>
  <c r="N285" i="8"/>
  <c r="M285" i="8"/>
  <c r="L285" i="8"/>
  <c r="K285" i="8"/>
  <c r="O293" i="8"/>
  <c r="N293" i="8"/>
  <c r="M293" i="8"/>
  <c r="L293" i="8"/>
  <c r="K293" i="8"/>
  <c r="AX141" i="3"/>
  <c r="AY141" i="3"/>
  <c r="N301" i="8"/>
  <c r="AJ141" i="3"/>
  <c r="AN141" i="3"/>
  <c r="AF253" i="16"/>
  <c r="AX140" i="3"/>
  <c r="AY140" i="3"/>
  <c r="N300" i="8"/>
  <c r="AL140" i="3"/>
  <c r="AJ140" i="3"/>
  <c r="AK140" i="3"/>
  <c r="AF251" i="16"/>
  <c r="AX139" i="3"/>
  <c r="AY139" i="3"/>
  <c r="N299" i="8"/>
  <c r="AJ139" i="3"/>
  <c r="AN139" i="3"/>
  <c r="AF249" i="16"/>
  <c r="AX138" i="3"/>
  <c r="AY138" i="3"/>
  <c r="AL138" i="3"/>
  <c r="AK138" i="3"/>
  <c r="AJ138" i="3"/>
  <c r="AN138" i="3"/>
  <c r="AF247" i="16"/>
  <c r="AX137" i="3"/>
  <c r="AJ137" i="3"/>
  <c r="AK137" i="3"/>
  <c r="AF245" i="16"/>
  <c r="AY137" i="3"/>
  <c r="AX136" i="3"/>
  <c r="AY136" i="3"/>
  <c r="AM136" i="3"/>
  <c r="AJ136" i="3"/>
  <c r="AL136" i="3"/>
  <c r="AF243" i="16"/>
  <c r="AX135" i="3"/>
  <c r="AY135" i="3"/>
  <c r="AJ135" i="3"/>
  <c r="AN135" i="3"/>
  <c r="AF241" i="16"/>
  <c r="AX134" i="3"/>
  <c r="AY134" i="3"/>
  <c r="N313" i="8"/>
  <c r="AM134" i="3"/>
  <c r="AJ134" i="3"/>
  <c r="AL134" i="3"/>
  <c r="AF239" i="16"/>
  <c r="AX133" i="3"/>
  <c r="AY133" i="3"/>
  <c r="N312" i="8"/>
  <c r="AL133" i="3"/>
  <c r="AK133" i="3"/>
  <c r="AJ133" i="3"/>
  <c r="AN133" i="3"/>
  <c r="AF237" i="16"/>
  <c r="AY132" i="3"/>
  <c r="AX132" i="3"/>
  <c r="N311" i="8"/>
  <c r="AM132" i="3"/>
  <c r="AJ132" i="3"/>
  <c r="AL132" i="3"/>
  <c r="AF235" i="16"/>
  <c r="AX131" i="3"/>
  <c r="AY131" i="3"/>
  <c r="N310" i="8"/>
  <c r="AK131" i="3"/>
  <c r="AJ131" i="3"/>
  <c r="AN131" i="3"/>
  <c r="AF233" i="16"/>
  <c r="AX130" i="3"/>
  <c r="AM130" i="3"/>
  <c r="AL130" i="3"/>
  <c r="AJ130" i="3"/>
  <c r="AK130" i="3"/>
  <c r="AY130" i="3"/>
  <c r="R244" i="8"/>
  <c r="Q244" i="8"/>
  <c r="P244" i="8"/>
  <c r="O244" i="8"/>
  <c r="N244" i="8"/>
  <c r="M244" i="8"/>
  <c r="L244" i="8"/>
  <c r="K244" i="8"/>
  <c r="R250" i="8"/>
  <c r="Q250" i="8"/>
  <c r="P250" i="8"/>
  <c r="O250" i="8"/>
  <c r="N250" i="8"/>
  <c r="M250" i="8"/>
  <c r="L250" i="8"/>
  <c r="K250" i="8"/>
  <c r="N261" i="8"/>
  <c r="N262" i="8"/>
  <c r="N245" i="8"/>
  <c r="M245" i="8"/>
  <c r="L245" i="8"/>
  <c r="K245" i="8"/>
  <c r="O253" i="8"/>
  <c r="N253" i="8"/>
  <c r="M253" i="8"/>
  <c r="L253" i="8"/>
  <c r="K253" i="8"/>
  <c r="AX123" i="3"/>
  <c r="AY123" i="3"/>
  <c r="AM123" i="3"/>
  <c r="AL123" i="3"/>
  <c r="AJ123" i="3"/>
  <c r="AK123" i="3"/>
  <c r="AF221" i="16"/>
  <c r="AX122" i="3"/>
  <c r="AY122" i="3"/>
  <c r="N260" i="8"/>
  <c r="AJ122" i="3"/>
  <c r="AN122" i="3"/>
  <c r="AF219" i="16"/>
  <c r="AX121" i="3"/>
  <c r="AY121" i="3"/>
  <c r="AM121" i="3"/>
  <c r="AL121" i="3"/>
  <c r="AJ121" i="3"/>
  <c r="AK121" i="3"/>
  <c r="AF217" i="16"/>
  <c r="AX120" i="3"/>
  <c r="AY120" i="3"/>
  <c r="AM120" i="3"/>
  <c r="AJ120" i="3"/>
  <c r="AL120" i="3"/>
  <c r="AF215" i="16"/>
  <c r="AX119" i="3"/>
  <c r="AY119" i="3"/>
  <c r="AJ119" i="3"/>
  <c r="AN119" i="3"/>
  <c r="AF213" i="16"/>
  <c r="AX118" i="3"/>
  <c r="AY118" i="3"/>
  <c r="AM118" i="3"/>
  <c r="AL118" i="3"/>
  <c r="AK118" i="3"/>
  <c r="AJ118" i="3"/>
  <c r="AN118" i="3"/>
  <c r="AF211" i="16"/>
  <c r="AX117" i="3"/>
  <c r="AL117" i="3"/>
  <c r="AJ117" i="3"/>
  <c r="AK117" i="3"/>
  <c r="AF209" i="16"/>
  <c r="AY117" i="3"/>
  <c r="AX116" i="3"/>
  <c r="AY116" i="3"/>
  <c r="N272" i="8"/>
  <c r="N273" i="8"/>
  <c r="AM116" i="3"/>
  <c r="AL116" i="3"/>
  <c r="AK116" i="3"/>
  <c r="AJ116" i="3"/>
  <c r="AN116" i="3"/>
  <c r="AF207" i="16"/>
  <c r="AY115" i="3"/>
  <c r="AX115" i="3"/>
  <c r="AM115" i="3"/>
  <c r="AJ115" i="3"/>
  <c r="AL115" i="3"/>
  <c r="AF205" i="16"/>
  <c r="AX114" i="3"/>
  <c r="AY114" i="3"/>
  <c r="N271" i="8"/>
  <c r="AK114" i="3"/>
  <c r="AJ114" i="3"/>
  <c r="AN114" i="3"/>
  <c r="AF203" i="16"/>
  <c r="AY113" i="3"/>
  <c r="AX113" i="3"/>
  <c r="AM113" i="3"/>
  <c r="AJ113" i="3"/>
  <c r="AL113" i="3"/>
  <c r="AF201" i="16"/>
  <c r="AX112" i="3"/>
  <c r="AY112" i="3"/>
  <c r="AJ112" i="3"/>
  <c r="AN112" i="3"/>
  <c r="AF199" i="16"/>
  <c r="R204" i="8"/>
  <c r="Q204" i="8"/>
  <c r="P204" i="8"/>
  <c r="O204" i="8"/>
  <c r="N204" i="8"/>
  <c r="M204" i="8"/>
  <c r="L204" i="8"/>
  <c r="K204" i="8"/>
  <c r="R210" i="8"/>
  <c r="Q210" i="8"/>
  <c r="P210" i="8"/>
  <c r="O210" i="8"/>
  <c r="N210" i="8"/>
  <c r="M210" i="8"/>
  <c r="L210" i="8"/>
  <c r="K210" i="8"/>
  <c r="N222" i="8"/>
  <c r="N205" i="8"/>
  <c r="M205" i="8"/>
  <c r="L205" i="8"/>
  <c r="K205" i="8"/>
  <c r="O213" i="8"/>
  <c r="N213" i="8"/>
  <c r="M213" i="8"/>
  <c r="L213" i="8"/>
  <c r="K213" i="8"/>
  <c r="AX105" i="3"/>
  <c r="AY105" i="3"/>
  <c r="N221" i="8"/>
  <c r="AJ105" i="3"/>
  <c r="AN105" i="3"/>
  <c r="AF189" i="16"/>
  <c r="AX104" i="3"/>
  <c r="N220" i="8"/>
  <c r="AM104" i="3"/>
  <c r="AJ104" i="3"/>
  <c r="AK104" i="3"/>
  <c r="AX103" i="3"/>
  <c r="AY103" i="3"/>
  <c r="N219" i="8"/>
  <c r="AJ103" i="3"/>
  <c r="AN103" i="3"/>
  <c r="AF185" i="16"/>
  <c r="AX102" i="3"/>
  <c r="AY102" i="3"/>
  <c r="AM102" i="3"/>
  <c r="AL102" i="3"/>
  <c r="AJ102" i="3"/>
  <c r="AN102" i="3"/>
  <c r="AF183" i="16"/>
  <c r="AX101" i="3"/>
  <c r="AM101" i="3"/>
  <c r="AL101" i="3"/>
  <c r="AJ101" i="3"/>
  <c r="AK101" i="3"/>
  <c r="AX100" i="3"/>
  <c r="AY100" i="3"/>
  <c r="AM100" i="3"/>
  <c r="AJ100" i="3"/>
  <c r="AL100" i="3"/>
  <c r="AF179" i="16"/>
  <c r="AX99" i="3"/>
  <c r="AY99" i="3"/>
  <c r="AJ99" i="3"/>
  <c r="AF177" i="16"/>
  <c r="AX98" i="3"/>
  <c r="AY98" i="3"/>
  <c r="N233" i="8"/>
  <c r="AM98" i="3"/>
  <c r="AJ98" i="3"/>
  <c r="AL98" i="3"/>
  <c r="AF175" i="16"/>
  <c r="AX97" i="3"/>
  <c r="AY97" i="3"/>
  <c r="N232" i="8"/>
  <c r="AJ97" i="3"/>
  <c r="AF173" i="16"/>
  <c r="AY96" i="3"/>
  <c r="AX96" i="3"/>
  <c r="N231" i="8"/>
  <c r="AJ96" i="3"/>
  <c r="AF171" i="16"/>
  <c r="AX95" i="3"/>
  <c r="AY95" i="3"/>
  <c r="N230" i="8"/>
  <c r="AM95" i="3"/>
  <c r="AL95" i="3"/>
  <c r="AJ95" i="3"/>
  <c r="AN95" i="3"/>
  <c r="AF169" i="16"/>
  <c r="AX94" i="3"/>
  <c r="AM94" i="3"/>
  <c r="AL94" i="3"/>
  <c r="AJ94" i="3"/>
  <c r="AK94" i="3"/>
  <c r="R164" i="8"/>
  <c r="Q164" i="8"/>
  <c r="P164" i="8"/>
  <c r="O164" i="8"/>
  <c r="N164" i="8"/>
  <c r="M164" i="8"/>
  <c r="L164" i="8"/>
  <c r="K164" i="8"/>
  <c r="R170" i="8"/>
  <c r="Q170" i="8"/>
  <c r="P170" i="8"/>
  <c r="O170" i="8"/>
  <c r="N170" i="8"/>
  <c r="M170" i="8"/>
  <c r="L170" i="8"/>
  <c r="K170" i="8"/>
  <c r="N181" i="8"/>
  <c r="N182" i="8"/>
  <c r="N165" i="8"/>
  <c r="M165" i="8"/>
  <c r="L165" i="8"/>
  <c r="K165" i="8"/>
  <c r="O173" i="8"/>
  <c r="N173" i="8"/>
  <c r="M173" i="8"/>
  <c r="L173" i="8"/>
  <c r="K173" i="8"/>
  <c r="AX87" i="3"/>
  <c r="AJ87" i="3"/>
  <c r="AX86" i="3"/>
  <c r="AY86" i="3"/>
  <c r="N180" i="8"/>
  <c r="AJ86" i="3"/>
  <c r="AF155" i="16"/>
  <c r="AX85" i="3"/>
  <c r="AJ85" i="3"/>
  <c r="AM85" i="3" s="1"/>
  <c r="AK85" i="3"/>
  <c r="AX84" i="3"/>
  <c r="AY84" i="3"/>
  <c r="AJ84" i="3"/>
  <c r="AL84" i="3"/>
  <c r="AF151" i="16"/>
  <c r="AX83" i="3"/>
  <c r="AY83" i="3"/>
  <c r="AJ83" i="3"/>
  <c r="AN83" i="3"/>
  <c r="AF149" i="16"/>
  <c r="AX82" i="3"/>
  <c r="AY82" i="3"/>
  <c r="AM82" i="3"/>
  <c r="AJ82" i="3"/>
  <c r="AL82" i="3" s="1"/>
  <c r="AN82" i="3"/>
  <c r="AF147" i="16"/>
  <c r="AX81" i="3"/>
  <c r="AJ81" i="3"/>
  <c r="AL81" i="3" s="1"/>
  <c r="AX80" i="3"/>
  <c r="AY80" i="3"/>
  <c r="N192" i="8"/>
  <c r="N193" i="8"/>
  <c r="AJ80" i="3"/>
  <c r="AK80" i="3" s="1"/>
  <c r="AN80" i="3"/>
  <c r="AF143" i="16"/>
  <c r="AY79" i="3"/>
  <c r="AX79" i="3"/>
  <c r="AJ79" i="3"/>
  <c r="AL79" i="3" s="1"/>
  <c r="AF141" i="16"/>
  <c r="AX78" i="3"/>
  <c r="AY78" i="3"/>
  <c r="N191" i="8"/>
  <c r="AJ78" i="3"/>
  <c r="AM78" i="3" s="1"/>
  <c r="AN78" i="3"/>
  <c r="AF139" i="16"/>
  <c r="AY77" i="3"/>
  <c r="AX77" i="3"/>
  <c r="AM77" i="3"/>
  <c r="AJ77" i="3"/>
  <c r="AL77" i="3"/>
  <c r="AF137" i="16"/>
  <c r="AX76" i="3"/>
  <c r="AY76" i="3"/>
  <c r="AJ76" i="3"/>
  <c r="AF135" i="16"/>
  <c r="R124" i="8"/>
  <c r="Q124" i="8"/>
  <c r="P124" i="8"/>
  <c r="O124" i="8"/>
  <c r="N124" i="8"/>
  <c r="M124" i="8"/>
  <c r="L124" i="8"/>
  <c r="K124" i="8"/>
  <c r="R130" i="8"/>
  <c r="Q130" i="8"/>
  <c r="P130" i="8"/>
  <c r="O130" i="8"/>
  <c r="N130" i="8"/>
  <c r="M130" i="8"/>
  <c r="L130" i="8"/>
  <c r="K130" i="8"/>
  <c r="K134" i="8"/>
  <c r="N142" i="8"/>
  <c r="N125" i="8"/>
  <c r="M125" i="8"/>
  <c r="L125" i="8"/>
  <c r="K125" i="8"/>
  <c r="O133" i="8"/>
  <c r="N133" i="8"/>
  <c r="M133" i="8"/>
  <c r="L133" i="8"/>
  <c r="K133" i="8"/>
  <c r="AX69" i="3"/>
  <c r="AY69" i="3"/>
  <c r="N141" i="8"/>
  <c r="AJ69" i="3"/>
  <c r="AN69" i="3"/>
  <c r="AF125" i="16"/>
  <c r="AX68" i="3"/>
  <c r="N140" i="8"/>
  <c r="AJ68" i="3"/>
  <c r="AL68" i="3"/>
  <c r="AX67" i="3"/>
  <c r="AY67" i="3"/>
  <c r="N139" i="8"/>
  <c r="AJ67" i="3"/>
  <c r="AM67" i="3" s="1"/>
  <c r="AX66" i="3"/>
  <c r="AY66" i="3"/>
  <c r="AJ66" i="3"/>
  <c r="AN66" i="3" s="1"/>
  <c r="AY65" i="3"/>
  <c r="AX65" i="3"/>
  <c r="AJ65" i="3"/>
  <c r="AN65" i="3" s="1"/>
  <c r="AX64" i="3"/>
  <c r="AY64" i="3"/>
  <c r="AJ64" i="3"/>
  <c r="AM64" i="3" s="1"/>
  <c r="AX63" i="3"/>
  <c r="AY63" i="3"/>
  <c r="AJ63" i="3"/>
  <c r="AN63" i="3" s="1"/>
  <c r="AX62" i="3"/>
  <c r="AY62" i="3"/>
  <c r="N153" i="8"/>
  <c r="AJ62" i="3"/>
  <c r="AM62" i="3" s="1"/>
  <c r="AL62" i="3"/>
  <c r="AX61" i="3"/>
  <c r="AY61" i="3"/>
  <c r="N152" i="8"/>
  <c r="AJ61" i="3"/>
  <c r="AY60" i="3"/>
  <c r="AX60" i="3"/>
  <c r="N151" i="8"/>
  <c r="AJ60" i="3"/>
  <c r="AL60" i="3"/>
  <c r="AX59" i="3"/>
  <c r="AY59" i="3"/>
  <c r="N150" i="8"/>
  <c r="AJ59" i="3"/>
  <c r="AK59" i="3" s="1"/>
  <c r="AM59" i="3"/>
  <c r="AY58" i="3"/>
  <c r="AX58" i="3"/>
  <c r="AJ58" i="3"/>
  <c r="AK58" i="3" s="1"/>
  <c r="R84" i="8"/>
  <c r="Q84" i="8"/>
  <c r="P84" i="8"/>
  <c r="O84" i="8"/>
  <c r="N84" i="8"/>
  <c r="M84" i="8"/>
  <c r="L84" i="8"/>
  <c r="K84" i="8"/>
  <c r="R90" i="8"/>
  <c r="Q90" i="8"/>
  <c r="P90" i="8"/>
  <c r="O90" i="8"/>
  <c r="N90" i="8"/>
  <c r="M90" i="8"/>
  <c r="L90" i="8"/>
  <c r="K90" i="8"/>
  <c r="N102" i="8"/>
  <c r="N85" i="8"/>
  <c r="M85" i="8"/>
  <c r="L85" i="8"/>
  <c r="K85" i="8"/>
  <c r="O93" i="8"/>
  <c r="N93" i="8"/>
  <c r="M93" i="8"/>
  <c r="L93" i="8"/>
  <c r="K93" i="8"/>
  <c r="AX51" i="3"/>
  <c r="AJ51" i="3"/>
  <c r="AL51" i="3" s="1"/>
  <c r="AK51" i="3"/>
  <c r="AX50" i="3"/>
  <c r="AY50" i="3"/>
  <c r="AJ50" i="3"/>
  <c r="AL50" i="3" s="1"/>
  <c r="AF91" i="16"/>
  <c r="AX49" i="3"/>
  <c r="AY49" i="3"/>
  <c r="AJ49" i="3"/>
  <c r="AK49" i="3" s="1"/>
  <c r="AX48" i="3"/>
  <c r="AY48" i="3"/>
  <c r="AJ48" i="3"/>
  <c r="AL48" i="3" s="1"/>
  <c r="AF87" i="16"/>
  <c r="AX47" i="3"/>
  <c r="AY47" i="3"/>
  <c r="AJ47" i="3"/>
  <c r="AN47" i="3"/>
  <c r="AF85" i="16"/>
  <c r="AX46" i="3"/>
  <c r="AY46" i="3"/>
  <c r="AJ46" i="3"/>
  <c r="AK46" i="3" s="1"/>
  <c r="AM46" i="3"/>
  <c r="AF83" i="16"/>
  <c r="AY45" i="3"/>
  <c r="AX45" i="3"/>
  <c r="AJ45" i="3"/>
  <c r="AK45" i="3" s="1"/>
  <c r="AL45" i="3"/>
  <c r="AX44" i="3"/>
  <c r="AY44" i="3"/>
  <c r="N112" i="8"/>
  <c r="N113" i="8"/>
  <c r="AJ44" i="3"/>
  <c r="AF79" i="16"/>
  <c r="AY43" i="3"/>
  <c r="AX43" i="3"/>
  <c r="AJ43" i="3"/>
  <c r="AL43" i="3"/>
  <c r="AF77" i="16"/>
  <c r="AX42" i="3"/>
  <c r="AY42" i="3"/>
  <c r="N111" i="8"/>
  <c r="AJ42" i="3"/>
  <c r="AK42" i="3" s="1"/>
  <c r="AN42" i="3"/>
  <c r="AF75" i="16"/>
  <c r="AY41" i="3"/>
  <c r="AX41" i="3"/>
  <c r="AJ41" i="3"/>
  <c r="AM41" i="3" s="1"/>
  <c r="AF73" i="16"/>
  <c r="AX40" i="3"/>
  <c r="AY40" i="3"/>
  <c r="AJ40" i="3"/>
  <c r="AF71" i="16"/>
  <c r="R44" i="8"/>
  <c r="Q44" i="8"/>
  <c r="P44" i="8"/>
  <c r="O44" i="8"/>
  <c r="N44" i="8"/>
  <c r="M44" i="8"/>
  <c r="L44" i="8"/>
  <c r="K44" i="8"/>
  <c r="R50" i="8"/>
  <c r="Q50" i="8"/>
  <c r="P50" i="8"/>
  <c r="O50" i="8"/>
  <c r="N50" i="8"/>
  <c r="M50" i="8"/>
  <c r="L50" i="8"/>
  <c r="K50" i="8"/>
  <c r="K54" i="8"/>
  <c r="N62" i="8"/>
  <c r="N45" i="8"/>
  <c r="M45" i="8"/>
  <c r="L45" i="8"/>
  <c r="K45" i="8"/>
  <c r="O53" i="8"/>
  <c r="N53" i="8"/>
  <c r="M53" i="8"/>
  <c r="L53" i="8"/>
  <c r="K53" i="8"/>
  <c r="AX33" i="3"/>
  <c r="AY33" i="3"/>
  <c r="N61" i="8"/>
  <c r="AJ33" i="3"/>
  <c r="AN33" i="3"/>
  <c r="AF61" i="16"/>
  <c r="AX32" i="3"/>
  <c r="N60" i="8"/>
  <c r="AJ32" i="3"/>
  <c r="AM32" i="3" s="1"/>
  <c r="AX31" i="3"/>
  <c r="AY31" i="3"/>
  <c r="N59" i="8"/>
  <c r="AJ31" i="3"/>
  <c r="AL31" i="3" s="1"/>
  <c r="AF57" i="16"/>
  <c r="AX30" i="3"/>
  <c r="AY30" i="3"/>
  <c r="AJ30" i="3"/>
  <c r="AF55" i="16"/>
  <c r="AY29" i="3"/>
  <c r="AX29" i="3"/>
  <c r="AJ29" i="3"/>
  <c r="AX28" i="3"/>
  <c r="AY28" i="3"/>
  <c r="AJ28" i="3"/>
  <c r="AL28" i="3" s="1"/>
  <c r="AF51" i="16"/>
  <c r="AX27" i="3"/>
  <c r="AY27" i="3"/>
  <c r="AJ27" i="3"/>
  <c r="AN27" i="3"/>
  <c r="AF49" i="16"/>
  <c r="AX26" i="3"/>
  <c r="AY26" i="3"/>
  <c r="AJ26" i="3"/>
  <c r="AL26" i="3" s="1"/>
  <c r="AF47" i="16"/>
  <c r="AX25" i="3"/>
  <c r="AY25" i="3"/>
  <c r="N72" i="8"/>
  <c r="AJ25" i="3"/>
  <c r="AN25" i="3" s="1"/>
  <c r="AF45" i="16"/>
  <c r="AY24" i="3"/>
  <c r="AX24" i="3"/>
  <c r="N71" i="8"/>
  <c r="AJ24" i="3"/>
  <c r="AF43" i="16"/>
  <c r="AX23" i="3"/>
  <c r="AY23" i="3"/>
  <c r="AJ23" i="3"/>
  <c r="AN23" i="3"/>
  <c r="AF41" i="16"/>
  <c r="AY22" i="3"/>
  <c r="AX22" i="3"/>
  <c r="AJ22" i="3"/>
  <c r="AL22" i="3" s="1"/>
  <c r="AK22" i="3"/>
  <c r="AR18" i="3"/>
  <c r="AF18" i="3"/>
  <c r="AE18" i="3"/>
  <c r="AD18" i="3"/>
  <c r="AC18" i="3"/>
  <c r="Y18" i="3"/>
  <c r="X18" i="3"/>
  <c r="J30" i="1"/>
  <c r="N30" i="1" s="1"/>
  <c r="W18" i="3"/>
  <c r="J31" i="1"/>
  <c r="K31" i="1" s="1"/>
  <c r="Q31" i="1" s="1"/>
  <c r="V18" i="3"/>
  <c r="J32" i="1"/>
  <c r="N32" i="1" s="1"/>
  <c r="S18" i="3"/>
  <c r="D24" i="1"/>
  <c r="R18" i="3"/>
  <c r="Q18" i="3"/>
  <c r="D31" i="1" s="1"/>
  <c r="P18" i="3"/>
  <c r="D32" i="1" s="1"/>
  <c r="N18" i="3"/>
  <c r="I18" i="3"/>
  <c r="A18" i="3"/>
  <c r="AF17" i="3"/>
  <c r="AE17" i="3"/>
  <c r="AD17" i="3"/>
  <c r="AC17" i="3"/>
  <c r="Y17" i="3"/>
  <c r="J25" i="1"/>
  <c r="K25" i="1" s="1"/>
  <c r="X17" i="3"/>
  <c r="J26" i="1"/>
  <c r="K26" i="1" s="1"/>
  <c r="W17" i="3"/>
  <c r="J27" i="1"/>
  <c r="K27" i="1" s="1"/>
  <c r="V17" i="3"/>
  <c r="J28" i="1"/>
  <c r="S17" i="3"/>
  <c r="D25" i="1"/>
  <c r="R17" i="3"/>
  <c r="D26" i="1"/>
  <c r="E26" i="1" s="1"/>
  <c r="Q17" i="3"/>
  <c r="D27" i="1" s="1"/>
  <c r="P17" i="3"/>
  <c r="N17" i="3"/>
  <c r="O17" i="3"/>
  <c r="I17" i="3"/>
  <c r="N21" i="8"/>
  <c r="N22" i="8"/>
  <c r="M16" i="3"/>
  <c r="N5" i="8"/>
  <c r="B12" i="8"/>
  <c r="D12" i="8"/>
  <c r="L16" i="3"/>
  <c r="M5" i="8"/>
  <c r="K16" i="3"/>
  <c r="L5" i="8"/>
  <c r="J16" i="3"/>
  <c r="K5" i="8"/>
  <c r="G16" i="3"/>
  <c r="O13" i="8"/>
  <c r="B40" i="8" s="1"/>
  <c r="F16" i="3"/>
  <c r="N13" i="8"/>
  <c r="B39" i="8"/>
  <c r="E16" i="3"/>
  <c r="M13" i="8" s="1"/>
  <c r="B38" i="8" s="1"/>
  <c r="D16" i="3"/>
  <c r="L13" i="8"/>
  <c r="B37" i="8" s="1"/>
  <c r="C16" i="3"/>
  <c r="K13" i="8"/>
  <c r="B36" i="8"/>
  <c r="AX15" i="3"/>
  <c r="AJ15" i="3"/>
  <c r="AM15" i="3" s="1"/>
  <c r="AG15" i="3"/>
  <c r="Z15" i="3"/>
  <c r="T15" i="3"/>
  <c r="U15" i="3" s="1"/>
  <c r="T15" i="4" s="1"/>
  <c r="N15" i="3"/>
  <c r="I15" i="3"/>
  <c r="AX14" i="3"/>
  <c r="N20" i="8"/>
  <c r="AJ14" i="3"/>
  <c r="AL14" i="3" s="1"/>
  <c r="AG14" i="3"/>
  <c r="Z14" i="3"/>
  <c r="T14" i="3"/>
  <c r="O14" i="3"/>
  <c r="N14" i="3"/>
  <c r="I14" i="3"/>
  <c r="AX13" i="3"/>
  <c r="AJ13" i="3"/>
  <c r="AK13" i="3" s="1"/>
  <c r="AG13" i="3"/>
  <c r="Z13" i="3"/>
  <c r="AA13" i="3" s="1"/>
  <c r="T13" i="3"/>
  <c r="U13" i="3" s="1"/>
  <c r="T13" i="4" s="1"/>
  <c r="N13" i="3"/>
  <c r="I13" i="3"/>
  <c r="AX12" i="3"/>
  <c r="AJ12" i="3"/>
  <c r="AG12" i="3"/>
  <c r="Z12" i="3"/>
  <c r="T12" i="3"/>
  <c r="N12" i="3"/>
  <c r="I12" i="3"/>
  <c r="U12" i="3" s="1"/>
  <c r="T12" i="4" s="1"/>
  <c r="AX11" i="3"/>
  <c r="AJ11" i="3"/>
  <c r="AN11" i="3" s="1"/>
  <c r="AG11" i="3"/>
  <c r="Z11" i="3"/>
  <c r="T11" i="3"/>
  <c r="O11" i="3"/>
  <c r="N11" i="3"/>
  <c r="I11" i="3"/>
  <c r="AA11" i="3"/>
  <c r="AF21" i="16" s="1"/>
  <c r="AX10" i="3"/>
  <c r="AJ10" i="3"/>
  <c r="AN10" i="3" s="1"/>
  <c r="AG10" i="3"/>
  <c r="Z10" i="3"/>
  <c r="T10" i="3"/>
  <c r="N10" i="3"/>
  <c r="I10" i="3"/>
  <c r="AX9" i="3"/>
  <c r="AJ9" i="3"/>
  <c r="AG9" i="3"/>
  <c r="Z9" i="3"/>
  <c r="T9" i="3"/>
  <c r="N9" i="3"/>
  <c r="I9" i="3"/>
  <c r="U9" i="3" s="1"/>
  <c r="AX8" i="3"/>
  <c r="AJ8" i="3"/>
  <c r="AN8" i="3" s="1"/>
  <c r="AG8" i="3"/>
  <c r="Z8" i="3"/>
  <c r="T8" i="3"/>
  <c r="N8" i="3"/>
  <c r="I8" i="3"/>
  <c r="AX7" i="3"/>
  <c r="AJ7" i="3"/>
  <c r="AG7" i="3"/>
  <c r="Z7" i="3"/>
  <c r="T7" i="3"/>
  <c r="U7" i="3" s="1"/>
  <c r="N7" i="3"/>
  <c r="I7" i="3"/>
  <c r="AY7" i="3" s="1"/>
  <c r="AX6" i="3"/>
  <c r="AJ6" i="3"/>
  <c r="AG6" i="3"/>
  <c r="Z6" i="3"/>
  <c r="T6" i="3"/>
  <c r="N6" i="3"/>
  <c r="I6" i="3"/>
  <c r="U6" i="3" s="1"/>
  <c r="T6" i="4" s="1"/>
  <c r="AX5" i="3"/>
  <c r="AJ5" i="3"/>
  <c r="AL5" i="3" s="1"/>
  <c r="AG5" i="3"/>
  <c r="Z5" i="3"/>
  <c r="T5" i="3"/>
  <c r="N5" i="3"/>
  <c r="I5" i="3"/>
  <c r="AA5" i="3" s="1"/>
  <c r="AF9" i="16" s="1"/>
  <c r="AX4" i="3"/>
  <c r="AJ4" i="3"/>
  <c r="AN4" i="3"/>
  <c r="AG4" i="3"/>
  <c r="Z4" i="3"/>
  <c r="T4" i="3"/>
  <c r="O4" i="3"/>
  <c r="N4" i="3"/>
  <c r="I4" i="3"/>
  <c r="AY4" i="3" s="1"/>
  <c r="I33" i="1"/>
  <c r="T18" i="3"/>
  <c r="W32" i="1"/>
  <c r="M32" i="1"/>
  <c r="L32" i="1"/>
  <c r="H32" i="1"/>
  <c r="F32" i="1"/>
  <c r="G32" i="1"/>
  <c r="W31" i="1"/>
  <c r="M31" i="1"/>
  <c r="L31" i="1"/>
  <c r="H31" i="1"/>
  <c r="G31" i="1"/>
  <c r="F31" i="1"/>
  <c r="W30" i="1"/>
  <c r="M30" i="1"/>
  <c r="L30" i="1"/>
  <c r="H30" i="1"/>
  <c r="F30" i="1"/>
  <c r="G30" i="1"/>
  <c r="D30" i="1"/>
  <c r="E30" i="1"/>
  <c r="W29" i="1"/>
  <c r="N29" i="1"/>
  <c r="K29" i="1"/>
  <c r="Q29" i="1"/>
  <c r="H29" i="1"/>
  <c r="G29" i="1"/>
  <c r="E29" i="1"/>
  <c r="B29" i="1"/>
  <c r="C29" i="1"/>
  <c r="W28" i="1"/>
  <c r="H28" i="1"/>
  <c r="F28" i="1"/>
  <c r="G28" i="1"/>
  <c r="D28" i="1"/>
  <c r="E28" i="1" s="1"/>
  <c r="W27" i="1"/>
  <c r="H27" i="1"/>
  <c r="F27" i="1"/>
  <c r="G27" i="1"/>
  <c r="E27" i="1"/>
  <c r="W26" i="1"/>
  <c r="H26" i="1"/>
  <c r="F26" i="1"/>
  <c r="G26" i="1"/>
  <c r="W25" i="1"/>
  <c r="H25" i="1"/>
  <c r="F25" i="1"/>
  <c r="G25" i="1"/>
  <c r="W24" i="1"/>
  <c r="J24" i="1"/>
  <c r="N24" i="1"/>
  <c r="H24" i="1"/>
  <c r="G24" i="1"/>
  <c r="W23" i="1"/>
  <c r="K23" i="1"/>
  <c r="Q23" i="1"/>
  <c r="H23" i="1"/>
  <c r="N23" i="1"/>
  <c r="G23" i="1"/>
  <c r="E23" i="1"/>
  <c r="B23" i="1"/>
  <c r="C23" i="1"/>
  <c r="W22" i="1"/>
  <c r="N22" i="1"/>
  <c r="J22" i="1"/>
  <c r="K22" i="1"/>
  <c r="H22" i="1"/>
  <c r="G22" i="1"/>
  <c r="E22" i="1"/>
  <c r="A19" i="1"/>
  <c r="M15" i="1"/>
  <c r="K15" i="1"/>
  <c r="I15" i="1"/>
  <c r="G15" i="1"/>
  <c r="E15" i="1"/>
  <c r="C15" i="1"/>
  <c r="W14" i="1"/>
  <c r="S14" i="1"/>
  <c r="R14" i="1"/>
  <c r="W13" i="1"/>
  <c r="S13" i="1"/>
  <c r="V13" i="1"/>
  <c r="W12" i="1"/>
  <c r="S12" i="1"/>
  <c r="R12" i="1"/>
  <c r="W11" i="1"/>
  <c r="V11" i="1"/>
  <c r="S11" i="1"/>
  <c r="W10" i="1"/>
  <c r="S10" i="1"/>
  <c r="R10" i="1"/>
  <c r="W9" i="1"/>
  <c r="V9" i="1"/>
  <c r="S9" i="1"/>
  <c r="W8" i="1"/>
  <c r="S8" i="1"/>
  <c r="R8" i="1"/>
  <c r="W7" i="1"/>
  <c r="V7" i="1"/>
  <c r="S7" i="1"/>
  <c r="W6" i="1"/>
  <c r="S6" i="1"/>
  <c r="R6" i="1"/>
  <c r="W5" i="1"/>
  <c r="V5" i="1"/>
  <c r="O5" i="1"/>
  <c r="W4" i="1"/>
  <c r="V4" i="1"/>
  <c r="O4" i="1"/>
  <c r="O15" i="1"/>
  <c r="AN44" i="3"/>
  <c r="AL44" i="3"/>
  <c r="AK44" i="3"/>
  <c r="B102" i="16"/>
  <c r="B103" i="16"/>
  <c r="AK66" i="3"/>
  <c r="D103" i="16"/>
  <c r="Q103" i="16"/>
  <c r="D107" i="16"/>
  <c r="Q107" i="16" s="1"/>
  <c r="D111" i="16"/>
  <c r="Q111" i="16"/>
  <c r="D115" i="16"/>
  <c r="Q115" i="16" s="1"/>
  <c r="D119" i="16"/>
  <c r="Q119" i="16"/>
  <c r="D123" i="16"/>
  <c r="Q123" i="16" s="1"/>
  <c r="B84" i="16"/>
  <c r="B85" i="16"/>
  <c r="AM42" i="3"/>
  <c r="AM51" i="3"/>
  <c r="D71" i="16"/>
  <c r="Q71" i="16" s="1"/>
  <c r="B80" i="16"/>
  <c r="B81" i="16"/>
  <c r="AK32" i="3"/>
  <c r="AN30" i="3"/>
  <c r="AM30" i="3"/>
  <c r="AK30" i="3"/>
  <c r="AK29" i="3"/>
  <c r="AM29" i="3"/>
  <c r="AL29" i="3"/>
  <c r="AL25" i="3"/>
  <c r="AL24" i="3"/>
  <c r="AM24" i="3"/>
  <c r="AK15" i="3"/>
  <c r="AL30" i="3"/>
  <c r="B56" i="16"/>
  <c r="B57" i="16"/>
  <c r="AH14" i="3"/>
  <c r="AY14" i="3"/>
  <c r="AH13" i="3"/>
  <c r="AY13" i="3"/>
  <c r="AL12" i="3"/>
  <c r="AM12" i="3"/>
  <c r="U11" i="3"/>
  <c r="T11" i="4" s="1"/>
  <c r="AH11" i="3"/>
  <c r="AY11" i="3"/>
  <c r="U10" i="3"/>
  <c r="T10" i="4" s="1"/>
  <c r="AA10" i="3"/>
  <c r="AF19" i="16" s="1"/>
  <c r="AH10" i="3"/>
  <c r="AK10" i="3"/>
  <c r="AY10" i="3"/>
  <c r="AH9" i="3"/>
  <c r="AK9" i="3"/>
  <c r="AM9" i="3"/>
  <c r="AL9" i="3"/>
  <c r="U8" i="3"/>
  <c r="T8" i="4" s="1"/>
  <c r="AA8" i="3"/>
  <c r="AF15" i="16" s="1"/>
  <c r="AH8" i="3"/>
  <c r="AM8" i="3"/>
  <c r="AL8" i="3"/>
  <c r="AK8" i="3"/>
  <c r="AY8" i="3"/>
  <c r="AH7" i="3"/>
  <c r="AL7" i="3"/>
  <c r="AM7" i="3"/>
  <c r="AH6" i="3"/>
  <c r="AN6" i="3"/>
  <c r="AM6" i="3"/>
  <c r="AL6" i="3"/>
  <c r="AK6" i="3"/>
  <c r="AY6" i="3"/>
  <c r="U5" i="3"/>
  <c r="T5" i="4" s="1"/>
  <c r="AH5" i="3"/>
  <c r="O1193" i="8"/>
  <c r="O942" i="8"/>
  <c r="O953" i="8"/>
  <c r="O862" i="8"/>
  <c r="O873" i="8"/>
  <c r="O782" i="8"/>
  <c r="O462" i="8"/>
  <c r="O353" i="8"/>
  <c r="O302" i="8"/>
  <c r="O153" i="8"/>
  <c r="O62" i="8"/>
  <c r="K30" i="1"/>
  <c r="Q30" i="1" s="1"/>
  <c r="K28" i="1"/>
  <c r="K32" i="1"/>
  <c r="Q32" i="1" s="1"/>
  <c r="B30" i="1"/>
  <c r="C30" i="1" s="1"/>
  <c r="AM22" i="3"/>
  <c r="AL23" i="3"/>
  <c r="AM44" i="3"/>
  <c r="AN46" i="3"/>
  <c r="AL46" i="3"/>
  <c r="AK87" i="3"/>
  <c r="AM87" i="3"/>
  <c r="AL87" i="3"/>
  <c r="AN97" i="3"/>
  <c r="AM97" i="3"/>
  <c r="AL97" i="3"/>
  <c r="AK97" i="3"/>
  <c r="AM23" i="3"/>
  <c r="AL42" i="3"/>
  <c r="AN59" i="3"/>
  <c r="AL59" i="3"/>
  <c r="AL96" i="3"/>
  <c r="AM96" i="3"/>
  <c r="AN61" i="3"/>
  <c r="AM61" i="3"/>
  <c r="AL61" i="3"/>
  <c r="AM79" i="3"/>
  <c r="AK23" i="3"/>
  <c r="AM43" i="3"/>
  <c r="AM49" i="3"/>
  <c r="AM58" i="3"/>
  <c r="AL58" i="3"/>
  <c r="AM60" i="3"/>
  <c r="AK61" i="3"/>
  <c r="AK68" i="3"/>
  <c r="AM68" i="3"/>
  <c r="AM66" i="3"/>
  <c r="AL80" i="3"/>
  <c r="AL114" i="3"/>
  <c r="AM117" i="3"/>
  <c r="AL131" i="3"/>
  <c r="AM133" i="3"/>
  <c r="AL137" i="3"/>
  <c r="AM138" i="3"/>
  <c r="AM140" i="3"/>
  <c r="AK150" i="3"/>
  <c r="AM151" i="3"/>
  <c r="AM152" i="3"/>
  <c r="AL153" i="3"/>
  <c r="AM154" i="3"/>
  <c r="AM157" i="3"/>
  <c r="AM159" i="3"/>
  <c r="AK167" i="3"/>
  <c r="AM168" i="3"/>
  <c r="AL169" i="3"/>
  <c r="AL174" i="3"/>
  <c r="AL176" i="3"/>
  <c r="AL188" i="3"/>
  <c r="AL190" i="3"/>
  <c r="AL193" i="3"/>
  <c r="AL195" i="3"/>
  <c r="AM202" i="3"/>
  <c r="AK205" i="3"/>
  <c r="AM206" i="3"/>
  <c r="AM208" i="3"/>
  <c r="AK210" i="3"/>
  <c r="AL224" i="3"/>
  <c r="AL226" i="3"/>
  <c r="AL229" i="3"/>
  <c r="AL231" i="3"/>
  <c r="AM238" i="3"/>
  <c r="AK241" i="3"/>
  <c r="AM242" i="3"/>
  <c r="AM244" i="3"/>
  <c r="AK246" i="3"/>
  <c r="AL258" i="3"/>
  <c r="AM261" i="3"/>
  <c r="AL275" i="3"/>
  <c r="AM277" i="3"/>
  <c r="AL281" i="3"/>
  <c r="AM282" i="3"/>
  <c r="AM284" i="3"/>
  <c r="AK294" i="3"/>
  <c r="AM295" i="3"/>
  <c r="AM296" i="3"/>
  <c r="AL297" i="3"/>
  <c r="AM298" i="3"/>
  <c r="AM301" i="3"/>
  <c r="AM303" i="3"/>
  <c r="AK311" i="3"/>
  <c r="AM312" i="3"/>
  <c r="AL313" i="3"/>
  <c r="AL318" i="3"/>
  <c r="AL320" i="3"/>
  <c r="AL332" i="3"/>
  <c r="AL334" i="3"/>
  <c r="AL337" i="3"/>
  <c r="AL339" i="3"/>
  <c r="AK349" i="3"/>
  <c r="AM350" i="3"/>
  <c r="AM352" i="3"/>
  <c r="AK354" i="3"/>
  <c r="AM364" i="3"/>
  <c r="AL365" i="3"/>
  <c r="AK367" i="3"/>
  <c r="AM368" i="3"/>
  <c r="AK369" i="3"/>
  <c r="AK370" i="3"/>
  <c r="AK374" i="3"/>
  <c r="AK382" i="3"/>
  <c r="AK408" i="3"/>
  <c r="AM419" i="3"/>
  <c r="AM420" i="3"/>
  <c r="AK424" i="3"/>
  <c r="AL427" i="3"/>
  <c r="AM429" i="3"/>
  <c r="AM439" i="3"/>
  <c r="AL443" i="3"/>
  <c r="AM444" i="3"/>
  <c r="AK78" i="3"/>
  <c r="AM80" i="3"/>
  <c r="AM84" i="3"/>
  <c r="AL85" i="3"/>
  <c r="AK95" i="3"/>
  <c r="AK102" i="3"/>
  <c r="AL104" i="3"/>
  <c r="AM114" i="3"/>
  <c r="AM131" i="3"/>
  <c r="AM137" i="3"/>
  <c r="AL150" i="3"/>
  <c r="AM153" i="3"/>
  <c r="AL167" i="3"/>
  <c r="AM169" i="3"/>
  <c r="AL173" i="3"/>
  <c r="AM174" i="3"/>
  <c r="AM176" i="3"/>
  <c r="AK186" i="3"/>
  <c r="AM187" i="3"/>
  <c r="AM188" i="3"/>
  <c r="AL189" i="3"/>
  <c r="AM190" i="3"/>
  <c r="AM193" i="3"/>
  <c r="AM195" i="3"/>
  <c r="AK203" i="3"/>
  <c r="AM204" i="3"/>
  <c r="AL205" i="3"/>
  <c r="AL210" i="3"/>
  <c r="AL212" i="3"/>
  <c r="AK222" i="3"/>
  <c r="AM223" i="3"/>
  <c r="AM224" i="3"/>
  <c r="AL225" i="3"/>
  <c r="AM226" i="3"/>
  <c r="AM229" i="3"/>
  <c r="AM231" i="3"/>
  <c r="AL241" i="3"/>
  <c r="AL246" i="3"/>
  <c r="AM258" i="3"/>
  <c r="AM275" i="3"/>
  <c r="AM281" i="3"/>
  <c r="AL294" i="3"/>
  <c r="AM297" i="3"/>
  <c r="AL311" i="3"/>
  <c r="AM313" i="3"/>
  <c r="AL317" i="3"/>
  <c r="AM318" i="3"/>
  <c r="AM320" i="3"/>
  <c r="AM332" i="3"/>
  <c r="AM334" i="3"/>
  <c r="AM337" i="3"/>
  <c r="AM339" i="3"/>
  <c r="AL349" i="3"/>
  <c r="AL354" i="3"/>
  <c r="AL367" i="3"/>
  <c r="AL370" i="3"/>
  <c r="AL408" i="3"/>
  <c r="AL424" i="3"/>
  <c r="AM427" i="3"/>
  <c r="AM443" i="3"/>
  <c r="AM150" i="3"/>
  <c r="AM167" i="3"/>
  <c r="AM205" i="3"/>
  <c r="AM210" i="3"/>
  <c r="AM241" i="3"/>
  <c r="AM246" i="3"/>
  <c r="AM294" i="3"/>
  <c r="AM311" i="3"/>
  <c r="AL347" i="3"/>
  <c r="AM349" i="3"/>
  <c r="AL353" i="3"/>
  <c r="AM354" i="3"/>
  <c r="AM356" i="3"/>
  <c r="AM367" i="3"/>
  <c r="AM370" i="3"/>
  <c r="AL371" i="3"/>
  <c r="AL384" i="3"/>
  <c r="AL386" i="3"/>
  <c r="AM387" i="3"/>
  <c r="AL393" i="3"/>
  <c r="AM400" i="3"/>
  <c r="AM407" i="3"/>
  <c r="AM408" i="3"/>
  <c r="AM410" i="3"/>
  <c r="AK420" i="3"/>
  <c r="AL422" i="3"/>
  <c r="AL423" i="3"/>
  <c r="AM424" i="3"/>
  <c r="AL437" i="3"/>
  <c r="AK439" i="3"/>
  <c r="AK444" i="3"/>
  <c r="B76" i="16"/>
  <c r="B77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533" i="17"/>
  <c r="D253" i="16"/>
  <c r="Q253" i="16"/>
  <c r="B38" i="16"/>
  <c r="B39" i="16"/>
  <c r="B40" i="16"/>
  <c r="B41" i="16" s="1"/>
  <c r="B42" i="16"/>
  <c r="B43" i="16"/>
  <c r="B44" i="16"/>
  <c r="B45" i="16" s="1"/>
  <c r="B46" i="16"/>
  <c r="B47" i="16"/>
  <c r="B48" i="16"/>
  <c r="B49" i="16" s="1"/>
  <c r="B50" i="16"/>
  <c r="B51" i="16"/>
  <c r="B52" i="16"/>
  <c r="B53" i="16" s="1"/>
  <c r="D59" i="16"/>
  <c r="Q59" i="16"/>
  <c r="B60" i="16"/>
  <c r="B61" i="16" s="1"/>
  <c r="D135" i="16"/>
  <c r="Q135" i="16"/>
  <c r="D143" i="16"/>
  <c r="Q143" i="16" s="1"/>
  <c r="D151" i="16"/>
  <c r="Q151" i="16"/>
  <c r="D169" i="16"/>
  <c r="Q169" i="16"/>
  <c r="D171" i="16"/>
  <c r="Q171" i="16"/>
  <c r="D173" i="16"/>
  <c r="Q173" i="16"/>
  <c r="D175" i="16"/>
  <c r="Q175" i="16"/>
  <c r="D177" i="16"/>
  <c r="Q177" i="16"/>
  <c r="D179" i="16"/>
  <c r="Q179" i="16"/>
  <c r="D181" i="16"/>
  <c r="Q181" i="16"/>
  <c r="D183" i="16"/>
  <c r="Q183" i="16"/>
  <c r="D185" i="16"/>
  <c r="Q185" i="16"/>
  <c r="D187" i="16"/>
  <c r="Q187" i="16"/>
  <c r="D189" i="16"/>
  <c r="Q189" i="16"/>
  <c r="D241" i="16"/>
  <c r="Q241" i="16"/>
  <c r="D249" i="16"/>
  <c r="Q249" i="16"/>
  <c r="B532" i="17"/>
  <c r="D251" i="16"/>
  <c r="Q251" i="16"/>
  <c r="D41" i="16"/>
  <c r="Q41" i="16" s="1"/>
  <c r="D43" i="16"/>
  <c r="Q43" i="16"/>
  <c r="D45" i="16"/>
  <c r="Q45" i="16" s="1"/>
  <c r="D47" i="16"/>
  <c r="Q47" i="16"/>
  <c r="D49" i="16"/>
  <c r="Q49" i="16" s="1"/>
  <c r="D51" i="16"/>
  <c r="Q51" i="16"/>
  <c r="B54" i="16"/>
  <c r="B55" i="16" s="1"/>
  <c r="B72" i="16"/>
  <c r="B73" i="16"/>
  <c r="B74" i="16"/>
  <c r="B75" i="16" s="1"/>
  <c r="B86" i="16"/>
  <c r="B87" i="16"/>
  <c r="B88" i="16"/>
  <c r="B89" i="16" s="1"/>
  <c r="B90" i="16"/>
  <c r="B91" i="16"/>
  <c r="B92" i="16"/>
  <c r="B93" i="16" s="1"/>
  <c r="D141" i="16"/>
  <c r="Q141" i="16"/>
  <c r="D149" i="16"/>
  <c r="Q149" i="16" s="1"/>
  <c r="D157" i="16"/>
  <c r="Q157" i="16"/>
  <c r="D233" i="16"/>
  <c r="Q233" i="16"/>
  <c r="D235" i="16"/>
  <c r="Q235" i="16"/>
  <c r="D237" i="16"/>
  <c r="Q237" i="16"/>
  <c r="D239" i="16"/>
  <c r="Q239" i="16"/>
  <c r="D247" i="16"/>
  <c r="Q247" i="16"/>
  <c r="B296" i="16"/>
  <c r="B297" i="16"/>
  <c r="B298" i="16"/>
  <c r="B299" i="16"/>
  <c r="B300" i="16"/>
  <c r="B301" i="16"/>
  <c r="B472" i="16"/>
  <c r="B473" i="16"/>
  <c r="B474" i="16"/>
  <c r="B475" i="16"/>
  <c r="B476" i="16"/>
  <c r="B47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501" i="16"/>
  <c r="B502" i="16"/>
  <c r="B503" i="16"/>
  <c r="B504" i="16"/>
  <c r="B505" i="16"/>
  <c r="B506" i="16"/>
  <c r="B507" i="16"/>
  <c r="B508" i="16"/>
  <c r="B509" i="16"/>
  <c r="B518" i="16"/>
  <c r="B519" i="16"/>
  <c r="C1143" i="17"/>
  <c r="B536" i="16"/>
  <c r="B537" i="16"/>
  <c r="C1176" i="17"/>
  <c r="B554" i="16"/>
  <c r="B555" i="16"/>
  <c r="D347" i="16"/>
  <c r="Q347" i="16"/>
  <c r="C1107" i="17"/>
  <c r="B520" i="16"/>
  <c r="B521" i="16"/>
  <c r="D525" i="16"/>
  <c r="Q525" i="16"/>
  <c r="C1175" i="17"/>
  <c r="B552" i="16"/>
  <c r="B553" i="16"/>
  <c r="B1310" i="17"/>
  <c r="D615" i="16"/>
  <c r="Q615" i="16"/>
  <c r="D349" i="16"/>
  <c r="Q349" i="16"/>
  <c r="D401" i="16"/>
  <c r="Q401" i="16"/>
  <c r="D403" i="16"/>
  <c r="Q403" i="16"/>
  <c r="B456" i="16"/>
  <c r="B457" i="16"/>
  <c r="B458" i="16"/>
  <c r="B459" i="16"/>
  <c r="B460" i="16"/>
  <c r="B461" i="16"/>
  <c r="D465" i="16"/>
  <c r="Q465" i="16"/>
  <c r="D467" i="16"/>
  <c r="Q467" i="16"/>
  <c r="D469" i="16"/>
  <c r="Q469" i="16"/>
  <c r="D471" i="16"/>
  <c r="Q471" i="16"/>
  <c r="B1110" i="17"/>
  <c r="D527" i="16"/>
  <c r="Q527" i="16"/>
  <c r="C1140" i="17"/>
  <c r="B530" i="16"/>
  <c r="B531" i="16"/>
  <c r="B1244" i="17"/>
  <c r="D587" i="16"/>
  <c r="Q587" i="16"/>
  <c r="B1277" i="17"/>
  <c r="D597" i="16"/>
  <c r="Q597" i="16"/>
  <c r="B1311" i="17"/>
  <c r="D617" i="16"/>
  <c r="Q617" i="16"/>
  <c r="D263" i="16"/>
  <c r="Q263" i="16"/>
  <c r="B360" i="16"/>
  <c r="B361" i="16"/>
  <c r="B364" i="16"/>
  <c r="B365" i="16"/>
  <c r="B366" i="16"/>
  <c r="B367" i="16"/>
  <c r="B368" i="16"/>
  <c r="B369" i="16"/>
  <c r="B372" i="16"/>
  <c r="B373" i="16"/>
  <c r="B374" i="16"/>
  <c r="B375" i="16"/>
  <c r="B376" i="16"/>
  <c r="B377" i="16"/>
  <c r="B380" i="16"/>
  <c r="B381" i="16"/>
  <c r="B390" i="16"/>
  <c r="B391" i="16"/>
  <c r="D399" i="16"/>
  <c r="Q399" i="16"/>
  <c r="D407" i="16"/>
  <c r="Q407" i="16"/>
  <c r="D411" i="16"/>
  <c r="Q411" i="16"/>
  <c r="B426" i="16"/>
  <c r="B427" i="16"/>
  <c r="D457" i="16"/>
  <c r="Q457" i="16"/>
  <c r="D459" i="16"/>
  <c r="Q459" i="16"/>
  <c r="D461" i="16"/>
  <c r="Q461" i="16"/>
  <c r="D463" i="16"/>
  <c r="Q463" i="16"/>
  <c r="C1111" i="17"/>
  <c r="B528" i="16"/>
  <c r="B529" i="16"/>
  <c r="B1142" i="17"/>
  <c r="D535" i="16"/>
  <c r="Q535" i="16"/>
  <c r="C1144" i="17"/>
  <c r="B538" i="16"/>
  <c r="B539" i="16"/>
  <c r="B1280" i="17"/>
  <c r="D603" i="16"/>
  <c r="Q603" i="16"/>
  <c r="D629" i="16"/>
  <c r="Q629" i="16"/>
  <c r="D631" i="16"/>
  <c r="Q631" i="16"/>
  <c r="AE661" i="16"/>
  <c r="E1413" i="17"/>
  <c r="AE665" i="16"/>
  <c r="E1415" i="17"/>
  <c r="AE669" i="16"/>
  <c r="E1417" i="17"/>
  <c r="D711" i="16"/>
  <c r="Q711" i="16"/>
  <c r="D747" i="16"/>
  <c r="Q747" i="16"/>
  <c r="D807" i="16"/>
  <c r="Q807" i="16"/>
  <c r="D827" i="16"/>
  <c r="Q827" i="16"/>
  <c r="B842" i="16"/>
  <c r="B843" i="16"/>
  <c r="B846" i="16"/>
  <c r="B847" i="16"/>
  <c r="D853" i="16"/>
  <c r="Q853" i="16"/>
  <c r="D855" i="16"/>
  <c r="Q855" i="16"/>
  <c r="D857" i="16"/>
  <c r="Q857" i="16"/>
  <c r="D915" i="16"/>
  <c r="Q915" i="16"/>
  <c r="B936" i="16"/>
  <c r="B937" i="16"/>
  <c r="B956" i="16"/>
  <c r="B957" i="16"/>
  <c r="B582" i="16"/>
  <c r="B583" i="16"/>
  <c r="D591" i="16"/>
  <c r="Q591" i="16"/>
  <c r="D627" i="16"/>
  <c r="Q627" i="16"/>
  <c r="B658" i="16"/>
  <c r="B659" i="16"/>
  <c r="B662" i="16"/>
  <c r="B663" i="16"/>
  <c r="B666" i="16"/>
  <c r="B667" i="16"/>
  <c r="B678" i="16"/>
  <c r="B679" i="16"/>
  <c r="B742" i="16"/>
  <c r="B743" i="16"/>
  <c r="D751" i="16"/>
  <c r="Q751" i="16"/>
  <c r="D757" i="16"/>
  <c r="Q757" i="16"/>
  <c r="D765" i="16"/>
  <c r="Q765" i="16"/>
  <c r="B782" i="16"/>
  <c r="B783" i="16"/>
  <c r="B790" i="16"/>
  <c r="B791" i="16"/>
  <c r="D813" i="16"/>
  <c r="Q813" i="16"/>
  <c r="D819" i="16"/>
  <c r="Q819" i="16"/>
  <c r="D825" i="16"/>
  <c r="Q825" i="16"/>
  <c r="D851" i="16"/>
  <c r="Q851" i="16"/>
  <c r="B860" i="16"/>
  <c r="B861" i="16"/>
  <c r="B880" i="16"/>
  <c r="B881" i="16"/>
  <c r="AE937" i="16"/>
  <c r="E1991" i="17"/>
  <c r="AE939" i="16"/>
  <c r="E1992" i="17"/>
  <c r="AE941" i="16"/>
  <c r="E1993" i="17"/>
  <c r="D633" i="16"/>
  <c r="Q633" i="16"/>
  <c r="B858" i="16"/>
  <c r="B859" i="16"/>
  <c r="P882" i="6"/>
  <c r="K946" i="6"/>
  <c r="AE957" i="16"/>
  <c r="E2029" i="17"/>
  <c r="O946" i="6"/>
  <c r="AN536" i="3"/>
  <c r="AM536" i="3"/>
  <c r="N1181" i="8"/>
  <c r="AN535" i="3"/>
  <c r="AM535" i="3"/>
  <c r="AL535" i="3"/>
  <c r="AN534" i="3"/>
  <c r="AK534" i="3"/>
  <c r="AN533" i="3"/>
  <c r="AM533" i="3"/>
  <c r="AL533" i="3"/>
  <c r="AN532" i="3"/>
  <c r="AK532" i="3"/>
  <c r="AN531" i="3"/>
  <c r="AM531" i="3"/>
  <c r="AL531" i="3"/>
  <c r="AN530" i="3"/>
  <c r="AM530" i="3"/>
  <c r="AL530" i="3"/>
  <c r="AN529" i="3"/>
  <c r="AK529" i="3"/>
  <c r="AN528" i="3"/>
  <c r="AL528" i="3"/>
  <c r="AK528" i="3"/>
  <c r="AE935" i="16"/>
  <c r="E1990" i="17"/>
  <c r="AE947" i="16"/>
  <c r="E2024" i="17"/>
  <c r="E955" i="16"/>
  <c r="E937" i="16"/>
  <c r="E939" i="16"/>
  <c r="E943" i="16"/>
  <c r="B944" i="16"/>
  <c r="B945" i="16"/>
  <c r="AK527" i="3"/>
  <c r="AM528" i="3"/>
  <c r="AL529" i="3"/>
  <c r="E945" i="16"/>
  <c r="B950" i="16"/>
  <c r="B951" i="16"/>
  <c r="AN539" i="3"/>
  <c r="AL527" i="3"/>
  <c r="AM529" i="3"/>
  <c r="E941" i="16"/>
  <c r="B946" i="16"/>
  <c r="B947" i="16"/>
  <c r="AE953" i="16"/>
  <c r="E2027" i="17"/>
  <c r="E957" i="16"/>
  <c r="AM527" i="3"/>
  <c r="B942" i="16"/>
  <c r="B943" i="16"/>
  <c r="B948" i="16"/>
  <c r="B949" i="16"/>
  <c r="AE949" i="16"/>
  <c r="E2025" i="17"/>
  <c r="O914" i="6"/>
  <c r="K914" i="6"/>
  <c r="AM518" i="3"/>
  <c r="AN518" i="3"/>
  <c r="N1140" i="8"/>
  <c r="N1141" i="8"/>
  <c r="N1142" i="8"/>
  <c r="AN516" i="3"/>
  <c r="AM516" i="3"/>
  <c r="AL516" i="3"/>
  <c r="AN512" i="3"/>
  <c r="AK512" i="3"/>
  <c r="E915" i="16"/>
  <c r="AK515" i="3"/>
  <c r="D917" i="16"/>
  <c r="Q917" i="16"/>
  <c r="D919" i="16"/>
  <c r="Q919" i="16"/>
  <c r="AE919" i="16"/>
  <c r="E1958" i="17"/>
  <c r="D925" i="16"/>
  <c r="Q925" i="16"/>
  <c r="AL515" i="3"/>
  <c r="AM515" i="3"/>
  <c r="E928" i="16"/>
  <c r="D921" i="16"/>
  <c r="Q921" i="16"/>
  <c r="AE923" i="16"/>
  <c r="E1960" i="17"/>
  <c r="O882" i="6"/>
  <c r="AN500" i="3"/>
  <c r="AM500" i="3"/>
  <c r="AF891" i="16"/>
  <c r="N1110" i="8"/>
  <c r="N1111" i="8"/>
  <c r="N1112" i="8"/>
  <c r="N1113" i="8"/>
  <c r="O1113" i="8"/>
  <c r="AF889" i="16"/>
  <c r="AN498" i="3"/>
  <c r="AM498" i="3"/>
  <c r="AL498" i="3"/>
  <c r="AK498" i="3"/>
  <c r="AF887" i="16"/>
  <c r="AN497" i="3"/>
  <c r="AK497" i="3"/>
  <c r="AF885" i="16"/>
  <c r="AN496" i="3"/>
  <c r="AM496" i="3"/>
  <c r="AF883" i="16"/>
  <c r="AN495" i="3"/>
  <c r="AM495" i="3"/>
  <c r="AF881" i="16"/>
  <c r="AF879" i="16"/>
  <c r="AF877" i="16"/>
  <c r="AM492" i="3"/>
  <c r="AN492" i="3"/>
  <c r="AF875" i="16"/>
  <c r="AF873" i="16"/>
  <c r="L902" i="6"/>
  <c r="AF871" i="16"/>
  <c r="B882" i="16"/>
  <c r="B883" i="16"/>
  <c r="AM494" i="3"/>
  <c r="AL490" i="3"/>
  <c r="AL499" i="3"/>
  <c r="AM501" i="3"/>
  <c r="B870" i="16"/>
  <c r="B871" i="16"/>
  <c r="B878" i="16"/>
  <c r="B879" i="16"/>
  <c r="B886" i="16"/>
  <c r="B887" i="16"/>
  <c r="AL501" i="3"/>
  <c r="AM490" i="3"/>
  <c r="AL495" i="3"/>
  <c r="AM499" i="3"/>
  <c r="AL500" i="3"/>
  <c r="B876" i="16"/>
  <c r="B877" i="16"/>
  <c r="B884" i="16"/>
  <c r="B885" i="16"/>
  <c r="B892" i="16"/>
  <c r="B893" i="16"/>
  <c r="L871" i="6"/>
  <c r="AM482" i="3"/>
  <c r="AL482" i="3"/>
  <c r="AY481" i="3"/>
  <c r="O1053" i="8"/>
  <c r="O1054" i="8"/>
  <c r="K1053" i="8"/>
  <c r="K1054" i="8"/>
  <c r="AN480" i="3"/>
  <c r="AM480" i="3"/>
  <c r="AL480" i="3"/>
  <c r="AK480" i="3"/>
  <c r="AY480" i="3"/>
  <c r="AY479" i="3"/>
  <c r="AN479" i="3"/>
  <c r="AM479" i="3"/>
  <c r="AL479" i="3"/>
  <c r="AF851" i="16"/>
  <c r="AN478" i="3"/>
  <c r="AM478" i="3"/>
  <c r="AY478" i="3"/>
  <c r="AN477" i="3"/>
  <c r="AK477" i="3"/>
  <c r="AY477" i="3"/>
  <c r="AF847" i="16"/>
  <c r="AY476" i="3"/>
  <c r="AN475" i="3"/>
  <c r="AM475" i="3"/>
  <c r="AL475" i="3"/>
  <c r="AK475" i="3"/>
  <c r="AY474" i="3"/>
  <c r="AF843" i="16"/>
  <c r="AN473" i="3"/>
  <c r="AM473" i="3"/>
  <c r="AL473" i="3"/>
  <c r="AK473" i="3"/>
  <c r="AN472" i="3"/>
  <c r="AM472" i="3"/>
  <c r="AL472" i="3"/>
  <c r="H904" i="16"/>
  <c r="H252" i="16"/>
  <c r="N1022" i="8"/>
  <c r="AN465" i="3"/>
  <c r="AM465" i="3"/>
  <c r="AL465" i="3"/>
  <c r="AY465" i="3"/>
  <c r="H790" i="16"/>
  <c r="AY464" i="3"/>
  <c r="AN463" i="3"/>
  <c r="AM463" i="3"/>
  <c r="AL463" i="3"/>
  <c r="AY463" i="3"/>
  <c r="AF823" i="16"/>
  <c r="AY462" i="3"/>
  <c r="AY461" i="3"/>
  <c r="AN460" i="3"/>
  <c r="AM460" i="3"/>
  <c r="AL460" i="3"/>
  <c r="AK460" i="3"/>
  <c r="AY460" i="3"/>
  <c r="AY459" i="3"/>
  <c r="AN459" i="3"/>
  <c r="AM459" i="3"/>
  <c r="AL459" i="3"/>
  <c r="AN458" i="3"/>
  <c r="AM458" i="3"/>
  <c r="AL458" i="3"/>
  <c r="AK458" i="3"/>
  <c r="AY458" i="3"/>
  <c r="AY457" i="3"/>
  <c r="AF813" i="16"/>
  <c r="AN456" i="3"/>
  <c r="AN467" i="3"/>
  <c r="AM456" i="3"/>
  <c r="AL456" i="3"/>
  <c r="AK456" i="3"/>
  <c r="AY455" i="3"/>
  <c r="AF809" i="16"/>
  <c r="AY454" i="3"/>
  <c r="F984" i="16"/>
  <c r="H778" i="16"/>
  <c r="H710" i="16"/>
  <c r="F716" i="16"/>
  <c r="J660" i="16"/>
  <c r="G984" i="16"/>
  <c r="J934" i="16"/>
  <c r="J824" i="16"/>
  <c r="F968" i="16"/>
  <c r="F912" i="16"/>
  <c r="H328" i="16"/>
  <c r="S905" i="16"/>
  <c r="I688" i="16"/>
  <c r="H572" i="16"/>
  <c r="H336" i="16"/>
  <c r="J658" i="16"/>
  <c r="I334" i="16"/>
  <c r="S585" i="16"/>
  <c r="I742" i="16"/>
  <c r="F360" i="16"/>
  <c r="F888" i="16"/>
  <c r="F698" i="16"/>
  <c r="I878" i="16"/>
  <c r="H888" i="16"/>
  <c r="S587" i="16"/>
  <c r="H372" i="16"/>
  <c r="S751" i="16"/>
  <c r="H1587" i="17"/>
  <c r="K1587" i="17" s="1"/>
  <c r="G2024" i="17"/>
  <c r="J1107" i="17"/>
  <c r="J554" i="16"/>
  <c r="G1247" i="17"/>
  <c r="G600" i="16"/>
  <c r="F688" i="16"/>
  <c r="G1790" i="17"/>
  <c r="S907" i="16"/>
  <c r="S745" i="16"/>
  <c r="H1584" i="17"/>
  <c r="K1584" i="17" s="1"/>
  <c r="F1687" i="17"/>
  <c r="J942" i="16"/>
  <c r="F626" i="16"/>
  <c r="J828" i="16"/>
  <c r="J848" i="16"/>
  <c r="H936" i="16"/>
  <c r="P242" i="6"/>
  <c r="P466" i="6"/>
  <c r="P594" i="6"/>
  <c r="P722" i="6"/>
  <c r="P850" i="6"/>
  <c r="O402" i="6"/>
  <c r="M498" i="6"/>
  <c r="O530" i="6"/>
  <c r="O658" i="6"/>
  <c r="O786" i="6"/>
  <c r="P146" i="6"/>
  <c r="P306" i="6"/>
  <c r="P402" i="6"/>
  <c r="P530" i="6"/>
  <c r="P658" i="6"/>
  <c r="P786" i="6"/>
  <c r="O178" i="6"/>
  <c r="O242" i="6"/>
  <c r="P338" i="6"/>
  <c r="M434" i="6"/>
  <c r="O466" i="6"/>
  <c r="O594" i="6"/>
  <c r="M690" i="6"/>
  <c r="O722" i="6"/>
  <c r="O850" i="6"/>
  <c r="O146" i="6"/>
  <c r="P274" i="6"/>
  <c r="O306" i="6"/>
  <c r="P370" i="6"/>
  <c r="P434" i="6"/>
  <c r="P498" i="6"/>
  <c r="P562" i="6"/>
  <c r="P626" i="6"/>
  <c r="P690" i="6"/>
  <c r="P754" i="6"/>
  <c r="P818" i="6"/>
  <c r="O210" i="6"/>
  <c r="M242" i="6"/>
  <c r="O274" i="6"/>
  <c r="O338" i="6"/>
  <c r="O370" i="6"/>
  <c r="O434" i="6"/>
  <c r="O498" i="6"/>
  <c r="O562" i="6"/>
  <c r="O626" i="6"/>
  <c r="O690" i="6"/>
  <c r="O754" i="6"/>
  <c r="O818" i="6"/>
  <c r="M178" i="6"/>
  <c r="P178" i="6"/>
  <c r="P210" i="6"/>
  <c r="L7" i="6"/>
  <c r="P23" i="1"/>
  <c r="V23" i="1"/>
  <c r="O24" i="1"/>
  <c r="L13" i="6"/>
  <c r="P29" i="1"/>
  <c r="V29" i="1"/>
  <c r="Q22" i="1"/>
  <c r="S15" i="1"/>
  <c r="G33" i="1"/>
  <c r="O23" i="1"/>
  <c r="S23" i="1"/>
  <c r="R23" i="1"/>
  <c r="V6" i="1"/>
  <c r="R7" i="1"/>
  <c r="V8" i="1"/>
  <c r="R9" i="1"/>
  <c r="V10" i="1"/>
  <c r="R11" i="1"/>
  <c r="V12" i="1"/>
  <c r="R13" i="1"/>
  <c r="V14" i="1"/>
  <c r="B22" i="1"/>
  <c r="C22" i="1"/>
  <c r="O22" i="1"/>
  <c r="K24" i="1"/>
  <c r="Q24" i="1"/>
  <c r="B26" i="1"/>
  <c r="C26" i="1" s="1"/>
  <c r="O29" i="1"/>
  <c r="S29" i="1"/>
  <c r="O7" i="3"/>
  <c r="AM14" i="3"/>
  <c r="AA15" i="3"/>
  <c r="AF29" i="16" s="1"/>
  <c r="AM50" i="3"/>
  <c r="AY81" i="3"/>
  <c r="AY85" i="3"/>
  <c r="AM86" i="3"/>
  <c r="AL86" i="3"/>
  <c r="AK86" i="3"/>
  <c r="AF157" i="16"/>
  <c r="AY94" i="3"/>
  <c r="AY101" i="3"/>
  <c r="AF359" i="16"/>
  <c r="AF615" i="16"/>
  <c r="AN395" i="3"/>
  <c r="AD763" i="16"/>
  <c r="AD785" i="16"/>
  <c r="R29" i="1"/>
  <c r="E31" i="1"/>
  <c r="AN14" i="3"/>
  <c r="AH15" i="3"/>
  <c r="AY15" i="3"/>
  <c r="AY32" i="3"/>
  <c r="AM33" i="3"/>
  <c r="AL33" i="3"/>
  <c r="AK33" i="3"/>
  <c r="O54" i="8"/>
  <c r="AY51" i="3"/>
  <c r="AY68" i="3"/>
  <c r="AM69" i="3"/>
  <c r="AL69" i="3"/>
  <c r="AK69" i="3"/>
  <c r="O134" i="8"/>
  <c r="AN86" i="3"/>
  <c r="AY87" i="3"/>
  <c r="M174" i="8"/>
  <c r="AY104" i="3"/>
  <c r="AF295" i="16"/>
  <c r="AF551" i="16"/>
  <c r="AM4" i="3"/>
  <c r="AL4" i="3"/>
  <c r="AK4" i="3"/>
  <c r="O5" i="3"/>
  <c r="AM27" i="3"/>
  <c r="AL27" i="3"/>
  <c r="AK27" i="3"/>
  <c r="AF53" i="16"/>
  <c r="AM40" i="3"/>
  <c r="AL40" i="3"/>
  <c r="AK40" i="3"/>
  <c r="AF81" i="16"/>
  <c r="AM63" i="3"/>
  <c r="AM76" i="3"/>
  <c r="AL76" i="3"/>
  <c r="AK76" i="3"/>
  <c r="AF145" i="16"/>
  <c r="AM99" i="3"/>
  <c r="AL99" i="3"/>
  <c r="AK99" i="3"/>
  <c r="AF181" i="16"/>
  <c r="AF231" i="16"/>
  <c r="AF487" i="16"/>
  <c r="AM11" i="3"/>
  <c r="AL11" i="3"/>
  <c r="AK11" i="3"/>
  <c r="O12" i="3"/>
  <c r="O18" i="3"/>
  <c r="AK31" i="3"/>
  <c r="AF59" i="16"/>
  <c r="AN40" i="3"/>
  <c r="AM47" i="3"/>
  <c r="AL47" i="3"/>
  <c r="AK47" i="3"/>
  <c r="AF89" i="16"/>
  <c r="AL67" i="3"/>
  <c r="AF123" i="16"/>
  <c r="AN76" i="3"/>
  <c r="AM83" i="3"/>
  <c r="AL83" i="3"/>
  <c r="AK83" i="3"/>
  <c r="AF153" i="16"/>
  <c r="AN99" i="3"/>
  <c r="AM103" i="3"/>
  <c r="AL103" i="3"/>
  <c r="AK103" i="3"/>
  <c r="AF187" i="16"/>
  <c r="AF423" i="16"/>
  <c r="AD657" i="16"/>
  <c r="AD721" i="16"/>
  <c r="AN7" i="3"/>
  <c r="AN12" i="3"/>
  <c r="F17" i="3"/>
  <c r="N14" i="8" s="1"/>
  <c r="C39" i="8" s="1"/>
  <c r="AN24" i="3"/>
  <c r="AN26" i="3"/>
  <c r="AN28" i="3"/>
  <c r="L54" i="8"/>
  <c r="AN43" i="3"/>
  <c r="AN60" i="3"/>
  <c r="AN62" i="3"/>
  <c r="AN64" i="3"/>
  <c r="L134" i="8"/>
  <c r="AN77" i="3"/>
  <c r="AN84" i="3"/>
  <c r="N174" i="8"/>
  <c r="AN96" i="3"/>
  <c r="AN98" i="3"/>
  <c r="AN100" i="3"/>
  <c r="AK105" i="3"/>
  <c r="L214" i="8"/>
  <c r="AK112" i="3"/>
  <c r="AN113" i="3"/>
  <c r="AN125" i="3"/>
  <c r="AN115" i="3"/>
  <c r="AK119" i="3"/>
  <c r="AN120" i="3"/>
  <c r="AK122" i="3"/>
  <c r="N254" i="8"/>
  <c r="AN132" i="3"/>
  <c r="AN134" i="3"/>
  <c r="AK135" i="3"/>
  <c r="AN136" i="3"/>
  <c r="AK139" i="3"/>
  <c r="AK141" i="3"/>
  <c r="L294" i="8"/>
  <c r="AK148" i="3"/>
  <c r="AN149" i="3"/>
  <c r="AN151" i="3"/>
  <c r="AK155" i="3"/>
  <c r="AN156" i="3"/>
  <c r="AK158" i="3"/>
  <c r="N334" i="8"/>
  <c r="AN168" i="3"/>
  <c r="AN170" i="3"/>
  <c r="AK171" i="3"/>
  <c r="AN172" i="3"/>
  <c r="AK175" i="3"/>
  <c r="AK177" i="3"/>
  <c r="L374" i="8"/>
  <c r="AK184" i="3"/>
  <c r="AN185" i="3"/>
  <c r="AN187" i="3"/>
  <c r="AK191" i="3"/>
  <c r="AN192" i="3"/>
  <c r="AK194" i="3"/>
  <c r="N414" i="8"/>
  <c r="AN204" i="3"/>
  <c r="AN206" i="3"/>
  <c r="AK207" i="3"/>
  <c r="AN208" i="3"/>
  <c r="AK211" i="3"/>
  <c r="AK213" i="3"/>
  <c r="L454" i="8"/>
  <c r="AK220" i="3"/>
  <c r="AN221" i="3"/>
  <c r="AN223" i="3"/>
  <c r="AK227" i="3"/>
  <c r="AN228" i="3"/>
  <c r="AK230" i="3"/>
  <c r="N494" i="8"/>
  <c r="AN240" i="3"/>
  <c r="AN242" i="3"/>
  <c r="AK243" i="3"/>
  <c r="AN244" i="3"/>
  <c r="AK247" i="3"/>
  <c r="AK249" i="3"/>
  <c r="L534" i="8"/>
  <c r="AK256" i="3"/>
  <c r="AN257" i="3"/>
  <c r="AN259" i="3"/>
  <c r="AK263" i="3"/>
  <c r="AN264" i="3"/>
  <c r="AK266" i="3"/>
  <c r="N574" i="8"/>
  <c r="AN276" i="3"/>
  <c r="AN278" i="3"/>
  <c r="AK279" i="3"/>
  <c r="AN280" i="3"/>
  <c r="AK283" i="3"/>
  <c r="AK285" i="3"/>
  <c r="L614" i="8"/>
  <c r="AK292" i="3"/>
  <c r="AN293" i="3"/>
  <c r="AN305" i="3"/>
  <c r="AN295" i="3"/>
  <c r="AK299" i="3"/>
  <c r="AN300" i="3"/>
  <c r="AK302" i="3"/>
  <c r="N654" i="8"/>
  <c r="AN312" i="3"/>
  <c r="AN314" i="3"/>
  <c r="AK315" i="3"/>
  <c r="AN316" i="3"/>
  <c r="AK319" i="3"/>
  <c r="AK321" i="3"/>
  <c r="L694" i="8"/>
  <c r="AK328" i="3"/>
  <c r="AN329" i="3"/>
  <c r="AN341" i="3"/>
  <c r="AN331" i="3"/>
  <c r="AK335" i="3"/>
  <c r="AN336" i="3"/>
  <c r="AK338" i="3"/>
  <c r="N734" i="8"/>
  <c r="AN348" i="3"/>
  <c r="AN350" i="3"/>
  <c r="AK351" i="3"/>
  <c r="AN352" i="3"/>
  <c r="AK355" i="3"/>
  <c r="AK357" i="3"/>
  <c r="L774" i="8"/>
  <c r="AF649" i="16"/>
  <c r="AM366" i="3"/>
  <c r="AK372" i="3"/>
  <c r="AL372" i="3"/>
  <c r="AL373" i="3"/>
  <c r="AM373" i="3"/>
  <c r="L814" i="8"/>
  <c r="AM385" i="3"/>
  <c r="AF687" i="16"/>
  <c r="AK389" i="3"/>
  <c r="AM390" i="3"/>
  <c r="AK392" i="3"/>
  <c r="AF701" i="16"/>
  <c r="N854" i="8"/>
  <c r="AF717" i="16"/>
  <c r="AY403" i="3"/>
  <c r="AL405" i="3"/>
  <c r="AM405" i="3"/>
  <c r="AK406" i="3"/>
  <c r="AL406" i="3"/>
  <c r="AF725" i="16"/>
  <c r="AF727" i="16"/>
  <c r="AK411" i="3"/>
  <c r="K894" i="8"/>
  <c r="AK421" i="3"/>
  <c r="AL421" i="3"/>
  <c r="AL425" i="3"/>
  <c r="AM425" i="3"/>
  <c r="AK426" i="3"/>
  <c r="AL426" i="3"/>
  <c r="AF761" i="16"/>
  <c r="AL428" i="3"/>
  <c r="AM428" i="3"/>
  <c r="M934" i="8"/>
  <c r="AM438" i="3"/>
  <c r="AL447" i="3"/>
  <c r="AM447" i="3"/>
  <c r="AK454" i="3"/>
  <c r="AM455" i="3"/>
  <c r="AF811" i="16"/>
  <c r="AY456" i="3"/>
  <c r="AF817" i="16"/>
  <c r="AF819" i="16"/>
  <c r="N1019" i="8"/>
  <c r="AK474" i="3"/>
  <c r="AL474" i="3"/>
  <c r="AM476" i="3"/>
  <c r="AK481" i="3"/>
  <c r="AF859" i="16"/>
  <c r="AK491" i="3"/>
  <c r="AL491" i="3"/>
  <c r="AK493" i="3"/>
  <c r="AL493" i="3"/>
  <c r="AM508" i="3"/>
  <c r="AK509" i="3"/>
  <c r="AL510" i="3"/>
  <c r="AM510" i="3"/>
  <c r="AK517" i="3"/>
  <c r="AL517" i="3"/>
  <c r="AK519" i="3"/>
  <c r="AL519" i="3"/>
  <c r="AK526" i="3"/>
  <c r="AK545" i="3"/>
  <c r="AL545" i="3"/>
  <c r="AL557" i="3"/>
  <c r="AK547" i="3"/>
  <c r="AL547" i="3"/>
  <c r="AK549" i="3"/>
  <c r="AK551" i="3"/>
  <c r="AK553" i="3"/>
  <c r="AA272" i="6"/>
  <c r="AA304" i="6"/>
  <c r="O373" i="8"/>
  <c r="O422" i="8"/>
  <c r="O713" i="8"/>
  <c r="O1142" i="8"/>
  <c r="AK5" i="3"/>
  <c r="AK7" i="3"/>
  <c r="O9" i="3"/>
  <c r="AN9" i="3"/>
  <c r="AK12" i="3"/>
  <c r="O13" i="3"/>
  <c r="O15" i="3"/>
  <c r="AN15" i="3"/>
  <c r="C17" i="3"/>
  <c r="K14" i="8"/>
  <c r="C36" i="8" s="1"/>
  <c r="G17" i="3"/>
  <c r="O14" i="8"/>
  <c r="C40" i="8"/>
  <c r="AN22" i="3"/>
  <c r="AK24" i="3"/>
  <c r="AK26" i="3"/>
  <c r="AN29" i="3"/>
  <c r="AN32" i="3"/>
  <c r="M54" i="8"/>
  <c r="AK43" i="3"/>
  <c r="AN45" i="3"/>
  <c r="AN51" i="3"/>
  <c r="K94" i="8"/>
  <c r="AN58" i="3"/>
  <c r="AK60" i="3"/>
  <c r="AK62" i="3"/>
  <c r="AN68" i="3"/>
  <c r="M134" i="8"/>
  <c r="AK77" i="3"/>
  <c r="AN81" i="3"/>
  <c r="AK84" i="3"/>
  <c r="AN85" i="3"/>
  <c r="AN87" i="3"/>
  <c r="K174" i="8"/>
  <c r="O174" i="8"/>
  <c r="AN94" i="3"/>
  <c r="AK96" i="3"/>
  <c r="AK107" i="3"/>
  <c r="AK98" i="3"/>
  <c r="AK100" i="3"/>
  <c r="AN101" i="3"/>
  <c r="AN104" i="3"/>
  <c r="AL105" i="3"/>
  <c r="M214" i="8"/>
  <c r="AL112" i="3"/>
  <c r="AK113" i="3"/>
  <c r="AK115" i="3"/>
  <c r="AN117" i="3"/>
  <c r="AL119" i="3"/>
  <c r="AK120" i="3"/>
  <c r="AN121" i="3"/>
  <c r="AL122" i="3"/>
  <c r="AN123" i="3"/>
  <c r="K254" i="8"/>
  <c r="O254" i="8"/>
  <c r="AN130" i="3"/>
  <c r="AK132" i="3"/>
  <c r="AK134" i="3"/>
  <c r="AL135" i="3"/>
  <c r="AK136" i="3"/>
  <c r="AN137" i="3"/>
  <c r="AL139" i="3"/>
  <c r="AN140" i="3"/>
  <c r="AL141" i="3"/>
  <c r="M294" i="8"/>
  <c r="AL148" i="3"/>
  <c r="AK149" i="3"/>
  <c r="AK151" i="3"/>
  <c r="AN153" i="3"/>
  <c r="AL155" i="3"/>
  <c r="AK156" i="3"/>
  <c r="AN157" i="3"/>
  <c r="AL158" i="3"/>
  <c r="AN159" i="3"/>
  <c r="K334" i="8"/>
  <c r="O334" i="8"/>
  <c r="AN166" i="3"/>
  <c r="AK168" i="3"/>
  <c r="AK179" i="3"/>
  <c r="AK170" i="3"/>
  <c r="AL171" i="3"/>
  <c r="AK172" i="3"/>
  <c r="AN173" i="3"/>
  <c r="AL175" i="3"/>
  <c r="AN176" i="3"/>
  <c r="AL177" i="3"/>
  <c r="M374" i="8"/>
  <c r="AL184" i="3"/>
  <c r="AK185" i="3"/>
  <c r="AK187" i="3"/>
  <c r="AN189" i="3"/>
  <c r="AL191" i="3"/>
  <c r="AK192" i="3"/>
  <c r="AN193" i="3"/>
  <c r="AL194" i="3"/>
  <c r="AN195" i="3"/>
  <c r="K414" i="8"/>
  <c r="O414" i="8"/>
  <c r="AN202" i="3"/>
  <c r="AK204" i="3"/>
  <c r="AK215" i="3"/>
  <c r="AK206" i="3"/>
  <c r="AL207" i="3"/>
  <c r="AK208" i="3"/>
  <c r="AN209" i="3"/>
  <c r="AL211" i="3"/>
  <c r="AN212" i="3"/>
  <c r="AL213" i="3"/>
  <c r="M454" i="8"/>
  <c r="AL220" i="3"/>
  <c r="AK221" i="3"/>
  <c r="AK223" i="3"/>
  <c r="AN225" i="3"/>
  <c r="AL227" i="3"/>
  <c r="AK228" i="3"/>
  <c r="AN229" i="3"/>
  <c r="AL230" i="3"/>
  <c r="AN231" i="3"/>
  <c r="K494" i="8"/>
  <c r="O494" i="8"/>
  <c r="AN238" i="3"/>
  <c r="AK240" i="3"/>
  <c r="AK242" i="3"/>
  <c r="AL243" i="3"/>
  <c r="AK244" i="3"/>
  <c r="AN245" i="3"/>
  <c r="AL247" i="3"/>
  <c r="AN248" i="3"/>
  <c r="AL249" i="3"/>
  <c r="M534" i="8"/>
  <c r="AL256" i="3"/>
  <c r="AK257" i="3"/>
  <c r="AK259" i="3"/>
  <c r="AN261" i="3"/>
  <c r="AL263" i="3"/>
  <c r="AK264" i="3"/>
  <c r="AN265" i="3"/>
  <c r="AL266" i="3"/>
  <c r="AN267" i="3"/>
  <c r="K574" i="8"/>
  <c r="O574" i="8"/>
  <c r="AN274" i="3"/>
  <c r="AK276" i="3"/>
  <c r="AK278" i="3"/>
  <c r="AL279" i="3"/>
  <c r="AK280" i="3"/>
  <c r="AN281" i="3"/>
  <c r="AL283" i="3"/>
  <c r="AN284" i="3"/>
  <c r="AL285" i="3"/>
  <c r="M614" i="8"/>
  <c r="AL292" i="3"/>
  <c r="AK293" i="3"/>
  <c r="AK295" i="3"/>
  <c r="AN297" i="3"/>
  <c r="AL299" i="3"/>
  <c r="AK300" i="3"/>
  <c r="AN301" i="3"/>
  <c r="AL302" i="3"/>
  <c r="AN303" i="3"/>
  <c r="K654" i="8"/>
  <c r="O654" i="8"/>
  <c r="AN310" i="3"/>
  <c r="AK312" i="3"/>
  <c r="AK314" i="3"/>
  <c r="AL315" i="3"/>
  <c r="AK316" i="3"/>
  <c r="AN317" i="3"/>
  <c r="AL319" i="3"/>
  <c r="AN320" i="3"/>
  <c r="AL321" i="3"/>
  <c r="M694" i="8"/>
  <c r="AL328" i="3"/>
  <c r="AK329" i="3"/>
  <c r="AK331" i="3"/>
  <c r="AN333" i="3"/>
  <c r="AL335" i="3"/>
  <c r="AK336" i="3"/>
  <c r="AN337" i="3"/>
  <c r="AL338" i="3"/>
  <c r="AN339" i="3"/>
  <c r="K734" i="8"/>
  <c r="O734" i="8"/>
  <c r="AN346" i="3"/>
  <c r="AK348" i="3"/>
  <c r="AK350" i="3"/>
  <c r="AL351" i="3"/>
  <c r="AL359" i="3"/>
  <c r="AK352" i="3"/>
  <c r="AN353" i="3"/>
  <c r="AL355" i="3"/>
  <c r="AN356" i="3"/>
  <c r="AL357" i="3"/>
  <c r="M774" i="8"/>
  <c r="AN364" i="3"/>
  <c r="AF653" i="16"/>
  <c r="AY367" i="3"/>
  <c r="AL369" i="3"/>
  <c r="AM369" i="3"/>
  <c r="AM372" i="3"/>
  <c r="AK373" i="3"/>
  <c r="AL374" i="3"/>
  <c r="AM374" i="3"/>
  <c r="O814" i="8"/>
  <c r="AL382" i="3"/>
  <c r="AM382" i="3"/>
  <c r="AK383" i="3"/>
  <c r="AL383" i="3"/>
  <c r="AY386" i="3"/>
  <c r="AF713" i="16"/>
  <c r="AY401" i="3"/>
  <c r="AK404" i="3"/>
  <c r="AL404" i="3"/>
  <c r="AK405" i="3"/>
  <c r="AM406" i="3"/>
  <c r="AL409" i="3"/>
  <c r="AM409" i="3"/>
  <c r="L894" i="8"/>
  <c r="AM421" i="3"/>
  <c r="AF751" i="16"/>
  <c r="AK425" i="3"/>
  <c r="AM426" i="3"/>
  <c r="AK428" i="3"/>
  <c r="AF765" i="16"/>
  <c r="N934" i="8"/>
  <c r="AN449" i="3"/>
  <c r="AF781" i="16"/>
  <c r="AY439" i="3"/>
  <c r="AL441" i="3"/>
  <c r="AM441" i="3"/>
  <c r="AK442" i="3"/>
  <c r="AL442" i="3"/>
  <c r="AF789" i="16"/>
  <c r="AF791" i="16"/>
  <c r="AK447" i="3"/>
  <c r="K974" i="8"/>
  <c r="AK457" i="3"/>
  <c r="AL457" i="3"/>
  <c r="AL461" i="3"/>
  <c r="AM461" i="3"/>
  <c r="AK462" i="3"/>
  <c r="AL462" i="3"/>
  <c r="AF825" i="16"/>
  <c r="AL464" i="3"/>
  <c r="AM464" i="3"/>
  <c r="M1014" i="8"/>
  <c r="AM474" i="3"/>
  <c r="AL483" i="3"/>
  <c r="AM483" i="3"/>
  <c r="AM491" i="3"/>
  <c r="AM493" i="3"/>
  <c r="AK510" i="3"/>
  <c r="AL511" i="3"/>
  <c r="AM511" i="3"/>
  <c r="AK513" i="3"/>
  <c r="AL513" i="3"/>
  <c r="AL514" i="3"/>
  <c r="AM514" i="3"/>
  <c r="AM517" i="3"/>
  <c r="AM519" i="3"/>
  <c r="N1191" i="8"/>
  <c r="AM545" i="3"/>
  <c r="AM557" i="3"/>
  <c r="AM547" i="3"/>
  <c r="AL548" i="3"/>
  <c r="AM548" i="3"/>
  <c r="Z240" i="6"/>
  <c r="AA240" i="6"/>
  <c r="Z400" i="6"/>
  <c r="U648" i="6"/>
  <c r="U808" i="6"/>
  <c r="N613" i="8"/>
  <c r="O622" i="8"/>
  <c r="O6" i="3"/>
  <c r="O8" i="3"/>
  <c r="O10" i="3"/>
  <c r="N19" i="8"/>
  <c r="B16" i="8"/>
  <c r="D16" i="8"/>
  <c r="D19" i="8"/>
  <c r="D17" i="3"/>
  <c r="L14" i="8" s="1"/>
  <c r="C37" i="8" s="1"/>
  <c r="N54" i="8"/>
  <c r="L94" i="8"/>
  <c r="N134" i="8"/>
  <c r="N179" i="8"/>
  <c r="L174" i="8"/>
  <c r="AM105" i="3"/>
  <c r="N214" i="8"/>
  <c r="AM112" i="3"/>
  <c r="AM119" i="3"/>
  <c r="N259" i="8"/>
  <c r="AM122" i="3"/>
  <c r="L254" i="8"/>
  <c r="AM135" i="3"/>
  <c r="AM139" i="3"/>
  <c r="AM141" i="3"/>
  <c r="N294" i="8"/>
  <c r="AM148" i="3"/>
  <c r="AM155" i="3"/>
  <c r="N339" i="8"/>
  <c r="AM158" i="3"/>
  <c r="L334" i="8"/>
  <c r="AM171" i="3"/>
  <c r="AM175" i="3"/>
  <c r="AM177" i="3"/>
  <c r="N374" i="8"/>
  <c r="AM184" i="3"/>
  <c r="AM191" i="3"/>
  <c r="N419" i="8"/>
  <c r="AM194" i="3"/>
  <c r="L414" i="8"/>
  <c r="AM207" i="3"/>
  <c r="AM215" i="3"/>
  <c r="AM211" i="3"/>
  <c r="AM213" i="3"/>
  <c r="N454" i="8"/>
  <c r="AM220" i="3"/>
  <c r="AM227" i="3"/>
  <c r="N499" i="8"/>
  <c r="AM230" i="3"/>
  <c r="L494" i="8"/>
  <c r="AM243" i="3"/>
  <c r="AM247" i="3"/>
  <c r="AM249" i="3"/>
  <c r="N534" i="8"/>
  <c r="AM256" i="3"/>
  <c r="AM263" i="3"/>
  <c r="N579" i="8"/>
  <c r="AM266" i="3"/>
  <c r="L574" i="8"/>
  <c r="AM279" i="3"/>
  <c r="AM287" i="3"/>
  <c r="AM283" i="3"/>
  <c r="AM285" i="3"/>
  <c r="AM292" i="3"/>
  <c r="AM299" i="3"/>
  <c r="N659" i="8"/>
  <c r="AM302" i="3"/>
  <c r="L654" i="8"/>
  <c r="AM315" i="3"/>
  <c r="AM319" i="3"/>
  <c r="AM321" i="3"/>
  <c r="N694" i="8"/>
  <c r="AM328" i="3"/>
  <c r="AM335" i="3"/>
  <c r="N739" i="8"/>
  <c r="AM338" i="3"/>
  <c r="L734" i="8"/>
  <c r="AM351" i="3"/>
  <c r="AM355" i="3"/>
  <c r="AM357" i="3"/>
  <c r="N774" i="8"/>
  <c r="AK368" i="3"/>
  <c r="AL368" i="3"/>
  <c r="AN372" i="3"/>
  <c r="AN373" i="3"/>
  <c r="AL375" i="3"/>
  <c r="AM375" i="3"/>
  <c r="AF683" i="16"/>
  <c r="AY384" i="3"/>
  <c r="AF689" i="16"/>
  <c r="AF691" i="16"/>
  <c r="N859" i="8"/>
  <c r="AK402" i="3"/>
  <c r="AL402" i="3"/>
  <c r="AM404" i="3"/>
  <c r="AM413" i="3"/>
  <c r="AN405" i="3"/>
  <c r="AN406" i="3"/>
  <c r="AK409" i="3"/>
  <c r="AF731" i="16"/>
  <c r="O894" i="8"/>
  <c r="AL418" i="3"/>
  <c r="AM418" i="3"/>
  <c r="AK419" i="3"/>
  <c r="AL419" i="3"/>
  <c r="AN421" i="3"/>
  <c r="AY422" i="3"/>
  <c r="AN425" i="3"/>
  <c r="AN426" i="3"/>
  <c r="AN428" i="3"/>
  <c r="AF777" i="16"/>
  <c r="AY437" i="3"/>
  <c r="AK440" i="3"/>
  <c r="AL440" i="3"/>
  <c r="AK441" i="3"/>
  <c r="AM442" i="3"/>
  <c r="AM449" i="3"/>
  <c r="AL445" i="3"/>
  <c r="AM445" i="3"/>
  <c r="AN447" i="3"/>
  <c r="L974" i="8"/>
  <c r="AM457" i="3"/>
  <c r="AF815" i="16"/>
  <c r="AK461" i="3"/>
  <c r="AM462" i="3"/>
  <c r="AK464" i="3"/>
  <c r="AF829" i="16"/>
  <c r="N1014" i="8"/>
  <c r="AN474" i="3"/>
  <c r="AN485" i="3"/>
  <c r="AF845" i="16"/>
  <c r="AY475" i="3"/>
  <c r="AL477" i="3"/>
  <c r="AM477" i="3"/>
  <c r="AK478" i="3"/>
  <c r="AL478" i="3"/>
  <c r="AF853" i="16"/>
  <c r="AF855" i="16"/>
  <c r="AK483" i="3"/>
  <c r="L1054" i="8"/>
  <c r="AN491" i="3"/>
  <c r="AN503" i="3"/>
  <c r="AK492" i="3"/>
  <c r="AL492" i="3"/>
  <c r="AN493" i="3"/>
  <c r="AK494" i="3"/>
  <c r="AL494" i="3"/>
  <c r="AK496" i="3"/>
  <c r="AL496" i="3"/>
  <c r="AL497" i="3"/>
  <c r="AM497" i="3"/>
  <c r="AN510" i="3"/>
  <c r="AK511" i="3"/>
  <c r="AL512" i="3"/>
  <c r="AM512" i="3"/>
  <c r="AM513" i="3"/>
  <c r="AK514" i="3"/>
  <c r="AN517" i="3"/>
  <c r="AK518" i="3"/>
  <c r="AL518" i="3"/>
  <c r="AN519" i="3"/>
  <c r="AL532" i="3"/>
  <c r="AM532" i="3"/>
  <c r="AL534" i="3"/>
  <c r="AM534" i="3"/>
  <c r="AK536" i="3"/>
  <c r="AL536" i="3"/>
  <c r="AL537" i="3"/>
  <c r="AM537" i="3"/>
  <c r="AN545" i="3"/>
  <c r="AK546" i="3"/>
  <c r="AL546" i="3"/>
  <c r="AN547" i="3"/>
  <c r="AK548" i="3"/>
  <c r="U520" i="6"/>
  <c r="T616" i="6"/>
  <c r="AA720" i="6"/>
  <c r="T872" i="6"/>
  <c r="O662" i="8"/>
  <c r="K214" i="8"/>
  <c r="O214" i="8"/>
  <c r="M254" i="8"/>
  <c r="K294" i="8"/>
  <c r="O294" i="8"/>
  <c r="M334" i="8"/>
  <c r="K374" i="8"/>
  <c r="M414" i="8"/>
  <c r="K454" i="8"/>
  <c r="O454" i="8"/>
  <c r="M494" i="8"/>
  <c r="K534" i="8"/>
  <c r="O534" i="8"/>
  <c r="M574" i="8"/>
  <c r="K614" i="8"/>
  <c r="O614" i="8"/>
  <c r="M654" i="8"/>
  <c r="K694" i="8"/>
  <c r="O694" i="8"/>
  <c r="M734" i="8"/>
  <c r="K774" i="8"/>
  <c r="O774" i="8"/>
  <c r="AF647" i="16"/>
  <c r="AK366" i="3"/>
  <c r="AL366" i="3"/>
  <c r="K814" i="8"/>
  <c r="AK385" i="3"/>
  <c r="AL385" i="3"/>
  <c r="AL389" i="3"/>
  <c r="AM389" i="3"/>
  <c r="AK390" i="3"/>
  <c r="AL390" i="3"/>
  <c r="AF697" i="16"/>
  <c r="AL392" i="3"/>
  <c r="AM392" i="3"/>
  <c r="AL411" i="3"/>
  <c r="AM411" i="3"/>
  <c r="AF747" i="16"/>
  <c r="AY420" i="3"/>
  <c r="AF753" i="16"/>
  <c r="AF755" i="16"/>
  <c r="N939" i="8"/>
  <c r="AK438" i="3"/>
  <c r="AL438" i="3"/>
  <c r="AL449" i="3"/>
  <c r="AF795" i="16"/>
  <c r="AL454" i="3"/>
  <c r="AM454" i="3"/>
  <c r="AK455" i="3"/>
  <c r="AL455" i="3"/>
  <c r="AF841" i="16"/>
  <c r="AY473" i="3"/>
  <c r="AK476" i="3"/>
  <c r="AL476" i="3"/>
  <c r="AL481" i="3"/>
  <c r="AM481" i="3"/>
  <c r="AK508" i="3"/>
  <c r="AL508" i="3"/>
  <c r="AL509" i="3"/>
  <c r="AM509" i="3"/>
  <c r="AL526" i="3"/>
  <c r="AM526" i="3"/>
  <c r="N1179" i="8"/>
  <c r="AL549" i="3"/>
  <c r="AM549" i="3"/>
  <c r="AL551" i="3"/>
  <c r="AM551" i="3"/>
  <c r="AL553" i="3"/>
  <c r="AM553" i="3"/>
  <c r="AK371" i="3"/>
  <c r="N814" i="8"/>
  <c r="AK387" i="3"/>
  <c r="AK391" i="3"/>
  <c r="AK393" i="3"/>
  <c r="L854" i="8"/>
  <c r="AK400" i="3"/>
  <c r="AK413" i="3"/>
  <c r="AK407" i="3"/>
  <c r="AK410" i="3"/>
  <c r="N894" i="8"/>
  <c r="AK423" i="3"/>
  <c r="AK427" i="3"/>
  <c r="AK429" i="3"/>
  <c r="L934" i="8"/>
  <c r="AK436" i="3"/>
  <c r="AK449" i="3"/>
  <c r="AK443" i="3"/>
  <c r="AK446" i="3"/>
  <c r="N974" i="8"/>
  <c r="AK459" i="3"/>
  <c r="AK463" i="3"/>
  <c r="AK465" i="3"/>
  <c r="L1014" i="8"/>
  <c r="AK472" i="3"/>
  <c r="AK479" i="3"/>
  <c r="AK482" i="3"/>
  <c r="N1054" i="8"/>
  <c r="AK490" i="3"/>
  <c r="AK495" i="3"/>
  <c r="AK499" i="3"/>
  <c r="AK500" i="3"/>
  <c r="AK501" i="3"/>
  <c r="AK516" i="3"/>
  <c r="AK530" i="3"/>
  <c r="AK531" i="3"/>
  <c r="AK533" i="3"/>
  <c r="AK535" i="3"/>
  <c r="AK544" i="3"/>
  <c r="AK550" i="3"/>
  <c r="AK552" i="3"/>
  <c r="AN554" i="3"/>
  <c r="AN557" i="3"/>
  <c r="AK555" i="3"/>
  <c r="AA592" i="6"/>
  <c r="U744" i="6"/>
  <c r="O33" i="8"/>
  <c r="G24" i="8" s="1"/>
  <c r="O222" i="8"/>
  <c r="O342" i="8"/>
  <c r="O702" i="8"/>
  <c r="M813" i="8"/>
  <c r="K1013" i="8"/>
  <c r="O1033" i="8"/>
  <c r="O1062" i="8"/>
  <c r="O1153" i="8"/>
  <c r="X17" i="12"/>
  <c r="J4" i="12"/>
  <c r="J17" i="12"/>
  <c r="O433" i="8"/>
  <c r="O473" i="8"/>
  <c r="O993" i="8"/>
  <c r="K854" i="8"/>
  <c r="O854" i="8"/>
  <c r="M894" i="8"/>
  <c r="K934" i="8"/>
  <c r="O934" i="8"/>
  <c r="M974" i="8"/>
  <c r="O1014" i="8"/>
  <c r="M1054" i="8"/>
  <c r="AA688" i="6"/>
  <c r="T712" i="6"/>
  <c r="U776" i="6"/>
  <c r="U840" i="6"/>
  <c r="U989" i="6"/>
  <c r="T968" i="6"/>
  <c r="T989" i="6"/>
  <c r="O113" i="8"/>
  <c r="O542" i="8"/>
  <c r="O673" i="8"/>
  <c r="O902" i="8"/>
  <c r="Z368" i="6"/>
  <c r="AA432" i="6"/>
  <c r="O502" i="8"/>
  <c r="O513" i="8"/>
  <c r="O593" i="8"/>
  <c r="O742" i="8"/>
  <c r="O1073" i="8"/>
  <c r="O1222" i="8"/>
  <c r="AA528" i="6"/>
  <c r="O22" i="8"/>
  <c r="O182" i="8"/>
  <c r="O193" i="8"/>
  <c r="O273" i="8"/>
  <c r="O313" i="8"/>
  <c r="O753" i="8"/>
  <c r="O793" i="8"/>
  <c r="O913" i="8"/>
  <c r="O1182" i="8"/>
  <c r="U488" i="6"/>
  <c r="O73" i="8"/>
  <c r="O233" i="8"/>
  <c r="O393" i="8"/>
  <c r="O553" i="8"/>
  <c r="O633" i="8"/>
  <c r="O833" i="8"/>
  <c r="O1022" i="8"/>
  <c r="O1102" i="8"/>
  <c r="N18" i="10"/>
  <c r="P18" i="10"/>
  <c r="P21" i="10"/>
  <c r="C32" i="12"/>
  <c r="B28" i="12"/>
  <c r="O822" i="8"/>
  <c r="H23" i="12"/>
  <c r="B26" i="16"/>
  <c r="B27" i="16"/>
  <c r="B28" i="16"/>
  <c r="B29" i="16"/>
  <c r="C154" i="17"/>
  <c r="B70" i="16"/>
  <c r="B71" i="16"/>
  <c r="B156" i="17"/>
  <c r="D75" i="16"/>
  <c r="Q75" i="16"/>
  <c r="B78" i="16"/>
  <c r="B79" i="16" s="1"/>
  <c r="B159" i="17"/>
  <c r="D81" i="16"/>
  <c r="Q81" i="16"/>
  <c r="B191" i="17"/>
  <c r="D89" i="16"/>
  <c r="Q89" i="16"/>
  <c r="S141" i="16"/>
  <c r="H329" i="17"/>
  <c r="K329" i="17" s="1"/>
  <c r="F394" i="17"/>
  <c r="S201" i="16"/>
  <c r="H429" i="17"/>
  <c r="K429" i="17" s="1"/>
  <c r="G208" i="16"/>
  <c r="S209" i="16"/>
  <c r="H698" i="17"/>
  <c r="K698" i="17" s="1"/>
  <c r="D7" i="16"/>
  <c r="Q7" i="16" s="1"/>
  <c r="B157" i="17"/>
  <c r="D77" i="16"/>
  <c r="Q77" i="16" s="1"/>
  <c r="B158" i="17"/>
  <c r="D79" i="16"/>
  <c r="Q79" i="16" s="1"/>
  <c r="B190" i="17"/>
  <c r="D87" i="16"/>
  <c r="Q87" i="16" s="1"/>
  <c r="I122" i="16"/>
  <c r="F393" i="17"/>
  <c r="F397" i="17"/>
  <c r="G378" i="16"/>
  <c r="B6" i="16"/>
  <c r="B7" i="16"/>
  <c r="D9" i="16"/>
  <c r="Q9" i="16"/>
  <c r="D11" i="16"/>
  <c r="Q11" i="16" s="1"/>
  <c r="D13" i="16"/>
  <c r="Q13" i="16"/>
  <c r="D15" i="16"/>
  <c r="Q15" i="16" s="1"/>
  <c r="D17" i="16"/>
  <c r="Q17" i="16"/>
  <c r="D19" i="16"/>
  <c r="Q19" i="16" s="1"/>
  <c r="D21" i="16"/>
  <c r="Q21" i="16"/>
  <c r="D23" i="16"/>
  <c r="Q23" i="16" s="1"/>
  <c r="D25" i="16"/>
  <c r="Q25" i="16"/>
  <c r="D27" i="16"/>
  <c r="Q27" i="16" s="1"/>
  <c r="B86" i="17"/>
  <c r="D39" i="16"/>
  <c r="Q39" i="16"/>
  <c r="B82" i="16"/>
  <c r="B83" i="16"/>
  <c r="B189" i="17"/>
  <c r="D85" i="16"/>
  <c r="Q85" i="16"/>
  <c r="B193" i="17"/>
  <c r="D93" i="16"/>
  <c r="Q93" i="16" s="1"/>
  <c r="F222" i="17"/>
  <c r="F102" i="16"/>
  <c r="F392" i="17"/>
  <c r="F396" i="17"/>
  <c r="I262" i="16"/>
  <c r="J698" i="17"/>
  <c r="I326" i="16"/>
  <c r="H802" i="17"/>
  <c r="K802" i="17" s="1"/>
  <c r="G374" i="16"/>
  <c r="J376" i="16"/>
  <c r="J402" i="16"/>
  <c r="B155" i="17"/>
  <c r="D73" i="16"/>
  <c r="Q73" i="16" s="1"/>
  <c r="B188" i="17"/>
  <c r="D83" i="16"/>
  <c r="Q83" i="16"/>
  <c r="B192" i="17"/>
  <c r="D91" i="16"/>
  <c r="Q91" i="16" s="1"/>
  <c r="J225" i="17"/>
  <c r="C290" i="17"/>
  <c r="B134" i="16"/>
  <c r="B135" i="16"/>
  <c r="C291" i="17"/>
  <c r="B136" i="16"/>
  <c r="B137" i="16"/>
  <c r="C292" i="17"/>
  <c r="B138" i="16"/>
  <c r="B139" i="16"/>
  <c r="C293" i="17"/>
  <c r="B140" i="16"/>
  <c r="B141" i="16"/>
  <c r="C294" i="17"/>
  <c r="B142" i="16"/>
  <c r="B143" i="16"/>
  <c r="C295" i="17"/>
  <c r="B144" i="16"/>
  <c r="B145" i="16" s="1"/>
  <c r="C324" i="17"/>
  <c r="B146" i="16"/>
  <c r="B147" i="16" s="1"/>
  <c r="C325" i="17"/>
  <c r="B148" i="16"/>
  <c r="B149" i="16" s="1"/>
  <c r="J325" i="17"/>
  <c r="C326" i="17"/>
  <c r="B150" i="16"/>
  <c r="B151" i="16"/>
  <c r="C327" i="17"/>
  <c r="B152" i="16"/>
  <c r="B153" i="16" s="1"/>
  <c r="C328" i="17"/>
  <c r="B154" i="16"/>
  <c r="B155" i="16" s="1"/>
  <c r="C329" i="17"/>
  <c r="B156" i="16"/>
  <c r="B157" i="16"/>
  <c r="F176" i="16"/>
  <c r="F184" i="16"/>
  <c r="J530" i="17"/>
  <c r="I246" i="16"/>
  <c r="S313" i="16"/>
  <c r="G362" i="16"/>
  <c r="G972" i="17"/>
  <c r="B104" i="16"/>
  <c r="B105" i="16" s="1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 s="1"/>
  <c r="B124" i="16"/>
  <c r="B125" i="16" s="1"/>
  <c r="D167" i="16"/>
  <c r="Q167" i="16"/>
  <c r="B198" i="16"/>
  <c r="B199" i="16"/>
  <c r="D201" i="16"/>
  <c r="Q201" i="16"/>
  <c r="D203" i="16"/>
  <c r="Q203" i="16"/>
  <c r="D205" i="16"/>
  <c r="Q205" i="16"/>
  <c r="D207" i="16"/>
  <c r="Q207" i="16"/>
  <c r="D209" i="16"/>
  <c r="Q209" i="16"/>
  <c r="D211" i="16"/>
  <c r="Q211" i="16"/>
  <c r="D213" i="16"/>
  <c r="Q213" i="16"/>
  <c r="D215" i="16"/>
  <c r="Q215" i="16"/>
  <c r="D217" i="16"/>
  <c r="Q217" i="16"/>
  <c r="D219" i="16"/>
  <c r="Q219" i="16"/>
  <c r="D221" i="16"/>
  <c r="Q22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D295" i="16"/>
  <c r="Q295" i="16"/>
  <c r="B326" i="16"/>
  <c r="B327" i="16"/>
  <c r="D329" i="16"/>
  <c r="Q329" i="16"/>
  <c r="D331" i="16"/>
  <c r="Q331" i="16"/>
  <c r="D333" i="16"/>
  <c r="Q333" i="16"/>
  <c r="L333" i="16"/>
  <c r="D335" i="16"/>
  <c r="Q335" i="16"/>
  <c r="D337" i="16"/>
  <c r="Q337" i="16"/>
  <c r="L337" i="16"/>
  <c r="D339" i="16"/>
  <c r="Q339" i="16"/>
  <c r="D341" i="16"/>
  <c r="Q341" i="16"/>
  <c r="D343" i="16"/>
  <c r="Q343" i="16"/>
  <c r="L343" i="16"/>
  <c r="D345" i="16"/>
  <c r="Q345" i="16"/>
  <c r="L349" i="16"/>
  <c r="B769" i="17"/>
  <c r="D365" i="16"/>
  <c r="Q365" i="16"/>
  <c r="I368" i="16"/>
  <c r="B801" i="17"/>
  <c r="D373" i="16"/>
  <c r="Q373" i="16"/>
  <c r="J374" i="16"/>
  <c r="B805" i="17"/>
  <c r="D381" i="16"/>
  <c r="Q381" i="16"/>
  <c r="H837" i="17"/>
  <c r="K837" i="17" s="1"/>
  <c r="J408" i="16"/>
  <c r="C902" i="17"/>
  <c r="B422" i="16"/>
  <c r="B423" i="16"/>
  <c r="B424" i="16"/>
  <c r="B425" i="16"/>
  <c r="B904" i="17"/>
  <c r="D427" i="16"/>
  <c r="Q427" i="16"/>
  <c r="B432" i="16"/>
  <c r="B433" i="16"/>
  <c r="H936" i="17"/>
  <c r="K936" i="17" s="1"/>
  <c r="B936" i="17"/>
  <c r="D435" i="16"/>
  <c r="Q435" i="16"/>
  <c r="B440" i="16"/>
  <c r="B441" i="16"/>
  <c r="B940" i="17"/>
  <c r="D443" i="16"/>
  <c r="Q443" i="16"/>
  <c r="G470" i="16"/>
  <c r="B1039" i="17"/>
  <c r="D489" i="16"/>
  <c r="Q489" i="16"/>
  <c r="B1043" i="17"/>
  <c r="D497" i="16"/>
  <c r="Q497" i="16"/>
  <c r="F1076" i="17"/>
  <c r="F506" i="16"/>
  <c r="F1107" i="17"/>
  <c r="F520" i="16"/>
  <c r="F1111" i="17"/>
  <c r="F528" i="16"/>
  <c r="M537" i="16"/>
  <c r="S571" i="16"/>
  <c r="B770" i="17"/>
  <c r="D367" i="16"/>
  <c r="Q367" i="16"/>
  <c r="B802" i="17"/>
  <c r="D375" i="16"/>
  <c r="Q375" i="16"/>
  <c r="C835" i="17"/>
  <c r="B392" i="16"/>
  <c r="B393" i="16"/>
  <c r="C837" i="17"/>
  <c r="B396" i="16"/>
  <c r="B397" i="16"/>
  <c r="C839" i="17"/>
  <c r="B400" i="16"/>
  <c r="B401" i="16"/>
  <c r="B905" i="17"/>
  <c r="D429" i="16"/>
  <c r="Q429" i="16"/>
  <c r="B937" i="17"/>
  <c r="D437" i="16"/>
  <c r="Q437" i="16"/>
  <c r="B442" i="16"/>
  <c r="B443" i="16"/>
  <c r="B941" i="17"/>
  <c r="D445" i="16"/>
  <c r="Q445" i="16"/>
  <c r="G970" i="17"/>
  <c r="H456" i="16"/>
  <c r="H971" i="17"/>
  <c r="K971" i="17" s="1"/>
  <c r="H464" i="16"/>
  <c r="H472" i="16"/>
  <c r="G472" i="16"/>
  <c r="J486" i="16"/>
  <c r="B1038" i="17"/>
  <c r="D487" i="16"/>
  <c r="Q487" i="16"/>
  <c r="B1042" i="17"/>
  <c r="D495" i="16"/>
  <c r="Q495" i="16"/>
  <c r="F508" i="16"/>
  <c r="C1174" i="17"/>
  <c r="B550" i="16"/>
  <c r="B551" i="16"/>
  <c r="J552" i="16"/>
  <c r="F1243" i="17"/>
  <c r="F584" i="16"/>
  <c r="I594" i="16"/>
  <c r="F1279" i="17"/>
  <c r="F600" i="16"/>
  <c r="B262" i="16"/>
  <c r="B263" i="16"/>
  <c r="D265" i="16"/>
  <c r="Q265" i="16"/>
  <c r="D267" i="16"/>
  <c r="Q267" i="16"/>
  <c r="D269" i="16"/>
  <c r="Q269" i="16"/>
  <c r="D271" i="16"/>
  <c r="Q271" i="16"/>
  <c r="D273" i="16"/>
  <c r="Q273" i="16"/>
  <c r="D275" i="16"/>
  <c r="Q275" i="16"/>
  <c r="D277" i="16"/>
  <c r="Q277" i="16"/>
  <c r="D279" i="16"/>
  <c r="Q279" i="16"/>
  <c r="D281" i="16"/>
  <c r="Q281" i="16"/>
  <c r="D283" i="16"/>
  <c r="Q283" i="16"/>
  <c r="D285" i="16"/>
  <c r="Q285" i="16"/>
  <c r="B767" i="17"/>
  <c r="D361" i="16"/>
  <c r="Q361" i="16"/>
  <c r="I364" i="16"/>
  <c r="B771" i="17"/>
  <c r="D369" i="16"/>
  <c r="Q369" i="16"/>
  <c r="B803" i="17"/>
  <c r="D377" i="16"/>
  <c r="Q377" i="16"/>
  <c r="I380" i="16"/>
  <c r="J390" i="16"/>
  <c r="B428" i="16"/>
  <c r="B429" i="16"/>
  <c r="H906" i="17"/>
  <c r="K906" i="17" s="1"/>
  <c r="S431" i="16"/>
  <c r="B906" i="17"/>
  <c r="D431" i="16"/>
  <c r="Q431" i="16"/>
  <c r="B436" i="16"/>
  <c r="B437" i="16"/>
  <c r="H938" i="17"/>
  <c r="K938" i="17" s="1"/>
  <c r="S439" i="16"/>
  <c r="B938" i="17"/>
  <c r="D439" i="16"/>
  <c r="Q439" i="16"/>
  <c r="B444" i="16"/>
  <c r="B445" i="16"/>
  <c r="L457" i="16"/>
  <c r="J462" i="16"/>
  <c r="H466" i="16"/>
  <c r="L473" i="16"/>
  <c r="H474" i="16"/>
  <c r="H1008" i="17"/>
  <c r="K1008" i="17" s="1"/>
  <c r="G474" i="16"/>
  <c r="H1041" i="17"/>
  <c r="K1041" i="17" s="1"/>
  <c r="S493" i="16"/>
  <c r="B1041" i="17"/>
  <c r="D493" i="16"/>
  <c r="Q493" i="16"/>
  <c r="I494" i="16"/>
  <c r="H1073" i="17"/>
  <c r="K1073" i="17" s="1"/>
  <c r="G500" i="16"/>
  <c r="B1073" i="17"/>
  <c r="D501" i="16"/>
  <c r="Q501" i="16"/>
  <c r="F502" i="16"/>
  <c r="C1177" i="17"/>
  <c r="B556" i="16"/>
  <c r="B557" i="16"/>
  <c r="C1209" i="17"/>
  <c r="B564" i="16"/>
  <c r="B565" i="16"/>
  <c r="C1213" i="17"/>
  <c r="B572" i="16"/>
  <c r="B573" i="16"/>
  <c r="D199" i="16"/>
  <c r="Q199" i="16"/>
  <c r="B230" i="16"/>
  <c r="B231" i="16"/>
  <c r="L247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D327" i="16"/>
  <c r="Q327" i="16"/>
  <c r="D359" i="16"/>
  <c r="Q359" i="16"/>
  <c r="C766" i="17"/>
  <c r="B358" i="16"/>
  <c r="B359" i="16"/>
  <c r="B768" i="17"/>
  <c r="D363" i="16"/>
  <c r="Q363" i="16"/>
  <c r="B800" i="17"/>
  <c r="D371" i="16"/>
  <c r="Q371" i="16"/>
  <c r="B804" i="17"/>
  <c r="D379" i="16"/>
  <c r="Q379" i="16"/>
  <c r="H390" i="16"/>
  <c r="C836" i="17"/>
  <c r="B394" i="16"/>
  <c r="B395" i="16"/>
  <c r="H396" i="16"/>
  <c r="F398" i="16"/>
  <c r="C838" i="17"/>
  <c r="B398" i="16"/>
  <c r="B399" i="16"/>
  <c r="C868" i="17"/>
  <c r="B402" i="16"/>
  <c r="B403" i="16"/>
  <c r="S425" i="16"/>
  <c r="B903" i="17"/>
  <c r="D425" i="16"/>
  <c r="Q425" i="16"/>
  <c r="B907" i="17"/>
  <c r="D433" i="16"/>
  <c r="Q433" i="16"/>
  <c r="B939" i="17"/>
  <c r="D441" i="16"/>
  <c r="Q441" i="16"/>
  <c r="F940" i="17"/>
  <c r="F970" i="17"/>
  <c r="F454" i="16"/>
  <c r="L475" i="16"/>
  <c r="H1009" i="17"/>
  <c r="K1009" i="17" s="1"/>
  <c r="G476" i="16"/>
  <c r="J1038" i="17"/>
  <c r="I486" i="16"/>
  <c r="G490" i="16"/>
  <c r="B1040" i="17"/>
  <c r="D491" i="16"/>
  <c r="Q491" i="16"/>
  <c r="B1072" i="17"/>
  <c r="D499" i="16"/>
  <c r="Q499" i="16"/>
  <c r="F504" i="16"/>
  <c r="J1280" i="17"/>
  <c r="B404" i="16"/>
  <c r="B405" i="16"/>
  <c r="B406" i="16"/>
  <c r="B407" i="16"/>
  <c r="B408" i="16"/>
  <c r="B409" i="16"/>
  <c r="B410" i="16"/>
  <c r="B411" i="16"/>
  <c r="B412" i="16"/>
  <c r="B413" i="16"/>
  <c r="D455" i="16"/>
  <c r="Q455" i="16"/>
  <c r="B486" i="16"/>
  <c r="B487" i="16"/>
  <c r="L495" i="16"/>
  <c r="H532" i="16"/>
  <c r="H534" i="16"/>
  <c r="H536" i="16"/>
  <c r="H540" i="16"/>
  <c r="F550" i="16"/>
  <c r="B1175" i="17"/>
  <c r="D553" i="16"/>
  <c r="Q553" i="16"/>
  <c r="C1208" i="17"/>
  <c r="B562" i="16"/>
  <c r="B563" i="16"/>
  <c r="C1212" i="17"/>
  <c r="B570" i="16"/>
  <c r="B571" i="16"/>
  <c r="J1243" i="17"/>
  <c r="I584" i="16"/>
  <c r="F598" i="16"/>
  <c r="J1279" i="17"/>
  <c r="I600" i="16"/>
  <c r="C1310" i="17"/>
  <c r="B614" i="16"/>
  <c r="B615" i="16"/>
  <c r="J698" i="16"/>
  <c r="G1314" i="17"/>
  <c r="J622" i="16"/>
  <c r="F1348" i="17"/>
  <c r="F634" i="16"/>
  <c r="H1177" i="17"/>
  <c r="K1177" i="17" s="1"/>
  <c r="S557" i="16"/>
  <c r="C1178" i="17"/>
  <c r="B558" i="16"/>
  <c r="B559" i="16"/>
  <c r="I558" i="16"/>
  <c r="H1209" i="17"/>
  <c r="K1209" i="17" s="1"/>
  <c r="S565" i="16"/>
  <c r="C1210" i="17"/>
  <c r="B566" i="16"/>
  <c r="B567" i="16"/>
  <c r="H1213" i="17"/>
  <c r="K1213" i="17" s="1"/>
  <c r="S573" i="16"/>
  <c r="H1310" i="17"/>
  <c r="K1310" i="17" s="1"/>
  <c r="S615" i="16"/>
  <c r="I1585" i="17"/>
  <c r="H748" i="16"/>
  <c r="H756" i="16"/>
  <c r="B1106" i="17"/>
  <c r="D519" i="16"/>
  <c r="Q519" i="16"/>
  <c r="G524" i="16"/>
  <c r="H1110" i="17"/>
  <c r="K1110" i="17" s="1"/>
  <c r="G526" i="16"/>
  <c r="G528" i="16"/>
  <c r="H1140" i="17"/>
  <c r="K1140" i="17" s="1"/>
  <c r="G530" i="16"/>
  <c r="H1141" i="17"/>
  <c r="K1141" i="17" s="1"/>
  <c r="G536" i="16"/>
  <c r="M551" i="16"/>
  <c r="S551" i="16"/>
  <c r="H1178" i="17"/>
  <c r="K1178" i="17" s="1"/>
  <c r="C1179" i="17"/>
  <c r="B560" i="16"/>
  <c r="B561" i="16"/>
  <c r="H1210" i="17"/>
  <c r="K1210" i="17" s="1"/>
  <c r="C1211" i="17"/>
  <c r="B568" i="16"/>
  <c r="B569" i="16"/>
  <c r="J1278" i="17"/>
  <c r="G1344" i="17"/>
  <c r="J626" i="16"/>
  <c r="J684" i="16"/>
  <c r="G1481" i="17"/>
  <c r="J692" i="16"/>
  <c r="J700" i="16"/>
  <c r="C1311" i="17"/>
  <c r="B616" i="16"/>
  <c r="B617" i="16"/>
  <c r="H618" i="16"/>
  <c r="F620" i="16"/>
  <c r="C1313" i="17"/>
  <c r="B620" i="16"/>
  <c r="B621" i="16"/>
  <c r="J1313" i="17"/>
  <c r="I620" i="16"/>
  <c r="H622" i="16"/>
  <c r="C1315" i="17"/>
  <c r="B624" i="16"/>
  <c r="B625" i="16"/>
  <c r="H626" i="16"/>
  <c r="F628" i="16"/>
  <c r="C1345" i="17"/>
  <c r="B628" i="16"/>
  <c r="B629" i="16"/>
  <c r="J1345" i="17"/>
  <c r="C1347" i="17"/>
  <c r="B632" i="16"/>
  <c r="B633" i="16"/>
  <c r="F1349" i="17"/>
  <c r="F636" i="16"/>
  <c r="G648" i="16"/>
  <c r="B1379" i="17"/>
  <c r="D649" i="16"/>
  <c r="Q649" i="16"/>
  <c r="S657" i="16"/>
  <c r="B1383" i="17"/>
  <c r="D657" i="16"/>
  <c r="Q657" i="16"/>
  <c r="F1412" i="17"/>
  <c r="B1413" i="17"/>
  <c r="D661" i="16"/>
  <c r="Q661" i="16"/>
  <c r="B1417" i="17"/>
  <c r="D669" i="16"/>
  <c r="Q669" i="16"/>
  <c r="J710" i="16"/>
  <c r="C1517" i="17"/>
  <c r="B716" i="16"/>
  <c r="B717" i="16"/>
  <c r="C1549" i="17"/>
  <c r="B724" i="16"/>
  <c r="B725" i="16"/>
  <c r="C1553" i="17"/>
  <c r="B732" i="16"/>
  <c r="B733" i="16"/>
  <c r="F1583" i="17"/>
  <c r="F744" i="16"/>
  <c r="F1587" i="17"/>
  <c r="F752" i="16"/>
  <c r="I754" i="16"/>
  <c r="F1620" i="17"/>
  <c r="B1651" i="17"/>
  <c r="D777" i="16"/>
  <c r="Q777" i="16"/>
  <c r="B780" i="16"/>
  <c r="B781" i="16"/>
  <c r="I1719" i="17"/>
  <c r="J1787" i="17"/>
  <c r="I840" i="16"/>
  <c r="J1791" i="17"/>
  <c r="I848" i="16"/>
  <c r="F1825" i="17"/>
  <c r="F860" i="16"/>
  <c r="H1859" i="17"/>
  <c r="K1859" i="17" s="1"/>
  <c r="G880" i="16"/>
  <c r="S881" i="16"/>
  <c r="G1957" i="17"/>
  <c r="H1995" i="17"/>
  <c r="K1995" i="17" s="1"/>
  <c r="M945" i="16"/>
  <c r="G944" i="16"/>
  <c r="S945" i="16"/>
  <c r="H1314" i="17"/>
  <c r="K1314" i="17" s="1"/>
  <c r="M623" i="16"/>
  <c r="S623" i="16"/>
  <c r="S627" i="16"/>
  <c r="C1348" i="17"/>
  <c r="B634" i="16"/>
  <c r="B635" i="16"/>
  <c r="F646" i="16"/>
  <c r="B1380" i="17"/>
  <c r="D651" i="16"/>
  <c r="Q651" i="16"/>
  <c r="F1381" i="17"/>
  <c r="F652" i="16"/>
  <c r="B1412" i="17"/>
  <c r="D659" i="16"/>
  <c r="Q659" i="16"/>
  <c r="F1415" i="17"/>
  <c r="B1416" i="17"/>
  <c r="D667" i="16"/>
  <c r="Q667" i="16"/>
  <c r="H1447" i="17"/>
  <c r="K1447" i="17" s="1"/>
  <c r="G680" i="16"/>
  <c r="H1451" i="17"/>
  <c r="K1451" i="17" s="1"/>
  <c r="M689" i="16"/>
  <c r="H1483" i="17"/>
  <c r="K1483" i="17" s="1"/>
  <c r="M697" i="16"/>
  <c r="G696" i="16"/>
  <c r="C1514" i="17"/>
  <c r="B710" i="16"/>
  <c r="B711" i="16"/>
  <c r="H1517" i="17"/>
  <c r="K1517" i="17" s="1"/>
  <c r="M717" i="16"/>
  <c r="C1518" i="17"/>
  <c r="B718" i="16"/>
  <c r="B719" i="16"/>
  <c r="J1518" i="17"/>
  <c r="H1549" i="17"/>
  <c r="K1549" i="17" s="1"/>
  <c r="C1550" i="17"/>
  <c r="B726" i="16"/>
  <c r="B727" i="16"/>
  <c r="H1553" i="17"/>
  <c r="K1553" i="17" s="1"/>
  <c r="F1616" i="17"/>
  <c r="F754" i="16"/>
  <c r="J1655" i="17"/>
  <c r="C1687" i="17"/>
  <c r="B792" i="16"/>
  <c r="B793" i="16"/>
  <c r="I1718" i="17"/>
  <c r="H806" i="16"/>
  <c r="I1789" i="17"/>
  <c r="H844" i="16"/>
  <c r="H1821" i="17"/>
  <c r="K1821" i="17" s="1"/>
  <c r="C1312" i="17"/>
  <c r="B618" i="16"/>
  <c r="B619" i="16"/>
  <c r="C1314" i="17"/>
  <c r="B622" i="16"/>
  <c r="B623" i="16"/>
  <c r="C1344" i="17"/>
  <c r="B626" i="16"/>
  <c r="B627" i="16"/>
  <c r="C1346" i="17"/>
  <c r="B630" i="16"/>
  <c r="B631" i="16"/>
  <c r="H646" i="16"/>
  <c r="B1381" i="17"/>
  <c r="D653" i="16"/>
  <c r="Q653" i="16"/>
  <c r="H1415" i="17"/>
  <c r="K1415" i="17" s="1"/>
  <c r="B1415" i="17"/>
  <c r="D665" i="16"/>
  <c r="Q665" i="16"/>
  <c r="C1515" i="17"/>
  <c r="B712" i="16"/>
  <c r="B713" i="16"/>
  <c r="H1518" i="17"/>
  <c r="K1518" i="17" s="1"/>
  <c r="S719" i="16"/>
  <c r="C1519" i="17"/>
  <c r="B720" i="16"/>
  <c r="B721" i="16"/>
  <c r="H1550" i="17"/>
  <c r="K1550" i="17" s="1"/>
  <c r="C1551" i="17"/>
  <c r="B728" i="16"/>
  <c r="B729" i="16"/>
  <c r="J1586" i="17"/>
  <c r="I750" i="16"/>
  <c r="I776" i="16"/>
  <c r="J1654" i="17"/>
  <c r="I782" i="16"/>
  <c r="H1687" i="17"/>
  <c r="K1687" i="17" s="1"/>
  <c r="S793" i="16"/>
  <c r="G792" i="16"/>
  <c r="J1718" i="17"/>
  <c r="J1790" i="17"/>
  <c r="I846" i="16"/>
  <c r="D555" i="16"/>
  <c r="Q555" i="16"/>
  <c r="D557" i="16"/>
  <c r="Q557" i="16"/>
  <c r="D559" i="16"/>
  <c r="Q559" i="16"/>
  <c r="L559" i="16"/>
  <c r="D561" i="16"/>
  <c r="Q561" i="16"/>
  <c r="D563" i="16"/>
  <c r="Q563" i="16"/>
  <c r="D565" i="16"/>
  <c r="Q565" i="16"/>
  <c r="D567" i="16"/>
  <c r="Q567" i="16"/>
  <c r="D569" i="16"/>
  <c r="Q569" i="16"/>
  <c r="D571" i="16"/>
  <c r="Q571" i="16"/>
  <c r="D573" i="16"/>
  <c r="Q573" i="16"/>
  <c r="B584" i="16"/>
  <c r="B585" i="16"/>
  <c r="M585" i="16"/>
  <c r="B586" i="16"/>
  <c r="B587" i="16"/>
  <c r="B588" i="16"/>
  <c r="B589" i="16"/>
  <c r="B590" i="16"/>
  <c r="B591" i="16"/>
  <c r="B592" i="16"/>
  <c r="B593" i="16"/>
  <c r="B594" i="16"/>
  <c r="B595" i="16"/>
  <c r="M595" i="16"/>
  <c r="B596" i="16"/>
  <c r="B597" i="16"/>
  <c r="B598" i="16"/>
  <c r="B599" i="16"/>
  <c r="B600" i="16"/>
  <c r="B601" i="16"/>
  <c r="M601" i="16"/>
  <c r="B602" i="16"/>
  <c r="B603" i="16"/>
  <c r="B604" i="16"/>
  <c r="B605" i="16"/>
  <c r="H1311" i="17"/>
  <c r="K1311" i="17" s="1"/>
  <c r="S617" i="16"/>
  <c r="S621" i="16"/>
  <c r="G622" i="16"/>
  <c r="J624" i="16"/>
  <c r="G626" i="16"/>
  <c r="H1345" i="17"/>
  <c r="K1345" i="17" s="1"/>
  <c r="S633" i="16"/>
  <c r="S637" i="16"/>
  <c r="M637" i="16"/>
  <c r="J1349" i="17"/>
  <c r="J646" i="16"/>
  <c r="B1378" i="17"/>
  <c r="D647" i="16"/>
  <c r="Q647" i="16"/>
  <c r="H1382" i="17"/>
  <c r="K1382" i="17" s="1"/>
  <c r="G654" i="16"/>
  <c r="S655" i="16"/>
  <c r="B1382" i="17"/>
  <c r="D655" i="16"/>
  <c r="Q655" i="16"/>
  <c r="E1421" i="17"/>
  <c r="F660" i="16"/>
  <c r="B1414" i="17"/>
  <c r="D663" i="16"/>
  <c r="Q663" i="16"/>
  <c r="F1417" i="17"/>
  <c r="H1448" i="17"/>
  <c r="K1448" i="17" s="1"/>
  <c r="C1516" i="17"/>
  <c r="B714" i="16"/>
  <c r="B715" i="16"/>
  <c r="I714" i="16"/>
  <c r="G722" i="16"/>
  <c r="C1548" i="17"/>
  <c r="B722" i="16"/>
  <c r="B723" i="16"/>
  <c r="G730" i="16"/>
  <c r="C1552" i="17"/>
  <c r="B730" i="16"/>
  <c r="B731" i="16"/>
  <c r="F1582" i="17"/>
  <c r="J1583" i="17"/>
  <c r="I744" i="16"/>
  <c r="F1586" i="17"/>
  <c r="F750" i="16"/>
  <c r="J1587" i="17"/>
  <c r="I752" i="16"/>
  <c r="I1650" i="17"/>
  <c r="J782" i="16"/>
  <c r="B1655" i="17"/>
  <c r="D785" i="16"/>
  <c r="Q785" i="16"/>
  <c r="B788" i="16"/>
  <c r="B789" i="16"/>
  <c r="F1755" i="17"/>
  <c r="I1788" i="17"/>
  <c r="H842" i="16"/>
  <c r="J1820" i="17"/>
  <c r="I850" i="16"/>
  <c r="B636" i="16"/>
  <c r="B637" i="16"/>
  <c r="D679" i="16"/>
  <c r="Q679" i="16"/>
  <c r="D713" i="16"/>
  <c r="Q713" i="16"/>
  <c r="D715" i="16"/>
  <c r="Q715" i="16"/>
  <c r="D717" i="16"/>
  <c r="Q717" i="16"/>
  <c r="D719" i="16"/>
  <c r="Q719" i="16"/>
  <c r="D721" i="16"/>
  <c r="Q721" i="16"/>
  <c r="D723" i="16"/>
  <c r="Q723" i="16"/>
  <c r="D725" i="16"/>
  <c r="Q725" i="16"/>
  <c r="D727" i="16"/>
  <c r="Q727" i="16"/>
  <c r="D729" i="16"/>
  <c r="Q729" i="16"/>
  <c r="D731" i="16"/>
  <c r="Q731" i="16"/>
  <c r="D733" i="16"/>
  <c r="Q733" i="16"/>
  <c r="B744" i="16"/>
  <c r="B745" i="16"/>
  <c r="B746" i="16"/>
  <c r="B747" i="16"/>
  <c r="B748" i="16"/>
  <c r="B749" i="16"/>
  <c r="B750" i="16"/>
  <c r="B751" i="16"/>
  <c r="M751" i="16"/>
  <c r="B752" i="16"/>
  <c r="B753" i="16"/>
  <c r="M753" i="16"/>
  <c r="B754" i="16"/>
  <c r="B755" i="16"/>
  <c r="M755" i="16"/>
  <c r="B756" i="16"/>
  <c r="B757" i="16"/>
  <c r="B758" i="16"/>
  <c r="B759" i="16"/>
  <c r="I760" i="16"/>
  <c r="I764" i="16"/>
  <c r="D775" i="16"/>
  <c r="Q775" i="16"/>
  <c r="C1650" i="17"/>
  <c r="B774" i="16"/>
  <c r="B775" i="16"/>
  <c r="J1650" i="17"/>
  <c r="B1652" i="17"/>
  <c r="D779" i="16"/>
  <c r="Q779" i="16"/>
  <c r="B1684" i="17"/>
  <c r="D787" i="16"/>
  <c r="Q787" i="16"/>
  <c r="F794" i="16"/>
  <c r="C1720" i="17"/>
  <c r="B810" i="16"/>
  <c r="B811" i="16"/>
  <c r="J1720" i="17"/>
  <c r="I810" i="16"/>
  <c r="S815" i="16"/>
  <c r="C1722" i="17"/>
  <c r="B814" i="16"/>
  <c r="B815" i="16"/>
  <c r="C1752" i="17"/>
  <c r="B818" i="16"/>
  <c r="B819" i="16"/>
  <c r="J1752" i="17"/>
  <c r="I818" i="16"/>
  <c r="H822" i="16"/>
  <c r="C1754" i="17"/>
  <c r="B822" i="16"/>
  <c r="B823" i="16"/>
  <c r="C1756" i="17"/>
  <c r="B826" i="16"/>
  <c r="B827" i="16"/>
  <c r="D841" i="16"/>
  <c r="Q841" i="16"/>
  <c r="D843" i="16"/>
  <c r="Q843" i="16"/>
  <c r="D845" i="16"/>
  <c r="Q845" i="16"/>
  <c r="D847" i="16"/>
  <c r="Q847" i="16"/>
  <c r="D849" i="16"/>
  <c r="Q849" i="16"/>
  <c r="F858" i="16"/>
  <c r="H1854" i="17"/>
  <c r="K1854" i="17" s="1"/>
  <c r="G870" i="16"/>
  <c r="I902" i="16"/>
  <c r="J1924" i="17"/>
  <c r="J1926" i="17"/>
  <c r="I910" i="16"/>
  <c r="I1956" i="17"/>
  <c r="H914" i="16"/>
  <c r="H920" i="16"/>
  <c r="H1993" i="17"/>
  <c r="K1993" i="17" s="1"/>
  <c r="G940" i="16"/>
  <c r="S941" i="16"/>
  <c r="I946" i="16"/>
  <c r="H2029" i="17"/>
  <c r="K2029" i="17" s="1"/>
  <c r="G956" i="16"/>
  <c r="S957" i="16"/>
  <c r="D681" i="16"/>
  <c r="Q681" i="16"/>
  <c r="D683" i="16"/>
  <c r="Q683" i="16"/>
  <c r="D685" i="16"/>
  <c r="Q685" i="16"/>
  <c r="D687" i="16"/>
  <c r="Q687" i="16"/>
  <c r="D689" i="16"/>
  <c r="Q689" i="16"/>
  <c r="D691" i="16"/>
  <c r="Q691" i="16"/>
  <c r="D693" i="16"/>
  <c r="Q693" i="16"/>
  <c r="D695" i="16"/>
  <c r="Q695" i="16"/>
  <c r="D697" i="16"/>
  <c r="Q697" i="16"/>
  <c r="D699" i="16"/>
  <c r="Q699" i="16"/>
  <c r="D701" i="16"/>
  <c r="Q701" i="16"/>
  <c r="B1653" i="17"/>
  <c r="D781" i="16"/>
  <c r="Q781" i="16"/>
  <c r="B1685" i="17"/>
  <c r="D789" i="16"/>
  <c r="Q789" i="16"/>
  <c r="C1689" i="17"/>
  <c r="B796" i="16"/>
  <c r="B797" i="16"/>
  <c r="F1720" i="17"/>
  <c r="F810" i="16"/>
  <c r="F1752" i="17"/>
  <c r="F818" i="16"/>
  <c r="F1756" i="17"/>
  <c r="F826" i="16"/>
  <c r="H838" i="16"/>
  <c r="F1787" i="17"/>
  <c r="F840" i="16"/>
  <c r="F1788" i="17"/>
  <c r="F1790" i="17"/>
  <c r="F1791" i="17"/>
  <c r="F848" i="16"/>
  <c r="F1820" i="17"/>
  <c r="F850" i="16"/>
  <c r="H1824" i="17"/>
  <c r="K1824" i="17" s="1"/>
  <c r="G858" i="16"/>
  <c r="H1857" i="17"/>
  <c r="K1857" i="17" s="1"/>
  <c r="H1889" i="17"/>
  <c r="K1889" i="17" s="1"/>
  <c r="G884" i="16"/>
  <c r="S885" i="16"/>
  <c r="S893" i="16"/>
  <c r="I1957" i="17"/>
  <c r="J1994" i="17"/>
  <c r="H2027" i="17"/>
  <c r="K2027" i="17" s="1"/>
  <c r="M953" i="16"/>
  <c r="L659" i="16"/>
  <c r="G762" i="16"/>
  <c r="H1621" i="17"/>
  <c r="K1621" i="17" s="1"/>
  <c r="G764" i="16"/>
  <c r="B1654" i="17"/>
  <c r="D783" i="16"/>
  <c r="Q783" i="16"/>
  <c r="B1686" i="17"/>
  <c r="D791" i="16"/>
  <c r="Q791" i="16"/>
  <c r="H1688" i="17"/>
  <c r="K1688" i="17" s="1"/>
  <c r="C1688" i="17"/>
  <c r="B794" i="16"/>
  <c r="B795" i="16"/>
  <c r="J1688" i="17"/>
  <c r="I794" i="16"/>
  <c r="C1719" i="17"/>
  <c r="B808" i="16"/>
  <c r="B809" i="16"/>
  <c r="C1721" i="17"/>
  <c r="B812" i="16"/>
  <c r="B813" i="16"/>
  <c r="H1723" i="17"/>
  <c r="K1723" i="17" s="1"/>
  <c r="S817" i="16"/>
  <c r="C1723" i="17"/>
  <c r="B816" i="16"/>
  <c r="B817" i="16"/>
  <c r="H1753" i="17"/>
  <c r="K1753" i="17" s="1"/>
  <c r="S821" i="16"/>
  <c r="C1753" i="17"/>
  <c r="B820" i="16"/>
  <c r="B821" i="16"/>
  <c r="H1755" i="17"/>
  <c r="K1755" i="17" s="1"/>
  <c r="S825" i="16"/>
  <c r="C1755" i="17"/>
  <c r="B824" i="16"/>
  <c r="B825" i="16"/>
  <c r="H1757" i="17"/>
  <c r="K1757" i="17" s="1"/>
  <c r="S829" i="16"/>
  <c r="C1757" i="17"/>
  <c r="B828" i="16"/>
  <c r="B829" i="16"/>
  <c r="B1786" i="17"/>
  <c r="D839" i="16"/>
  <c r="Q839" i="16"/>
  <c r="S843" i="16"/>
  <c r="H1789" i="17"/>
  <c r="K1789" i="17" s="1"/>
  <c r="G844" i="16"/>
  <c r="S845" i="16"/>
  <c r="F852" i="16"/>
  <c r="H1856" i="17"/>
  <c r="K1856" i="17" s="1"/>
  <c r="G890" i="16"/>
  <c r="I904" i="16"/>
  <c r="I908" i="16"/>
  <c r="I912" i="16"/>
  <c r="F1960" i="17"/>
  <c r="F922" i="16"/>
  <c r="G1991" i="17"/>
  <c r="J936" i="16"/>
  <c r="S949" i="16"/>
  <c r="I954" i="16"/>
  <c r="L861" i="16"/>
  <c r="C1958" i="17"/>
  <c r="B918" i="16"/>
  <c r="B919" i="16"/>
  <c r="C1960" i="17"/>
  <c r="B922" i="16"/>
  <c r="B923" i="16"/>
  <c r="J1960" i="17"/>
  <c r="C2060" i="17"/>
  <c r="B970" i="16"/>
  <c r="B971" i="16"/>
  <c r="J2060" i="17"/>
  <c r="I970" i="16"/>
  <c r="C2092" i="17"/>
  <c r="B978" i="16"/>
  <c r="B979" i="16"/>
  <c r="J2092" i="17"/>
  <c r="I978" i="16"/>
  <c r="H2096" i="17"/>
  <c r="K2096" i="17" s="1"/>
  <c r="C2096" i="17"/>
  <c r="B986" i="16"/>
  <c r="B987" i="16"/>
  <c r="J2096" i="17"/>
  <c r="I986" i="16"/>
  <c r="E989" i="16"/>
  <c r="AE989" i="16"/>
  <c r="E2097" i="17"/>
  <c r="AE903" i="16"/>
  <c r="E1922" i="17"/>
  <c r="AE905" i="16"/>
  <c r="E1923" i="17"/>
  <c r="AE907" i="16"/>
  <c r="E1924" i="17"/>
  <c r="AE909" i="16"/>
  <c r="E1925" i="17"/>
  <c r="AE911" i="16"/>
  <c r="E1926" i="17"/>
  <c r="AE913" i="16"/>
  <c r="E1927" i="17"/>
  <c r="S917" i="16"/>
  <c r="S925" i="16"/>
  <c r="H1990" i="17"/>
  <c r="K1990" i="17" s="1"/>
  <c r="B1992" i="17"/>
  <c r="D939" i="16"/>
  <c r="Q939" i="16"/>
  <c r="I940" i="16"/>
  <c r="G942" i="16"/>
  <c r="B1994" i="17"/>
  <c r="D943" i="16"/>
  <c r="Q943" i="16"/>
  <c r="I944" i="16"/>
  <c r="G946" i="16"/>
  <c r="B2024" i="17"/>
  <c r="D947" i="16"/>
  <c r="Q947" i="16"/>
  <c r="B2026" i="17"/>
  <c r="D951" i="16"/>
  <c r="Q951" i="16"/>
  <c r="I952" i="16"/>
  <c r="M955" i="16"/>
  <c r="B2028" i="17"/>
  <c r="D955" i="16"/>
  <c r="Q955" i="16"/>
  <c r="I956" i="16"/>
  <c r="G2058" i="17"/>
  <c r="J966" i="16"/>
  <c r="E992" i="16"/>
  <c r="M973" i="16"/>
  <c r="C2061" i="17"/>
  <c r="B972" i="16"/>
  <c r="B973" i="16"/>
  <c r="J2061" i="17"/>
  <c r="I972" i="16"/>
  <c r="AE973" i="16"/>
  <c r="E2061" i="17"/>
  <c r="H2093" i="17"/>
  <c r="K2093" i="17" s="1"/>
  <c r="M981" i="16"/>
  <c r="C2093" i="17"/>
  <c r="B980" i="16"/>
  <c r="B981" i="16"/>
  <c r="J2093" i="17"/>
  <c r="I980" i="16"/>
  <c r="AE981" i="16"/>
  <c r="E2093" i="17"/>
  <c r="H2097" i="17"/>
  <c r="K2097" i="17" s="1"/>
  <c r="C2097" i="17"/>
  <c r="B988" i="16"/>
  <c r="B989" i="16"/>
  <c r="J2097" i="17"/>
  <c r="I988" i="16"/>
  <c r="L783" i="16"/>
  <c r="D793" i="16"/>
  <c r="Q793" i="16"/>
  <c r="D795" i="16"/>
  <c r="Q795" i="16"/>
  <c r="D797" i="16"/>
  <c r="Q797" i="16"/>
  <c r="D871" i="16"/>
  <c r="Q871" i="16"/>
  <c r="B902" i="16"/>
  <c r="B903" i="16"/>
  <c r="D905" i="16"/>
  <c r="Q905" i="16"/>
  <c r="D907" i="16"/>
  <c r="Q907" i="16"/>
  <c r="L907" i="16"/>
  <c r="D909" i="16"/>
  <c r="Q909" i="16"/>
  <c r="D911" i="16"/>
  <c r="Q911" i="16"/>
  <c r="D913" i="16"/>
  <c r="Q913" i="16"/>
  <c r="C1957" i="17"/>
  <c r="B916" i="16"/>
  <c r="B917" i="16"/>
  <c r="I916" i="16"/>
  <c r="AE917" i="16"/>
  <c r="E1957" i="17"/>
  <c r="F920" i="16"/>
  <c r="C1959" i="17"/>
  <c r="B920" i="16"/>
  <c r="B921" i="16"/>
  <c r="I920" i="16"/>
  <c r="AE921" i="16"/>
  <c r="E1959" i="17"/>
  <c r="F924" i="16"/>
  <c r="C1961" i="17"/>
  <c r="B924" i="16"/>
  <c r="B925" i="16"/>
  <c r="J1961" i="17"/>
  <c r="AE925" i="16"/>
  <c r="E1961" i="17"/>
  <c r="F936" i="16"/>
  <c r="S943" i="16"/>
  <c r="F944" i="16"/>
  <c r="S947" i="16"/>
  <c r="F948" i="16"/>
  <c r="H2058" i="17"/>
  <c r="K2058" i="17" s="1"/>
  <c r="S967" i="16"/>
  <c r="AE967" i="16"/>
  <c r="E2058" i="17"/>
  <c r="E2067" i="17"/>
  <c r="F972" i="16"/>
  <c r="J974" i="16"/>
  <c r="C2062" i="17"/>
  <c r="B974" i="16"/>
  <c r="B975" i="16"/>
  <c r="AE975" i="16"/>
  <c r="E2062" i="17"/>
  <c r="F980" i="16"/>
  <c r="J982" i="16"/>
  <c r="C2094" i="17"/>
  <c r="B982" i="16"/>
  <c r="B983" i="16"/>
  <c r="AE983" i="16"/>
  <c r="E2094" i="17"/>
  <c r="E2101" i="17"/>
  <c r="G986" i="16"/>
  <c r="F988" i="16"/>
  <c r="D873" i="16"/>
  <c r="Q873" i="16"/>
  <c r="D875" i="16"/>
  <c r="Q875" i="16"/>
  <c r="L875" i="16"/>
  <c r="D877" i="16"/>
  <c r="Q877" i="16"/>
  <c r="D879" i="16"/>
  <c r="Q879" i="16"/>
  <c r="D881" i="16"/>
  <c r="Q881" i="16"/>
  <c r="D883" i="16"/>
  <c r="Q883" i="16"/>
  <c r="D885" i="16"/>
  <c r="Q885" i="16"/>
  <c r="D887" i="16"/>
  <c r="Q887" i="16"/>
  <c r="D889" i="16"/>
  <c r="Q889" i="16"/>
  <c r="D891" i="16"/>
  <c r="Q891" i="16"/>
  <c r="L891" i="16"/>
  <c r="D893" i="16"/>
  <c r="Q893" i="16"/>
  <c r="S903" i="16"/>
  <c r="B904" i="16"/>
  <c r="B905" i="16"/>
  <c r="B906" i="16"/>
  <c r="B907" i="16"/>
  <c r="B908" i="16"/>
  <c r="B909" i="16"/>
  <c r="M909" i="16"/>
  <c r="B910" i="16"/>
  <c r="B911" i="16"/>
  <c r="B912" i="16"/>
  <c r="B913" i="16"/>
  <c r="B914" i="16"/>
  <c r="B915" i="16"/>
  <c r="G916" i="16"/>
  <c r="H1958" i="17"/>
  <c r="K1958" i="17" s="1"/>
  <c r="S919" i="16"/>
  <c r="G920" i="16"/>
  <c r="G934" i="16"/>
  <c r="D935" i="16"/>
  <c r="Q935" i="16"/>
  <c r="C1990" i="17"/>
  <c r="B934" i="16"/>
  <c r="B935" i="16"/>
  <c r="E1999" i="17"/>
  <c r="B1991" i="17"/>
  <c r="D937" i="16"/>
  <c r="Q937" i="16"/>
  <c r="B1993" i="17"/>
  <c r="D941" i="16"/>
  <c r="Q941" i="16"/>
  <c r="B1995" i="17"/>
  <c r="D945" i="16"/>
  <c r="Q945" i="16"/>
  <c r="E2033" i="17"/>
  <c r="B2025" i="17"/>
  <c r="D949" i="16"/>
  <c r="Q949" i="16"/>
  <c r="B2027" i="17"/>
  <c r="D953" i="16"/>
  <c r="Q953" i="16"/>
  <c r="B2029" i="17"/>
  <c r="D957" i="16"/>
  <c r="Q957" i="16"/>
  <c r="J968" i="16"/>
  <c r="H2059" i="17"/>
  <c r="K2059" i="17" s="1"/>
  <c r="C2059" i="17"/>
  <c r="B968" i="16"/>
  <c r="B969" i="16"/>
  <c r="J2059" i="17"/>
  <c r="I968" i="16"/>
  <c r="S971" i="16"/>
  <c r="G972" i="16"/>
  <c r="H2063" i="17"/>
  <c r="K2063" i="17" s="1"/>
  <c r="M977" i="16"/>
  <c r="C2063" i="17"/>
  <c r="B976" i="16"/>
  <c r="B977" i="16"/>
  <c r="J2063" i="17"/>
  <c r="I976" i="16"/>
  <c r="S979" i="16"/>
  <c r="G980" i="16"/>
  <c r="H2095" i="17"/>
  <c r="K2095" i="17" s="1"/>
  <c r="M985" i="16"/>
  <c r="C2095" i="17"/>
  <c r="B984" i="16"/>
  <c r="B985" i="16"/>
  <c r="J2095" i="17"/>
  <c r="I984" i="16"/>
  <c r="S987" i="16"/>
  <c r="G988" i="16"/>
  <c r="L949" i="16"/>
  <c r="C18" i="18"/>
  <c r="D17" i="18"/>
  <c r="G25" i="8"/>
  <c r="AL377" i="3"/>
  <c r="AK359" i="3"/>
  <c r="AK323" i="3"/>
  <c r="AL269" i="3"/>
  <c r="AN251" i="3"/>
  <c r="AL233" i="3"/>
  <c r="AL215" i="3"/>
  <c r="AL179" i="3"/>
  <c r="AL107" i="3"/>
  <c r="AN431" i="3"/>
  <c r="AN413" i="3"/>
  <c r="AM359" i="3"/>
  <c r="AM251" i="3"/>
  <c r="AM179" i="3"/>
  <c r="AM143" i="3"/>
  <c r="AL305" i="3"/>
  <c r="AL287" i="3"/>
  <c r="AL251" i="3"/>
  <c r="AK143" i="3"/>
  <c r="AL125" i="3"/>
  <c r="AM377" i="3"/>
  <c r="AM107" i="3"/>
  <c r="AK395" i="3"/>
  <c r="AL323" i="3"/>
  <c r="AK431" i="3"/>
  <c r="AL413" i="3"/>
  <c r="AM323" i="3"/>
  <c r="AK287" i="3"/>
  <c r="AK251" i="3"/>
  <c r="AL197" i="3"/>
  <c r="AL143" i="3"/>
  <c r="AN269" i="3"/>
  <c r="AN233" i="3"/>
  <c r="AN197" i="3"/>
  <c r="AN161" i="3"/>
  <c r="N1182" i="8"/>
  <c r="N1180" i="8"/>
  <c r="E960" i="16"/>
  <c r="AN521" i="3"/>
  <c r="E1965" i="17"/>
  <c r="AD893" i="16"/>
  <c r="L882" i="6"/>
  <c r="N882" i="6"/>
  <c r="AD887" i="16"/>
  <c r="AD885" i="16"/>
  <c r="AD879" i="16"/>
  <c r="AD877" i="16"/>
  <c r="AE877" i="16"/>
  <c r="E1857" i="17"/>
  <c r="E877" i="16"/>
  <c r="AM503" i="3"/>
  <c r="AL503" i="3"/>
  <c r="AD871" i="16"/>
  <c r="AE885" i="16"/>
  <c r="E1889" i="17"/>
  <c r="E885" i="16"/>
  <c r="AE893" i="16"/>
  <c r="E1893" i="17"/>
  <c r="E893" i="16"/>
  <c r="AE879" i="16"/>
  <c r="E1858" i="17"/>
  <c r="E879" i="16"/>
  <c r="AE887" i="16"/>
  <c r="E1890" i="17"/>
  <c r="E887" i="16"/>
  <c r="AM485" i="3"/>
  <c r="AL485" i="3"/>
  <c r="AL467" i="3"/>
  <c r="L530" i="6"/>
  <c r="N594" i="6"/>
  <c r="N530" i="6"/>
  <c r="L754" i="6"/>
  <c r="M338" i="6"/>
  <c r="M306" i="6"/>
  <c r="N306" i="6"/>
  <c r="M786" i="6"/>
  <c r="M722" i="6"/>
  <c r="M658" i="6"/>
  <c r="L658" i="6"/>
  <c r="N242" i="6"/>
  <c r="M562" i="6"/>
  <c r="N562" i="6"/>
  <c r="M210" i="6"/>
  <c r="M626" i="6"/>
  <c r="N626" i="6"/>
  <c r="M370" i="6"/>
  <c r="N370" i="6"/>
  <c r="L178" i="6"/>
  <c r="K8" i="5"/>
  <c r="N658" i="6"/>
  <c r="N338" i="6"/>
  <c r="N274" i="6"/>
  <c r="N210" i="6"/>
  <c r="N434" i="6"/>
  <c r="M146" i="6"/>
  <c r="N498" i="6"/>
  <c r="K7" i="5"/>
  <c r="L146" i="6"/>
  <c r="L722" i="6"/>
  <c r="M754" i="6"/>
  <c r="M530" i="6"/>
  <c r="N466" i="6"/>
  <c r="N402" i="6"/>
  <c r="L818" i="6"/>
  <c r="M594" i="6"/>
  <c r="M402" i="6"/>
  <c r="M818" i="6"/>
  <c r="M466" i="6"/>
  <c r="M274" i="6"/>
  <c r="L47" i="6"/>
  <c r="U53" i="6" s="1"/>
  <c r="T53" i="6" s="1"/>
  <c r="AD775" i="16"/>
  <c r="AD39" i="16"/>
  <c r="AD861" i="16"/>
  <c r="AF839" i="16"/>
  <c r="AD761" i="16"/>
  <c r="AD749" i="16"/>
  <c r="AD729" i="16"/>
  <c r="AD701" i="16"/>
  <c r="T520" i="6"/>
  <c r="N1032" i="8"/>
  <c r="AD809" i="16"/>
  <c r="N861" i="8"/>
  <c r="AM269" i="3"/>
  <c r="T648" i="6"/>
  <c r="AD807" i="16"/>
  <c r="AD783" i="16"/>
  <c r="AD733" i="16"/>
  <c r="AD715" i="16"/>
  <c r="AD693" i="16"/>
  <c r="AM395" i="3"/>
  <c r="AN215" i="3"/>
  <c r="N350" i="8"/>
  <c r="N190" i="8"/>
  <c r="N870" i="8"/>
  <c r="AD681" i="16"/>
  <c r="AK161" i="3"/>
  <c r="E721" i="16"/>
  <c r="AE721" i="16"/>
  <c r="E1519" i="17"/>
  <c r="AD619" i="16"/>
  <c r="AD573" i="16"/>
  <c r="AD519" i="16"/>
  <c r="AD333" i="16"/>
  <c r="AD251" i="16"/>
  <c r="AD241" i="16"/>
  <c r="AD213" i="16"/>
  <c r="AD179" i="16"/>
  <c r="AD637" i="16"/>
  <c r="AD583" i="16"/>
  <c r="AD561" i="16"/>
  <c r="AD535" i="16"/>
  <c r="AD489" i="16"/>
  <c r="AD475" i="16"/>
  <c r="AD381" i="16"/>
  <c r="AD327" i="16"/>
  <c r="AF167" i="16"/>
  <c r="AD539" i="16"/>
  <c r="AD491" i="16"/>
  <c r="AD369" i="16"/>
  <c r="AD141" i="16"/>
  <c r="AD77" i="16"/>
  <c r="AE77" i="16" s="1"/>
  <c r="E157" i="17" s="1"/>
  <c r="AD61" i="16"/>
  <c r="AB10" i="3"/>
  <c r="AD19" i="16" s="1"/>
  <c r="AE763" i="16"/>
  <c r="E1620" i="17"/>
  <c r="E763" i="16"/>
  <c r="AD493" i="16"/>
  <c r="AD457" i="16"/>
  <c r="AD435" i="16"/>
  <c r="AD431" i="16"/>
  <c r="AD405" i="16"/>
  <c r="AD347" i="16"/>
  <c r="AD299" i="16"/>
  <c r="AD253" i="16"/>
  <c r="AD199" i="16"/>
  <c r="L6" i="6"/>
  <c r="P22" i="1"/>
  <c r="AK503" i="3"/>
  <c r="AK485" i="3"/>
  <c r="AM539" i="3"/>
  <c r="AL521" i="3"/>
  <c r="AD859" i="16"/>
  <c r="AD843" i="16"/>
  <c r="AD759" i="16"/>
  <c r="AD725" i="16"/>
  <c r="AD679" i="16"/>
  <c r="AK377" i="3"/>
  <c r="AM305" i="3"/>
  <c r="AM233" i="3"/>
  <c r="AM197" i="3"/>
  <c r="AM161" i="3"/>
  <c r="AM125" i="3"/>
  <c r="AD857" i="16"/>
  <c r="N950" i="8"/>
  <c r="N871" i="8"/>
  <c r="AL395" i="3"/>
  <c r="N750" i="8"/>
  <c r="AN179" i="3"/>
  <c r="AN143" i="3"/>
  <c r="AK539" i="3"/>
  <c r="AM521" i="3"/>
  <c r="AD849" i="16"/>
  <c r="AD823" i="16"/>
  <c r="AD813" i="16"/>
  <c r="AD793" i="16"/>
  <c r="AD787" i="16"/>
  <c r="AD743" i="16"/>
  <c r="N872" i="8"/>
  <c r="AK341" i="3"/>
  <c r="AK305" i="3"/>
  <c r="AK125" i="3"/>
  <c r="AD411" i="16"/>
  <c r="AD317" i="16"/>
  <c r="AD263" i="16"/>
  <c r="AD185" i="16"/>
  <c r="AD85" i="16"/>
  <c r="AE85" i="16" s="1"/>
  <c r="E189" i="17" s="1"/>
  <c r="AD51" i="16"/>
  <c r="E51" i="16" s="1"/>
  <c r="AD621" i="16"/>
  <c r="AD365" i="16"/>
  <c r="AD277" i="16"/>
  <c r="AD177" i="16"/>
  <c r="AD135" i="16"/>
  <c r="AD597" i="16"/>
  <c r="AD445" i="16"/>
  <c r="AD391" i="16"/>
  <c r="AD125" i="16"/>
  <c r="AB8" i="3"/>
  <c r="U8" i="4" s="1"/>
  <c r="AD505" i="16"/>
  <c r="AD237" i="16"/>
  <c r="S22" i="1"/>
  <c r="AB15" i="3"/>
  <c r="U15" i="4" s="1"/>
  <c r="L45" i="6"/>
  <c r="S24" i="1"/>
  <c r="E1931" i="17"/>
  <c r="T776" i="6"/>
  <c r="T744" i="6"/>
  <c r="AL539" i="3"/>
  <c r="AK521" i="3"/>
  <c r="AD723" i="16"/>
  <c r="AD797" i="16"/>
  <c r="AF775" i="16"/>
  <c r="AD757" i="16"/>
  <c r="AM431" i="3"/>
  <c r="AD695" i="16"/>
  <c r="AM341" i="3"/>
  <c r="T808" i="6"/>
  <c r="N952" i="8"/>
  <c r="AD699" i="16"/>
  <c r="AD649" i="16"/>
  <c r="AN359" i="3"/>
  <c r="N670" i="8"/>
  <c r="N590" i="8"/>
  <c r="AL161" i="3"/>
  <c r="N110" i="8"/>
  <c r="N1021" i="8"/>
  <c r="AK467" i="3"/>
  <c r="AD719" i="16"/>
  <c r="AK269" i="3"/>
  <c r="AK233" i="3"/>
  <c r="AK197" i="3"/>
  <c r="AD569" i="16"/>
  <c r="AD469" i="16"/>
  <c r="AD647" i="16"/>
  <c r="AD633" i="16"/>
  <c r="AD533" i="16"/>
  <c r="AD377" i="16"/>
  <c r="AD71" i="16"/>
  <c r="AF39" i="16"/>
  <c r="AE39" i="16" s="1"/>
  <c r="E86" i="17" s="1"/>
  <c r="AD283" i="16"/>
  <c r="AD189" i="16"/>
  <c r="O16" i="3"/>
  <c r="AE785" i="16"/>
  <c r="E1655" i="17"/>
  <c r="E785" i="16"/>
  <c r="AD433" i="16"/>
  <c r="AD249" i="16"/>
  <c r="AD155" i="16"/>
  <c r="AD91" i="16"/>
  <c r="AE91" i="16" s="1"/>
  <c r="E192" i="17" s="1"/>
  <c r="L39" i="6"/>
  <c r="D18" i="18"/>
  <c r="C19" i="18"/>
  <c r="T488" i="6"/>
  <c r="T840" i="6"/>
  <c r="AK557" i="3"/>
  <c r="AD817" i="16"/>
  <c r="AM467" i="3"/>
  <c r="N941" i="8"/>
  <c r="N1030" i="8"/>
  <c r="AD779" i="16"/>
  <c r="N951" i="8"/>
  <c r="AL431" i="3"/>
  <c r="AD651" i="16"/>
  <c r="AF711" i="16"/>
  <c r="AN377" i="3"/>
  <c r="AL341" i="3"/>
  <c r="AN323" i="3"/>
  <c r="AN287" i="3"/>
  <c r="N510" i="8"/>
  <c r="N430" i="8"/>
  <c r="N270" i="8"/>
  <c r="AN107" i="3"/>
  <c r="AE657" i="16"/>
  <c r="E1383" i="17"/>
  <c r="E657" i="16"/>
  <c r="AD497" i="16"/>
  <c r="AD313" i="16"/>
  <c r="AD171" i="16"/>
  <c r="AD149" i="16"/>
  <c r="AD73" i="16"/>
  <c r="AD57" i="16"/>
  <c r="AD43" i="16"/>
  <c r="AE43" i="16" s="1"/>
  <c r="E88" i="17" s="1"/>
  <c r="AD305" i="16"/>
  <c r="AD233" i="16"/>
  <c r="AD219" i="16"/>
  <c r="AD175" i="16"/>
  <c r="AD49" i="16"/>
  <c r="AD625" i="16"/>
  <c r="AD441" i="16"/>
  <c r="AD341" i="16"/>
  <c r="AD617" i="16"/>
  <c r="AD603" i="16"/>
  <c r="AD509" i="16"/>
  <c r="AD455" i="16"/>
  <c r="AD361" i="16"/>
  <c r="L8" i="6"/>
  <c r="P24" i="1"/>
  <c r="K882" i="6"/>
  <c r="AD891" i="16"/>
  <c r="AD889" i="16"/>
  <c r="AD883" i="16"/>
  <c r="AD881" i="16"/>
  <c r="AD875" i="16"/>
  <c r="AD873" i="16"/>
  <c r="E871" i="16"/>
  <c r="AE871" i="16"/>
  <c r="E1854" i="17"/>
  <c r="L870" i="6"/>
  <c r="AD827" i="16"/>
  <c r="AD821" i="16"/>
  <c r="K146" i="6"/>
  <c r="K530" i="6"/>
  <c r="K338" i="6"/>
  <c r="K786" i="6"/>
  <c r="L690" i="6"/>
  <c r="N722" i="6"/>
  <c r="L626" i="6"/>
  <c r="L594" i="6"/>
  <c r="K658" i="6"/>
  <c r="N690" i="6"/>
  <c r="N786" i="6"/>
  <c r="M850" i="6"/>
  <c r="L466" i="6"/>
  <c r="N754" i="6"/>
  <c r="L562" i="6"/>
  <c r="L338" i="6"/>
  <c r="L370" i="6"/>
  <c r="N818" i="6"/>
  <c r="N850" i="6"/>
  <c r="K466" i="6"/>
  <c r="L210" i="6"/>
  <c r="K9" i="5"/>
  <c r="L402" i="6"/>
  <c r="L498" i="6"/>
  <c r="N146" i="6"/>
  <c r="L850" i="6"/>
  <c r="L306" i="6"/>
  <c r="L786" i="6"/>
  <c r="L274" i="6"/>
  <c r="L434" i="6"/>
  <c r="K10" i="5"/>
  <c r="L242" i="6"/>
  <c r="N178" i="6"/>
  <c r="AD181" i="16"/>
  <c r="L40" i="6"/>
  <c r="AE455" i="16"/>
  <c r="E970" i="17"/>
  <c r="E455" i="16"/>
  <c r="AD555" i="16"/>
  <c r="AD143" i="16"/>
  <c r="E143" i="16" s="1"/>
  <c r="AD635" i="16"/>
  <c r="E175" i="16"/>
  <c r="AE175" i="16"/>
  <c r="E362" i="17"/>
  <c r="E149" i="16"/>
  <c r="AE149" i="16"/>
  <c r="E325" i="17" s="1"/>
  <c r="AD207" i="16"/>
  <c r="AD375" i="16"/>
  <c r="AE497" i="16"/>
  <c r="E1043" i="17"/>
  <c r="E497" i="16"/>
  <c r="AD685" i="16"/>
  <c r="AD795" i="16"/>
  <c r="AD847" i="16"/>
  <c r="AD123" i="16"/>
  <c r="E155" i="16"/>
  <c r="AE155" i="16"/>
  <c r="E328" i="17"/>
  <c r="AE249" i="16"/>
  <c r="E531" i="17"/>
  <c r="E249" i="16"/>
  <c r="AD399" i="16"/>
  <c r="AD443" i="16"/>
  <c r="AD147" i="16"/>
  <c r="AD267" i="16"/>
  <c r="AD367" i="16"/>
  <c r="AD503" i="16"/>
  <c r="E71" i="16"/>
  <c r="AE71" i="16"/>
  <c r="E154" i="17" s="1"/>
  <c r="E163" i="17" s="1"/>
  <c r="AD397" i="16"/>
  <c r="AD215" i="16"/>
  <c r="AD265" i="16"/>
  <c r="AE649" i="16"/>
  <c r="E1379" i="17"/>
  <c r="E649" i="16"/>
  <c r="AD745" i="16"/>
  <c r="AD811" i="16"/>
  <c r="AD423" i="16"/>
  <c r="AD629" i="16"/>
  <c r="L77" i="6"/>
  <c r="AD201" i="16"/>
  <c r="AD567" i="16"/>
  <c r="AE445" i="16"/>
  <c r="E941" i="17"/>
  <c r="E445" i="16"/>
  <c r="E597" i="16"/>
  <c r="AE597" i="16"/>
  <c r="E1277" i="17"/>
  <c r="AD747" i="16"/>
  <c r="AD153" i="16"/>
  <c r="AE153" i="16" s="1"/>
  <c r="AD217" i="16"/>
  <c r="AD303" i="16"/>
  <c r="E263" i="16"/>
  <c r="AE263" i="16"/>
  <c r="E562" i="17"/>
  <c r="AD363" i="16"/>
  <c r="AD463" i="16"/>
  <c r="AD605" i="16"/>
  <c r="AD731" i="16"/>
  <c r="AD839" i="16"/>
  <c r="AD231" i="16"/>
  <c r="AD401" i="16"/>
  <c r="AD465" i="16"/>
  <c r="AE859" i="16"/>
  <c r="E1824" i="17"/>
  <c r="E859" i="16"/>
  <c r="L38" i="6"/>
  <c r="AE199" i="16"/>
  <c r="E426" i="17"/>
  <c r="E199" i="16"/>
  <c r="AE347" i="16"/>
  <c r="E736" i="17"/>
  <c r="E347" i="16"/>
  <c r="AE493" i="16"/>
  <c r="E1041" i="17"/>
  <c r="E493" i="16"/>
  <c r="E141" i="16"/>
  <c r="AE141" i="16"/>
  <c r="E293" i="17"/>
  <c r="AD403" i="16"/>
  <c r="AD841" i="16"/>
  <c r="AD459" i="16"/>
  <c r="AE489" i="16"/>
  <c r="E1039" i="17"/>
  <c r="E489" i="16"/>
  <c r="AE333" i="16"/>
  <c r="E701" i="17"/>
  <c r="E333" i="16"/>
  <c r="AD653" i="16"/>
  <c r="E715" i="16"/>
  <c r="AE715" i="16"/>
  <c r="E1516" i="17"/>
  <c r="E807" i="16"/>
  <c r="AE807" i="16"/>
  <c r="E1718" i="17"/>
  <c r="AD245" i="16"/>
  <c r="AD373" i="16"/>
  <c r="E729" i="16"/>
  <c r="AE729" i="16"/>
  <c r="E1551" i="17"/>
  <c r="AE761" i="16"/>
  <c r="E1619" i="17"/>
  <c r="E761" i="16"/>
  <c r="AE861" i="16"/>
  <c r="E1825" i="17"/>
  <c r="E861" i="16"/>
  <c r="E39" i="16"/>
  <c r="E361" i="16"/>
  <c r="AE361" i="16"/>
  <c r="E767" i="17"/>
  <c r="AD587" i="16"/>
  <c r="E617" i="16"/>
  <c r="AE617" i="16"/>
  <c r="E1311" i="17"/>
  <c r="AD221" i="16"/>
  <c r="AD599" i="16"/>
  <c r="AD755" i="16"/>
  <c r="AD203" i="16"/>
  <c r="AE233" i="16"/>
  <c r="E495" i="17"/>
  <c r="E233" i="16"/>
  <c r="E305" i="16"/>
  <c r="AE305" i="16"/>
  <c r="E635" i="17"/>
  <c r="AD595" i="16"/>
  <c r="AE73" i="16"/>
  <c r="E155" i="17" s="1"/>
  <c r="E73" i="16"/>
  <c r="AD157" i="16"/>
  <c r="AD409" i="16"/>
  <c r="AD507" i="16"/>
  <c r="AD711" i="16"/>
  <c r="AD753" i="16"/>
  <c r="AD615" i="16"/>
  <c r="L71" i="6"/>
  <c r="L48" i="6"/>
  <c r="AD173" i="16"/>
  <c r="AD269" i="16"/>
  <c r="AD407" i="16"/>
  <c r="AD467" i="16"/>
  <c r="AD41" i="16"/>
  <c r="AD371" i="16"/>
  <c r="AD537" i="16"/>
  <c r="AD89" i="16"/>
  <c r="AD439" i="16"/>
  <c r="AE533" i="16"/>
  <c r="E1141" i="17"/>
  <c r="E533" i="16"/>
  <c r="E647" i="16"/>
  <c r="AE647" i="16"/>
  <c r="E1378" i="17"/>
  <c r="AD239" i="16"/>
  <c r="AD349" i="16"/>
  <c r="AD765" i="16"/>
  <c r="AD655" i="16"/>
  <c r="AD853" i="16"/>
  <c r="AD529" i="16"/>
  <c r="AD593" i="16"/>
  <c r="AD601" i="16"/>
  <c r="AE125" i="16"/>
  <c r="E261" i="17"/>
  <c r="E125" i="16"/>
  <c r="AD297" i="16"/>
  <c r="AE391" i="16"/>
  <c r="E834" i="17"/>
  <c r="E391" i="16"/>
  <c r="AD477" i="16"/>
  <c r="AD623" i="16"/>
  <c r="AD815" i="16"/>
  <c r="AD47" i="16"/>
  <c r="AD307" i="16"/>
  <c r="AE365" i="16"/>
  <c r="E769" i="17"/>
  <c r="E365" i="16"/>
  <c r="E621" i="16"/>
  <c r="AE621" i="16"/>
  <c r="E1313" i="17"/>
  <c r="E185" i="16"/>
  <c r="AE185" i="16"/>
  <c r="E395" i="17"/>
  <c r="AD301" i="16"/>
  <c r="AD395" i="16"/>
  <c r="AD495" i="16"/>
  <c r="AE743" i="16"/>
  <c r="E1582" i="17"/>
  <c r="E743" i="16"/>
  <c r="E793" i="16"/>
  <c r="AE793" i="16"/>
  <c r="E1687" i="17"/>
  <c r="E823" i="16"/>
  <c r="AE823" i="16"/>
  <c r="E1754" i="17"/>
  <c r="AD819" i="16"/>
  <c r="E725" i="16"/>
  <c r="AE725" i="16"/>
  <c r="E1549" i="17"/>
  <c r="V22" i="1"/>
  <c r="R22" i="1"/>
  <c r="E299" i="16"/>
  <c r="AE299" i="16"/>
  <c r="E632" i="17"/>
  <c r="AE431" i="16"/>
  <c r="E906" i="17"/>
  <c r="E431" i="16"/>
  <c r="AD169" i="16"/>
  <c r="AE539" i="16"/>
  <c r="E1144" i="17"/>
  <c r="E539" i="16"/>
  <c r="AE381" i="16"/>
  <c r="E805" i="17"/>
  <c r="E381" i="16"/>
  <c r="AD527" i="16"/>
  <c r="E561" i="16"/>
  <c r="AE561" i="16"/>
  <c r="E1179" i="17"/>
  <c r="AE583" i="16"/>
  <c r="E1242" i="17"/>
  <c r="E583" i="16"/>
  <c r="AE213" i="16"/>
  <c r="E461" i="17"/>
  <c r="E213" i="16"/>
  <c r="AE251" i="16"/>
  <c r="E532" i="17"/>
  <c r="E251" i="16"/>
  <c r="E573" i="16"/>
  <c r="AE573" i="16"/>
  <c r="E1213" i="17"/>
  <c r="E681" i="16"/>
  <c r="AE681" i="16"/>
  <c r="E1447" i="17"/>
  <c r="AD727" i="16"/>
  <c r="AE783" i="16"/>
  <c r="E1654" i="17"/>
  <c r="E783" i="16"/>
  <c r="AD829" i="16"/>
  <c r="AD75" i="16"/>
  <c r="AD209" i="16"/>
  <c r="AD273" i="16"/>
  <c r="AD337" i="16"/>
  <c r="AD211" i="16"/>
  <c r="AE509" i="16"/>
  <c r="E1077" i="17"/>
  <c r="E509" i="16"/>
  <c r="AD781" i="16"/>
  <c r="E441" i="16"/>
  <c r="AE441" i="16"/>
  <c r="E939" i="17"/>
  <c r="AE49" i="16"/>
  <c r="E91" i="17" s="1"/>
  <c r="E49" i="16"/>
  <c r="AD271" i="16"/>
  <c r="AD315" i="16"/>
  <c r="AD137" i="16"/>
  <c r="AD425" i="16"/>
  <c r="AD531" i="16"/>
  <c r="AD717" i="16"/>
  <c r="AD551" i="16"/>
  <c r="C20" i="18"/>
  <c r="D20" i="18"/>
  <c r="D19" i="18"/>
  <c r="AD167" i="16"/>
  <c r="AD151" i="16"/>
  <c r="E151" i="16" s="1"/>
  <c r="AD311" i="16"/>
  <c r="E189" i="16"/>
  <c r="AE189" i="16"/>
  <c r="E397" i="17"/>
  <c r="E283" i="16"/>
  <c r="AE283" i="16"/>
  <c r="E600" i="17"/>
  <c r="AD553" i="16"/>
  <c r="AD473" i="16"/>
  <c r="AD559" i="16"/>
  <c r="E633" i="16"/>
  <c r="AE633" i="16"/>
  <c r="E1347" i="17"/>
  <c r="AD691" i="16"/>
  <c r="AD139" i="16"/>
  <c r="AD243" i="16"/>
  <c r="E569" i="16"/>
  <c r="AE569" i="16"/>
  <c r="E1211" i="17"/>
  <c r="AD789" i="16"/>
  <c r="AD53" i="16"/>
  <c r="AD81" i="16"/>
  <c r="AE237" i="16"/>
  <c r="E497" i="17"/>
  <c r="E237" i="16"/>
  <c r="AE505" i="16"/>
  <c r="E1075" i="17"/>
  <c r="E505" i="16"/>
  <c r="AD183" i="16"/>
  <c r="AD343" i="16"/>
  <c r="AD429" i="16"/>
  <c r="AD627" i="16"/>
  <c r="E177" i="16"/>
  <c r="AE177" i="16"/>
  <c r="E363" i="17"/>
  <c r="AD499" i="16"/>
  <c r="AD689" i="16"/>
  <c r="AD359" i="16"/>
  <c r="AD437" i="16"/>
  <c r="AE843" i="16"/>
  <c r="E1788" i="17"/>
  <c r="E843" i="16"/>
  <c r="AE253" i="16"/>
  <c r="E533" i="17"/>
  <c r="E253" i="16"/>
  <c r="AD331" i="16"/>
  <c r="E457" i="16"/>
  <c r="AE457" i="16"/>
  <c r="E971" i="17"/>
  <c r="AE61" i="16"/>
  <c r="E125" i="17"/>
  <c r="E61" i="16"/>
  <c r="AD247" i="16"/>
  <c r="E369" i="16"/>
  <c r="AE369" i="16"/>
  <c r="E771" i="17"/>
  <c r="AE491" i="16"/>
  <c r="E1040" i="17"/>
  <c r="E491" i="16"/>
  <c r="AD591" i="16"/>
  <c r="AD413" i="16"/>
  <c r="E475" i="16"/>
  <c r="AE475" i="16"/>
  <c r="E1008" i="17"/>
  <c r="AD571" i="16"/>
  <c r="AD275" i="16"/>
  <c r="AE519" i="16"/>
  <c r="E1106" i="17"/>
  <c r="E519" i="16"/>
  <c r="E693" i="16"/>
  <c r="AE693" i="16"/>
  <c r="E1481" i="17"/>
  <c r="E809" i="16"/>
  <c r="AE809" i="16"/>
  <c r="E1719" i="17"/>
  <c r="E701" i="16"/>
  <c r="AE701" i="16"/>
  <c r="E1485" i="17"/>
  <c r="AE749" i="16"/>
  <c r="E1585" i="17"/>
  <c r="E749" i="16"/>
  <c r="V24" i="1"/>
  <c r="R24" i="1"/>
  <c r="AD541" i="16"/>
  <c r="E603" i="16"/>
  <c r="AE603" i="16"/>
  <c r="E1280" i="17"/>
  <c r="AD791" i="16"/>
  <c r="AD55" i="16"/>
  <c r="AE341" i="16"/>
  <c r="E733" i="17"/>
  <c r="E341" i="16"/>
  <c r="AD461" i="16"/>
  <c r="E625" i="16"/>
  <c r="AE625" i="16"/>
  <c r="E1315" i="17"/>
  <c r="AE219" i="16"/>
  <c r="E464" i="17"/>
  <c r="E219" i="16"/>
  <c r="AD279" i="16"/>
  <c r="AD339" i="16"/>
  <c r="AE57" i="16"/>
  <c r="E123" i="17"/>
  <c r="E57" i="16"/>
  <c r="E171" i="16"/>
  <c r="AE171" i="16"/>
  <c r="E360" i="17"/>
  <c r="E313" i="16"/>
  <c r="AE313" i="16"/>
  <c r="E667" i="17"/>
  <c r="AD589" i="16"/>
  <c r="AD825" i="16"/>
  <c r="AD687" i="16"/>
  <c r="AD851" i="16"/>
  <c r="AE651" i="16"/>
  <c r="E1380" i="17"/>
  <c r="E651" i="16"/>
  <c r="AE779" i="16"/>
  <c r="E1652" i="17"/>
  <c r="E779" i="16"/>
  <c r="E817" i="16"/>
  <c r="AE817" i="16"/>
  <c r="E1723" i="17"/>
  <c r="AD345" i="16"/>
  <c r="E433" i="16"/>
  <c r="AE433" i="16"/>
  <c r="E907" i="17"/>
  <c r="AD751" i="16"/>
  <c r="AD79" i="16"/>
  <c r="E79" i="16" s="1"/>
  <c r="AD235" i="16"/>
  <c r="AD335" i="16"/>
  <c r="AD393" i="16"/>
  <c r="E377" i="16"/>
  <c r="AE377" i="16"/>
  <c r="E803" i="17"/>
  <c r="AD563" i="16"/>
  <c r="AD845" i="16"/>
  <c r="E469" i="16"/>
  <c r="AE469" i="16"/>
  <c r="E1005" i="17"/>
  <c r="AD631" i="16"/>
  <c r="E719" i="16"/>
  <c r="AE719" i="16"/>
  <c r="E1518" i="17"/>
  <c r="E699" i="16"/>
  <c r="AE699" i="16"/>
  <c r="E1484" i="17"/>
  <c r="E695" i="16"/>
  <c r="AE695" i="16"/>
  <c r="E1482" i="17"/>
  <c r="AE757" i="16"/>
  <c r="E1617" i="17"/>
  <c r="E757" i="16"/>
  <c r="E797" i="16"/>
  <c r="AE797" i="16"/>
  <c r="E1689" i="17"/>
  <c r="AD487" i="16"/>
  <c r="AD565" i="16"/>
  <c r="E723" i="16"/>
  <c r="AE723" i="16"/>
  <c r="E1548" i="17"/>
  <c r="AD59" i="16"/>
  <c r="AD525" i="16"/>
  <c r="AD83" i="16"/>
  <c r="AD205" i="16"/>
  <c r="AD713" i="16"/>
  <c r="E135" i="16"/>
  <c r="AE135" i="16"/>
  <c r="E290" i="17"/>
  <c r="AD187" i="16"/>
  <c r="E277" i="16"/>
  <c r="AE277" i="16"/>
  <c r="E597" i="17"/>
  <c r="AD329" i="16"/>
  <c r="AD585" i="16"/>
  <c r="E317" i="16"/>
  <c r="AE317" i="16"/>
  <c r="E669" i="17"/>
  <c r="AE411" i="16"/>
  <c r="E872" i="17"/>
  <c r="E411" i="16"/>
  <c r="AD521" i="16"/>
  <c r="AE787" i="16"/>
  <c r="E1684" i="17"/>
  <c r="E787" i="16"/>
  <c r="E813" i="16"/>
  <c r="AE813" i="16"/>
  <c r="E1721" i="17"/>
  <c r="AE849" i="16"/>
  <c r="E1791" i="17"/>
  <c r="E849" i="16"/>
  <c r="AE857" i="16"/>
  <c r="E1823" i="17"/>
  <c r="E857" i="16"/>
  <c r="AD697" i="16"/>
  <c r="AD295" i="16"/>
  <c r="AD501" i="16"/>
  <c r="E679" i="16"/>
  <c r="AE679" i="16"/>
  <c r="E1446" i="17"/>
  <c r="AE759" i="16"/>
  <c r="E1618" i="17"/>
  <c r="E759" i="16"/>
  <c r="U8" i="6"/>
  <c r="AD145" i="16"/>
  <c r="AE145" i="16" s="1"/>
  <c r="E295" i="17" s="1"/>
  <c r="AD87" i="16"/>
  <c r="AD285" i="16"/>
  <c r="AE405" i="16"/>
  <c r="E869" i="17"/>
  <c r="E405" i="16"/>
  <c r="E435" i="16"/>
  <c r="AE435" i="16"/>
  <c r="E936" i="17"/>
  <c r="AD855" i="16"/>
  <c r="AD281" i="16"/>
  <c r="AD379" i="16"/>
  <c r="AD523" i="16"/>
  <c r="AD683" i="16"/>
  <c r="AE327" i="16"/>
  <c r="E698" i="17"/>
  <c r="E327" i="16"/>
  <c r="AD427" i="16"/>
  <c r="AE535" i="16"/>
  <c r="E1142" i="17"/>
  <c r="E535" i="16"/>
  <c r="AE637" i="16"/>
  <c r="E1349" i="17"/>
  <c r="E637" i="16"/>
  <c r="E179" i="16"/>
  <c r="AE179" i="16"/>
  <c r="E392" i="17"/>
  <c r="AE241" i="16"/>
  <c r="E499" i="17"/>
  <c r="E241" i="16"/>
  <c r="AD471" i="16"/>
  <c r="AD557" i="16"/>
  <c r="E619" i="16"/>
  <c r="AE619" i="16"/>
  <c r="E1312" i="17"/>
  <c r="AD777" i="16"/>
  <c r="E733" i="16"/>
  <c r="AE733" i="16"/>
  <c r="E1553" i="17"/>
  <c r="AD45" i="16"/>
  <c r="AE45" i="16" s="1"/>
  <c r="E89" i="17" s="1"/>
  <c r="AD309" i="16"/>
  <c r="E775" i="16"/>
  <c r="AE775" i="16"/>
  <c r="E1650" i="17"/>
  <c r="U55" i="6"/>
  <c r="AE891" i="16"/>
  <c r="E1892" i="17"/>
  <c r="E891" i="16"/>
  <c r="AE889" i="16"/>
  <c r="E1891" i="17"/>
  <c r="E889" i="16"/>
  <c r="AE883" i="16"/>
  <c r="E1888" i="17"/>
  <c r="E1897" i="17"/>
  <c r="E883" i="16"/>
  <c r="AE881" i="16"/>
  <c r="E1859" i="17"/>
  <c r="E881" i="16"/>
  <c r="AE875" i="16"/>
  <c r="E1856" i="17"/>
  <c r="E875" i="16"/>
  <c r="AE873" i="16"/>
  <c r="E1855" i="17"/>
  <c r="E873" i="16"/>
  <c r="E896" i="16"/>
  <c r="E827" i="16"/>
  <c r="AE827" i="16"/>
  <c r="E1756" i="17"/>
  <c r="E821" i="16"/>
  <c r="AE821" i="16"/>
  <c r="E1753" i="17"/>
  <c r="K754" i="6"/>
  <c r="K210" i="6"/>
  <c r="K690" i="6"/>
  <c r="K722" i="6"/>
  <c r="K434" i="6"/>
  <c r="K402" i="6"/>
  <c r="K370" i="6"/>
  <c r="K274" i="6"/>
  <c r="K242" i="6"/>
  <c r="K594" i="6"/>
  <c r="K498" i="6"/>
  <c r="K818" i="6"/>
  <c r="K626" i="6"/>
  <c r="K306" i="6"/>
  <c r="K178" i="6"/>
  <c r="K562" i="6"/>
  <c r="K850" i="6"/>
  <c r="AE523" i="16"/>
  <c r="E1108" i="17"/>
  <c r="E523" i="16"/>
  <c r="E281" i="16"/>
  <c r="AE281" i="16"/>
  <c r="E599" i="17"/>
  <c r="E285" i="16"/>
  <c r="AE285" i="16"/>
  <c r="E601" i="17"/>
  <c r="E713" i="16"/>
  <c r="AE713" i="16"/>
  <c r="E1515" i="17"/>
  <c r="E565" i="16"/>
  <c r="AE565" i="16"/>
  <c r="E1209" i="17"/>
  <c r="E687" i="16"/>
  <c r="AE687" i="16"/>
  <c r="E1450" i="17"/>
  <c r="E589" i="16"/>
  <c r="AE589" i="16"/>
  <c r="E1245" i="17"/>
  <c r="AE339" i="16"/>
  <c r="E732" i="17"/>
  <c r="E339" i="16"/>
  <c r="E461" i="16"/>
  <c r="AE461" i="16"/>
  <c r="E973" i="17"/>
  <c r="AE55" i="16"/>
  <c r="E122" i="17" s="1"/>
  <c r="E55" i="16"/>
  <c r="E571" i="16"/>
  <c r="AE571" i="16"/>
  <c r="E1212" i="17"/>
  <c r="AE413" i="16"/>
  <c r="E873" i="17"/>
  <c r="E413" i="16"/>
  <c r="AE499" i="16"/>
  <c r="E1072" i="17"/>
  <c r="E499" i="16"/>
  <c r="E139" i="16"/>
  <c r="AE139" i="16"/>
  <c r="E292" i="17"/>
  <c r="E473" i="16"/>
  <c r="AE473" i="16"/>
  <c r="E1007" i="17"/>
  <c r="E311" i="16"/>
  <c r="AE311" i="16"/>
  <c r="E666" i="17"/>
  <c r="AE531" i="16"/>
  <c r="E1140" i="17"/>
  <c r="E531" i="16"/>
  <c r="E137" i="16"/>
  <c r="AE137" i="16"/>
  <c r="E291" i="17"/>
  <c r="E271" i="16"/>
  <c r="AE271" i="16"/>
  <c r="E566" i="17"/>
  <c r="D5" i="11"/>
  <c r="AE529" i="16"/>
  <c r="E1111" i="17"/>
  <c r="E529" i="16"/>
  <c r="AE349" i="16"/>
  <c r="E737" i="17"/>
  <c r="E349" i="16"/>
  <c r="AE439" i="16"/>
  <c r="E938" i="17"/>
  <c r="E439" i="16"/>
  <c r="AE537" i="16"/>
  <c r="E1143" i="17"/>
  <c r="E537" i="16"/>
  <c r="AE41" i="16"/>
  <c r="E87" i="17" s="1"/>
  <c r="E41" i="16"/>
  <c r="T55" i="6"/>
  <c r="AE507" i="16"/>
  <c r="E1076" i="17"/>
  <c r="E507" i="16"/>
  <c r="E157" i="16"/>
  <c r="AE157" i="16"/>
  <c r="E329" i="17"/>
  <c r="AE203" i="16"/>
  <c r="E428" i="17"/>
  <c r="E203" i="16"/>
  <c r="E599" i="16"/>
  <c r="AE599" i="16"/>
  <c r="E1278" i="17"/>
  <c r="U40" i="6"/>
  <c r="AE201" i="16"/>
  <c r="E427" i="17"/>
  <c r="E201" i="16"/>
  <c r="L109" i="6"/>
  <c r="AE215" i="16"/>
  <c r="E462" i="17"/>
  <c r="E215" i="16"/>
  <c r="AE367" i="16"/>
  <c r="E770" i="17"/>
  <c r="E367" i="16"/>
  <c r="E147" i="16"/>
  <c r="AE147" i="16"/>
  <c r="E324" i="17" s="1"/>
  <c r="E399" i="16"/>
  <c r="AE399" i="16"/>
  <c r="E838" i="17"/>
  <c r="E795" i="16"/>
  <c r="AE795" i="16"/>
  <c r="E1688" i="17"/>
  <c r="AE375" i="16"/>
  <c r="E802" i="17"/>
  <c r="E375" i="16"/>
  <c r="E635" i="16"/>
  <c r="AE635" i="16"/>
  <c r="E1348" i="17"/>
  <c r="E555" i="16"/>
  <c r="AE555" i="16"/>
  <c r="E1176" i="17"/>
  <c r="E471" i="16"/>
  <c r="AE471" i="16"/>
  <c r="E1006" i="17"/>
  <c r="E145" i="16"/>
  <c r="E295" i="16"/>
  <c r="AE295" i="16"/>
  <c r="E630" i="17"/>
  <c r="E585" i="16"/>
  <c r="AE585" i="16"/>
  <c r="E1243" i="17"/>
  <c r="E83" i="16"/>
  <c r="AE83" i="16"/>
  <c r="E188" i="17" s="1"/>
  <c r="AE59" i="16"/>
  <c r="E124" i="17" s="1"/>
  <c r="E59" i="16"/>
  <c r="E393" i="16"/>
  <c r="AE393" i="16"/>
  <c r="E835" i="17"/>
  <c r="AE235" i="16"/>
  <c r="E496" i="17"/>
  <c r="E235" i="16"/>
  <c r="AE751" i="16"/>
  <c r="E1586" i="17"/>
  <c r="E751" i="16"/>
  <c r="AE345" i="16"/>
  <c r="E735" i="17"/>
  <c r="E345" i="16"/>
  <c r="E591" i="16"/>
  <c r="AE591" i="16"/>
  <c r="E1246" i="17"/>
  <c r="AE331" i="16"/>
  <c r="E700" i="17"/>
  <c r="E331" i="16"/>
  <c r="E627" i="16"/>
  <c r="AE627" i="16"/>
  <c r="E1344" i="17"/>
  <c r="AE343" i="16"/>
  <c r="E734" i="17"/>
  <c r="E343" i="16"/>
  <c r="AE53" i="16"/>
  <c r="E121" i="17" s="1"/>
  <c r="E53" i="16"/>
  <c r="AE167" i="16"/>
  <c r="E358" i="17"/>
  <c r="E167" i="16"/>
  <c r="E551" i="16"/>
  <c r="AE551" i="16"/>
  <c r="E1174" i="17"/>
  <c r="AE337" i="16"/>
  <c r="E703" i="17"/>
  <c r="E337" i="16"/>
  <c r="AE209" i="16"/>
  <c r="E431" i="17"/>
  <c r="E209" i="16"/>
  <c r="AE527" i="16"/>
  <c r="E1110" i="17"/>
  <c r="E527" i="16"/>
  <c r="AE495" i="16"/>
  <c r="E1042" i="17"/>
  <c r="E495" i="16"/>
  <c r="E301" i="16"/>
  <c r="AE301" i="16"/>
  <c r="E633" i="17"/>
  <c r="AE47" i="16"/>
  <c r="E90" i="17"/>
  <c r="E47" i="16"/>
  <c r="E623" i="16"/>
  <c r="AE623" i="16"/>
  <c r="E1314" i="17"/>
  <c r="E467" i="16"/>
  <c r="AE467" i="16"/>
  <c r="E1004" i="17"/>
  <c r="E269" i="16"/>
  <c r="AE269" i="16"/>
  <c r="E565" i="17"/>
  <c r="L103" i="6"/>
  <c r="AE753" i="16"/>
  <c r="E1587" i="17"/>
  <c r="E753" i="16"/>
  <c r="AE373" i="16"/>
  <c r="E801" i="17"/>
  <c r="E373" i="16"/>
  <c r="E459" i="16"/>
  <c r="AE459" i="16"/>
  <c r="E972" i="17"/>
  <c r="E403" i="16"/>
  <c r="AE403" i="16"/>
  <c r="E868" i="17"/>
  <c r="E465" i="16"/>
  <c r="AE465" i="16"/>
  <c r="E975" i="17"/>
  <c r="AE839" i="16"/>
  <c r="E1786" i="17"/>
  <c r="E839" i="16"/>
  <c r="E463" i="16"/>
  <c r="AE463" i="16"/>
  <c r="E974" i="17"/>
  <c r="AE217" i="16"/>
  <c r="E463" i="17"/>
  <c r="E217" i="16"/>
  <c r="E811" i="16"/>
  <c r="AE811" i="16"/>
  <c r="E1720" i="17"/>
  <c r="E45" i="16"/>
  <c r="E427" i="16"/>
  <c r="AE427" i="16"/>
  <c r="E904" i="17"/>
  <c r="E683" i="16"/>
  <c r="AE683" i="16"/>
  <c r="E1448" i="17"/>
  <c r="AE379" i="16"/>
  <c r="E804" i="17"/>
  <c r="E379" i="16"/>
  <c r="AE855" i="16"/>
  <c r="E1822" i="17"/>
  <c r="E855" i="16"/>
  <c r="T8" i="6"/>
  <c r="AE501" i="16"/>
  <c r="E1073" i="17"/>
  <c r="E501" i="16"/>
  <c r="AE521" i="16"/>
  <c r="E1107" i="17"/>
  <c r="E521" i="16"/>
  <c r="E563" i="16"/>
  <c r="AE563" i="16"/>
  <c r="E1208" i="17"/>
  <c r="AE851" i="16"/>
  <c r="E1820" i="17"/>
  <c r="E851" i="16"/>
  <c r="E825" i="16"/>
  <c r="AE825" i="16"/>
  <c r="E1755" i="17"/>
  <c r="E279" i="16"/>
  <c r="AE279" i="16"/>
  <c r="E598" i="17"/>
  <c r="AE791" i="16"/>
  <c r="E1686" i="17"/>
  <c r="E791" i="16"/>
  <c r="AE541" i="16"/>
  <c r="E1145" i="17"/>
  <c r="E541" i="16"/>
  <c r="E275" i="16"/>
  <c r="AE275" i="16"/>
  <c r="E596" i="17"/>
  <c r="E605" i="17"/>
  <c r="E359" i="16"/>
  <c r="AE359" i="16"/>
  <c r="E766" i="17"/>
  <c r="E689" i="16"/>
  <c r="AE689" i="16"/>
  <c r="E1451" i="17"/>
  <c r="E789" i="16"/>
  <c r="AE789" i="16"/>
  <c r="E1685" i="17"/>
  <c r="AE243" i="16"/>
  <c r="E528" i="17"/>
  <c r="E243" i="16"/>
  <c r="E691" i="16"/>
  <c r="AE691" i="16"/>
  <c r="E1480" i="17"/>
  <c r="E559" i="16"/>
  <c r="AE559" i="16"/>
  <c r="E1178" i="17"/>
  <c r="AE553" i="16"/>
  <c r="E1175" i="17"/>
  <c r="E553" i="16"/>
  <c r="AE151" i="16"/>
  <c r="E326" i="17" s="1"/>
  <c r="E717" i="16"/>
  <c r="AE717" i="16"/>
  <c r="E1517" i="17"/>
  <c r="E425" i="16"/>
  <c r="AE425" i="16"/>
  <c r="E903" i="17"/>
  <c r="E315" i="16"/>
  <c r="AE315" i="16"/>
  <c r="E668" i="17"/>
  <c r="E829" i="16"/>
  <c r="AE829" i="16"/>
  <c r="E1757" i="17"/>
  <c r="E727" i="16"/>
  <c r="AE727" i="16"/>
  <c r="E1550" i="17"/>
  <c r="E819" i="16"/>
  <c r="AE819" i="16"/>
  <c r="E1752" i="17"/>
  <c r="E593" i="16"/>
  <c r="AE593" i="16"/>
  <c r="E1247" i="17"/>
  <c r="AE655" i="16"/>
  <c r="E1382" i="17"/>
  <c r="E655" i="16"/>
  <c r="AE765" i="16"/>
  <c r="E1621" i="17"/>
  <c r="E765" i="16"/>
  <c r="AE239" i="16"/>
  <c r="E498" i="17"/>
  <c r="E239" i="16"/>
  <c r="AE89" i="16"/>
  <c r="E191" i="17" s="1"/>
  <c r="E89" i="16"/>
  <c r="AE371" i="16"/>
  <c r="E800" i="17"/>
  <c r="E371" i="16"/>
  <c r="E711" i="16"/>
  <c r="AE711" i="16"/>
  <c r="E1514" i="17"/>
  <c r="E1523" i="17"/>
  <c r="AE409" i="16"/>
  <c r="E871" i="17"/>
  <c r="E409" i="16"/>
  <c r="E595" i="16"/>
  <c r="AE595" i="16"/>
  <c r="E1276" i="17"/>
  <c r="AE755" i="16"/>
  <c r="E1616" i="17"/>
  <c r="E755" i="16"/>
  <c r="AE221" i="16"/>
  <c r="E465" i="17"/>
  <c r="E221" i="16"/>
  <c r="E587" i="16"/>
  <c r="AE587" i="16"/>
  <c r="E1244" i="17"/>
  <c r="E1251" i="17"/>
  <c r="AE653" i="16"/>
  <c r="E1381" i="17"/>
  <c r="E653" i="16"/>
  <c r="E672" i="16"/>
  <c r="E231" i="16"/>
  <c r="AE231" i="16"/>
  <c r="E494" i="17"/>
  <c r="E503" i="17"/>
  <c r="E567" i="16"/>
  <c r="AE567" i="16"/>
  <c r="E1210" i="17"/>
  <c r="E423" i="16"/>
  <c r="AE423" i="16"/>
  <c r="E902" i="17"/>
  <c r="E265" i="16"/>
  <c r="AE265" i="16"/>
  <c r="E563" i="17"/>
  <c r="E397" i="16"/>
  <c r="AE397" i="16"/>
  <c r="E837" i="17"/>
  <c r="AE503" i="16"/>
  <c r="E1074" i="17"/>
  <c r="E503" i="16"/>
  <c r="E267" i="16"/>
  <c r="AE267" i="16"/>
  <c r="E564" i="17"/>
  <c r="E443" i="16"/>
  <c r="AE443" i="16"/>
  <c r="E940" i="17"/>
  <c r="AE847" i="16"/>
  <c r="E1790" i="17"/>
  <c r="E847" i="16"/>
  <c r="E685" i="16"/>
  <c r="AE685" i="16"/>
  <c r="E1449" i="17"/>
  <c r="AE207" i="16"/>
  <c r="E430" i="17"/>
  <c r="E207" i="16"/>
  <c r="AE143" i="16"/>
  <c r="E294" i="17" s="1"/>
  <c r="E979" i="17"/>
  <c r="E309" i="16"/>
  <c r="AE309" i="16"/>
  <c r="E665" i="17"/>
  <c r="AE777" i="16"/>
  <c r="E1651" i="17"/>
  <c r="E777" i="16"/>
  <c r="E557" i="16"/>
  <c r="AE557" i="16"/>
  <c r="E1177" i="17"/>
  <c r="AE87" i="16"/>
  <c r="E190" i="17"/>
  <c r="E87" i="16"/>
  <c r="E1455" i="17"/>
  <c r="E697" i="16"/>
  <c r="AE697" i="16"/>
  <c r="E1483" i="17"/>
  <c r="E1693" i="17"/>
  <c r="AE329" i="16"/>
  <c r="E699" i="17"/>
  <c r="E707" i="17"/>
  <c r="E329" i="16"/>
  <c r="E187" i="16"/>
  <c r="AE187" i="16"/>
  <c r="E396" i="17"/>
  <c r="AE205" i="16"/>
  <c r="E429" i="17"/>
  <c r="E435" i="17"/>
  <c r="E205" i="16"/>
  <c r="AE525" i="16"/>
  <c r="E1109" i="17"/>
  <c r="E525" i="16"/>
  <c r="AE487" i="16"/>
  <c r="E1038" i="17"/>
  <c r="E1047" i="17"/>
  <c r="E487" i="16"/>
  <c r="E512" i="16"/>
  <c r="E631" i="16"/>
  <c r="AE631" i="16"/>
  <c r="E1346" i="17"/>
  <c r="AE845" i="16"/>
  <c r="E1789" i="17"/>
  <c r="E845" i="16"/>
  <c r="AE335" i="16"/>
  <c r="E702" i="17"/>
  <c r="E335" i="16"/>
  <c r="AE79" i="16"/>
  <c r="E158" i="17" s="1"/>
  <c r="E544" i="16"/>
  <c r="AE247" i="16"/>
  <c r="E530" i="17"/>
  <c r="E247" i="16"/>
  <c r="AE437" i="16"/>
  <c r="E937" i="17"/>
  <c r="E945" i="17"/>
  <c r="E437" i="16"/>
  <c r="AE429" i="16"/>
  <c r="E905" i="17"/>
  <c r="E429" i="16"/>
  <c r="E183" i="16"/>
  <c r="AE183" i="16"/>
  <c r="E394" i="17"/>
  <c r="E81" i="16"/>
  <c r="AE81" i="16"/>
  <c r="E159" i="17" s="1"/>
  <c r="E781" i="16"/>
  <c r="AE781" i="16"/>
  <c r="E1653" i="17"/>
  <c r="AE211" i="16"/>
  <c r="E460" i="17"/>
  <c r="E469" i="17"/>
  <c r="E211" i="16"/>
  <c r="E273" i="16"/>
  <c r="AE273" i="16"/>
  <c r="E567" i="17"/>
  <c r="AE75" i="16"/>
  <c r="E156" i="17" s="1"/>
  <c r="E75" i="16"/>
  <c r="E169" i="16"/>
  <c r="AE169" i="16"/>
  <c r="E359" i="17"/>
  <c r="E395" i="16"/>
  <c r="AE395" i="16"/>
  <c r="E836" i="17"/>
  <c r="E307" i="16"/>
  <c r="AE307" i="16"/>
  <c r="E664" i="17"/>
  <c r="E815" i="16"/>
  <c r="E832" i="16"/>
  <c r="AE815" i="16"/>
  <c r="E1722" i="17"/>
  <c r="E477" i="16"/>
  <c r="E480" i="16"/>
  <c r="AE477" i="16"/>
  <c r="E1009" i="17"/>
  <c r="E297" i="16"/>
  <c r="AE297" i="16"/>
  <c r="E631" i="17"/>
  <c r="E601" i="16"/>
  <c r="AE601" i="16"/>
  <c r="E1279" i="17"/>
  <c r="AE853" i="16"/>
  <c r="E1821" i="17"/>
  <c r="E853" i="16"/>
  <c r="E1387" i="17"/>
  <c r="AE407" i="16"/>
  <c r="E870" i="17"/>
  <c r="E407" i="16"/>
  <c r="E173" i="16"/>
  <c r="AE173" i="16"/>
  <c r="E361" i="17"/>
  <c r="E615" i="16"/>
  <c r="AE615" i="16"/>
  <c r="E1310" i="17"/>
  <c r="E1319" i="17"/>
  <c r="AE245" i="16"/>
  <c r="E529" i="17"/>
  <c r="E245" i="16"/>
  <c r="AE841" i="16"/>
  <c r="E1787" i="17"/>
  <c r="E841" i="16"/>
  <c r="E401" i="16"/>
  <c r="AE401" i="16"/>
  <c r="E839" i="17"/>
  <c r="E731" i="16"/>
  <c r="AE731" i="16"/>
  <c r="E1552" i="17"/>
  <c r="E605" i="16"/>
  <c r="AE605" i="16"/>
  <c r="E1281" i="17"/>
  <c r="AE363" i="16"/>
  <c r="E768" i="17"/>
  <c r="E363" i="16"/>
  <c r="E303" i="16"/>
  <c r="AE303" i="16"/>
  <c r="E634" i="17"/>
  <c r="E153" i="16"/>
  <c r="E327" i="17"/>
  <c r="AE747" i="16"/>
  <c r="E1584" i="17"/>
  <c r="E747" i="16"/>
  <c r="E629" i="16"/>
  <c r="AE629" i="16"/>
  <c r="E1345" i="17"/>
  <c r="AE745" i="16"/>
  <c r="E1583" i="17"/>
  <c r="E1591" i="17"/>
  <c r="E745" i="16"/>
  <c r="E768" i="16"/>
  <c r="AE123" i="16"/>
  <c r="E260" i="17" s="1"/>
  <c r="E123" i="16"/>
  <c r="E181" i="16"/>
  <c r="AE181" i="16"/>
  <c r="E393" i="17"/>
  <c r="E401" i="17"/>
  <c r="E416" i="16"/>
  <c r="E352" i="16"/>
  <c r="E800" i="16"/>
  <c r="E571" i="17"/>
  <c r="E1557" i="17"/>
  <c r="E608" i="16"/>
  <c r="E1659" i="17"/>
  <c r="E288" i="16"/>
  <c r="E1115" i="17"/>
  <c r="E704" i="16"/>
  <c r="E224" i="16"/>
  <c r="E299" i="17"/>
  <c r="E843" i="17"/>
  <c r="E1625" i="17"/>
  <c r="E1863" i="17"/>
  <c r="E1727" i="17"/>
  <c r="L140" i="6"/>
  <c r="E911" i="17"/>
  <c r="E537" i="17"/>
  <c r="E1217" i="17"/>
  <c r="E1183" i="17"/>
  <c r="E1353" i="17"/>
  <c r="E320" i="16"/>
  <c r="L141" i="6"/>
  <c r="E448" i="16"/>
  <c r="E256" i="16"/>
  <c r="U72" i="6"/>
  <c r="T72" i="6" s="1"/>
  <c r="E1285" i="17"/>
  <c r="E1761" i="17"/>
  <c r="E1489" i="17"/>
  <c r="E775" i="17"/>
  <c r="E864" i="16"/>
  <c r="E576" i="16"/>
  <c r="T40" i="6"/>
  <c r="D6" i="11"/>
  <c r="L139" i="6"/>
  <c r="U141" i="6"/>
  <c r="T141" i="6" s="1"/>
  <c r="E640" i="16"/>
  <c r="E673" i="17"/>
  <c r="L143" i="6"/>
  <c r="U149" i="6"/>
  <c r="T149" i="6"/>
  <c r="E736" i="16"/>
  <c r="E809" i="17"/>
  <c r="E384" i="16"/>
  <c r="E1795" i="17"/>
  <c r="E877" i="17"/>
  <c r="E1013" i="17"/>
  <c r="E192" i="16"/>
  <c r="E1081" i="17"/>
  <c r="E741" i="17"/>
  <c r="L142" i="6"/>
  <c r="U153" i="6"/>
  <c r="T153" i="6"/>
  <c r="E1829" i="17"/>
  <c r="L135" i="6"/>
  <c r="E367" i="17"/>
  <c r="E639" i="17"/>
  <c r="E1149" i="17"/>
  <c r="L134" i="6"/>
  <c r="L174" i="6"/>
  <c r="U185" i="6"/>
  <c r="T185" i="6"/>
  <c r="U104" i="6"/>
  <c r="T104" i="6" s="1"/>
  <c r="U143" i="6"/>
  <c r="T143" i="6" s="1"/>
  <c r="L172" i="6"/>
  <c r="L171" i="6"/>
  <c r="U173" i="6"/>
  <c r="T173" i="6"/>
  <c r="L136" i="6"/>
  <c r="L138" i="6"/>
  <c r="U145" i="6"/>
  <c r="T145" i="6" s="1"/>
  <c r="L144" i="6"/>
  <c r="L175" i="6"/>
  <c r="U181" i="6"/>
  <c r="T181" i="6"/>
  <c r="D7" i="11"/>
  <c r="L167" i="6"/>
  <c r="L173" i="6"/>
  <c r="L205" i="6"/>
  <c r="L170" i="6"/>
  <c r="U177" i="6"/>
  <c r="T177" i="6"/>
  <c r="U136" i="6"/>
  <c r="D8" i="11"/>
  <c r="L176" i="6"/>
  <c r="L204" i="6"/>
  <c r="L166" i="6"/>
  <c r="L203" i="6"/>
  <c r="U205" i="6"/>
  <c r="T205" i="6"/>
  <c r="L206" i="6"/>
  <c r="U217" i="6"/>
  <c r="T217" i="6"/>
  <c r="L199" i="6"/>
  <c r="L207" i="6"/>
  <c r="U213" i="6"/>
  <c r="T213" i="6"/>
  <c r="U151" i="6"/>
  <c r="T151" i="6" s="1"/>
  <c r="L168" i="6"/>
  <c r="U175" i="6"/>
  <c r="T175" i="6"/>
  <c r="L235" i="6"/>
  <c r="U237" i="6"/>
  <c r="T237" i="6"/>
  <c r="L137" i="6"/>
  <c r="L236" i="6"/>
  <c r="L238" i="6"/>
  <c r="U249" i="6"/>
  <c r="T249" i="6"/>
  <c r="U168" i="6"/>
  <c r="D9" i="11"/>
  <c r="L202" i="6"/>
  <c r="U209" i="6"/>
  <c r="T209" i="6"/>
  <c r="L237" i="6"/>
  <c r="L200" i="6"/>
  <c r="L231" i="6"/>
  <c r="U207" i="6"/>
  <c r="T207" i="6"/>
  <c r="L208" i="6"/>
  <c r="T136" i="6"/>
  <c r="L239" i="6"/>
  <c r="U245" i="6"/>
  <c r="T245" i="6"/>
  <c r="L198" i="6"/>
  <c r="U183" i="6"/>
  <c r="T183" i="6"/>
  <c r="L230" i="6"/>
  <c r="L271" i="6"/>
  <c r="U277" i="6"/>
  <c r="T277" i="6"/>
  <c r="AA207" i="6"/>
  <c r="U215" i="6"/>
  <c r="T215" i="6"/>
  <c r="L232" i="6"/>
  <c r="L234" i="6"/>
  <c r="U241" i="6"/>
  <c r="T241" i="6"/>
  <c r="L169" i="6"/>
  <c r="L267" i="6"/>
  <c r="U269" i="6"/>
  <c r="T269" i="6"/>
  <c r="L263" i="6"/>
  <c r="L269" i="6"/>
  <c r="L268" i="6"/>
  <c r="L240" i="6"/>
  <c r="T168" i="6"/>
  <c r="U139" i="6"/>
  <c r="U157" i="6" s="1"/>
  <c r="U200" i="6"/>
  <c r="Y207" i="6"/>
  <c r="D10" i="11"/>
  <c r="L270" i="6"/>
  <c r="U281" i="6"/>
  <c r="T281" i="6"/>
  <c r="U239" i="6"/>
  <c r="T239" i="6"/>
  <c r="D11" i="11"/>
  <c r="T200" i="6"/>
  <c r="AA239" i="6"/>
  <c r="U247" i="6"/>
  <c r="T247" i="6"/>
  <c r="U271" i="6"/>
  <c r="T271" i="6"/>
  <c r="L302" i="6"/>
  <c r="U313" i="6"/>
  <c r="T313" i="6"/>
  <c r="L301" i="6"/>
  <c r="L264" i="6"/>
  <c r="L262" i="6"/>
  <c r="L300" i="6"/>
  <c r="L295" i="6"/>
  <c r="L299" i="6"/>
  <c r="U301" i="6"/>
  <c r="T301" i="6"/>
  <c r="L201" i="6"/>
  <c r="L266" i="6"/>
  <c r="U273" i="6"/>
  <c r="T273" i="6"/>
  <c r="L303" i="6"/>
  <c r="U309" i="6"/>
  <c r="T309" i="6"/>
  <c r="L272" i="6"/>
  <c r="U171" i="6"/>
  <c r="Y239" i="6"/>
  <c r="U232" i="6"/>
  <c r="T171" i="6"/>
  <c r="T189" i="6"/>
  <c r="U189" i="6"/>
  <c r="U203" i="6"/>
  <c r="Z207" i="6"/>
  <c r="U303" i="6"/>
  <c r="T303" i="6"/>
  <c r="L294" i="6"/>
  <c r="D12" i="11"/>
  <c r="L304" i="6"/>
  <c r="L335" i="6"/>
  <c r="U341" i="6"/>
  <c r="T341" i="6"/>
  <c r="L331" i="6"/>
  <c r="U333" i="6"/>
  <c r="T333" i="6"/>
  <c r="T232" i="6"/>
  <c r="L298" i="6"/>
  <c r="U305" i="6"/>
  <c r="T305" i="6"/>
  <c r="L233" i="6"/>
  <c r="L332" i="6"/>
  <c r="L333" i="6"/>
  <c r="U279" i="6"/>
  <c r="T279" i="6"/>
  <c r="AA271" i="6"/>
  <c r="AA274" i="6"/>
  <c r="L327" i="6"/>
  <c r="U264" i="6"/>
  <c r="Y271" i="6"/>
  <c r="Y274" i="6"/>
  <c r="L296" i="6"/>
  <c r="L334" i="6"/>
  <c r="U345" i="6"/>
  <c r="T345" i="6"/>
  <c r="D13" i="11"/>
  <c r="L366" i="6"/>
  <c r="U377" i="6"/>
  <c r="T377" i="6"/>
  <c r="L365" i="6"/>
  <c r="L364" i="6"/>
  <c r="U311" i="6"/>
  <c r="T311" i="6"/>
  <c r="AA303" i="6"/>
  <c r="AA306" i="6"/>
  <c r="L326" i="6"/>
  <c r="U335" i="6"/>
  <c r="T335" i="6"/>
  <c r="U235" i="6"/>
  <c r="Z239" i="6"/>
  <c r="T264" i="6"/>
  <c r="L265" i="6"/>
  <c r="L367" i="6"/>
  <c r="U373" i="6"/>
  <c r="T373" i="6"/>
  <c r="U296" i="6"/>
  <c r="Y303" i="6"/>
  <c r="Y306" i="6"/>
  <c r="T203" i="6"/>
  <c r="T221" i="6"/>
  <c r="U221" i="6"/>
  <c r="L328" i="6"/>
  <c r="L359" i="6"/>
  <c r="L330" i="6"/>
  <c r="U337" i="6"/>
  <c r="T337" i="6"/>
  <c r="L363" i="6"/>
  <c r="U365" i="6"/>
  <c r="T365" i="6"/>
  <c r="L336" i="6"/>
  <c r="L399" i="6"/>
  <c r="U405" i="6"/>
  <c r="T405" i="6"/>
  <c r="L297" i="6"/>
  <c r="D14" i="11"/>
  <c r="L360" i="6"/>
  <c r="T296" i="6"/>
  <c r="T235" i="6"/>
  <c r="T253" i="6"/>
  <c r="U253" i="6"/>
  <c r="U367" i="6"/>
  <c r="T367" i="6"/>
  <c r="L368" i="6"/>
  <c r="AA335" i="6"/>
  <c r="AA338" i="6"/>
  <c r="U343" i="6"/>
  <c r="T343" i="6"/>
  <c r="L395" i="6"/>
  <c r="U397" i="6"/>
  <c r="T397" i="6"/>
  <c r="L391" i="6"/>
  <c r="U267" i="6"/>
  <c r="Z271" i="6"/>
  <c r="Z274" i="6"/>
  <c r="U328" i="6"/>
  <c r="Y335" i="6"/>
  <c r="Y338" i="6"/>
  <c r="L397" i="6"/>
  <c r="L362" i="6"/>
  <c r="U369" i="6"/>
  <c r="T369" i="6"/>
  <c r="L358" i="6"/>
  <c r="L396" i="6"/>
  <c r="L398" i="6"/>
  <c r="U409" i="6"/>
  <c r="T409" i="6"/>
  <c r="L430" i="6"/>
  <c r="U441" i="6"/>
  <c r="T441" i="6"/>
  <c r="L428" i="6"/>
  <c r="T328" i="6"/>
  <c r="AA367" i="6"/>
  <c r="AA370" i="6"/>
  <c r="U375" i="6"/>
  <c r="T375" i="6"/>
  <c r="L392" i="6"/>
  <c r="L431" i="6"/>
  <c r="U437" i="6"/>
  <c r="T437" i="6"/>
  <c r="Y367" i="6"/>
  <c r="Y370" i="6"/>
  <c r="U360" i="6"/>
  <c r="U399" i="6"/>
  <c r="T399" i="6"/>
  <c r="T267" i="6"/>
  <c r="T285" i="6"/>
  <c r="U285" i="6"/>
  <c r="L329" i="6"/>
  <c r="L390" i="6"/>
  <c r="L394" i="6"/>
  <c r="U401" i="6"/>
  <c r="T401" i="6"/>
  <c r="L429" i="6"/>
  <c r="L423" i="6"/>
  <c r="L427" i="6"/>
  <c r="U429" i="6"/>
  <c r="T429" i="6"/>
  <c r="L400" i="6"/>
  <c r="D15" i="11"/>
  <c r="U299" i="6"/>
  <c r="Z303" i="6"/>
  <c r="Z306" i="6"/>
  <c r="AA399" i="6"/>
  <c r="AA402" i="6"/>
  <c r="U407" i="6"/>
  <c r="T407" i="6"/>
  <c r="L461" i="6"/>
  <c r="U331" i="6"/>
  <c r="Z335" i="6"/>
  <c r="Z338" i="6"/>
  <c r="D16" i="11"/>
  <c r="Y399" i="6"/>
  <c r="Y402" i="6"/>
  <c r="U392" i="6"/>
  <c r="L424" i="6"/>
  <c r="U431" i="6"/>
  <c r="T431" i="6"/>
  <c r="T360" i="6"/>
  <c r="L432" i="6"/>
  <c r="L422" i="6"/>
  <c r="L361" i="6"/>
  <c r="L462" i="6"/>
  <c r="U473" i="6"/>
  <c r="T473" i="6"/>
  <c r="L459" i="6"/>
  <c r="U461" i="6"/>
  <c r="T461" i="6"/>
  <c r="T299" i="6"/>
  <c r="T317" i="6"/>
  <c r="U317" i="6"/>
  <c r="L455" i="6"/>
  <c r="L426" i="6"/>
  <c r="U433" i="6"/>
  <c r="T433" i="6"/>
  <c r="L463" i="6"/>
  <c r="U469" i="6"/>
  <c r="T469" i="6"/>
  <c r="L460" i="6"/>
  <c r="L494" i="6"/>
  <c r="U505" i="6"/>
  <c r="T505" i="6"/>
  <c r="U363" i="6"/>
  <c r="Z367" i="6"/>
  <c r="Z370" i="6"/>
  <c r="T331" i="6"/>
  <c r="T349" i="6"/>
  <c r="U349" i="6"/>
  <c r="L495" i="6"/>
  <c r="U501" i="6"/>
  <c r="T501" i="6"/>
  <c r="L492" i="6"/>
  <c r="L454" i="6"/>
  <c r="L464" i="6"/>
  <c r="T392" i="6"/>
  <c r="L487" i="6"/>
  <c r="AA431" i="6"/>
  <c r="AA434" i="6"/>
  <c r="U439" i="6"/>
  <c r="T439" i="6"/>
  <c r="L456" i="6"/>
  <c r="U463" i="6"/>
  <c r="T463" i="6"/>
  <c r="L458" i="6"/>
  <c r="U465" i="6"/>
  <c r="T465" i="6"/>
  <c r="L491" i="6"/>
  <c r="U493" i="6"/>
  <c r="T493" i="6"/>
  <c r="L393" i="6"/>
  <c r="U424" i="6"/>
  <c r="Y431" i="6"/>
  <c r="Y434" i="6"/>
  <c r="D17" i="11"/>
  <c r="L493" i="6"/>
  <c r="L527" i="6"/>
  <c r="U533" i="6"/>
  <c r="T533" i="6"/>
  <c r="L525" i="6"/>
  <c r="T424" i="6"/>
  <c r="U395" i="6"/>
  <c r="Z399" i="6"/>
  <c r="Z402" i="6"/>
  <c r="L488" i="6"/>
  <c r="AA463" i="6"/>
  <c r="AA466" i="6"/>
  <c r="U471" i="6"/>
  <c r="T471" i="6"/>
  <c r="Y463" i="6"/>
  <c r="Y466" i="6"/>
  <c r="U456" i="6"/>
  <c r="U495" i="6"/>
  <c r="T495" i="6"/>
  <c r="L526" i="6"/>
  <c r="U537" i="6"/>
  <c r="T537" i="6"/>
  <c r="L523" i="6"/>
  <c r="U525" i="6"/>
  <c r="T525" i="6"/>
  <c r="L490" i="6"/>
  <c r="U497" i="6"/>
  <c r="T497" i="6"/>
  <c r="L519" i="6"/>
  <c r="L486" i="6"/>
  <c r="D18" i="11"/>
  <c r="L425" i="6"/>
  <c r="L496" i="6"/>
  <c r="L524" i="6"/>
  <c r="T363" i="6"/>
  <c r="T381" i="6"/>
  <c r="U381" i="6"/>
  <c r="L528" i="6"/>
  <c r="U427" i="6"/>
  <c r="Z431" i="6"/>
  <c r="Z434" i="6"/>
  <c r="L522" i="6"/>
  <c r="U529" i="6"/>
  <c r="T529" i="6"/>
  <c r="L555" i="6"/>
  <c r="U557" i="6"/>
  <c r="T557" i="6"/>
  <c r="T456" i="6"/>
  <c r="L556" i="6"/>
  <c r="AA495" i="6"/>
  <c r="AA498" i="6"/>
  <c r="U503" i="6"/>
  <c r="T503" i="6"/>
  <c r="D19" i="11"/>
  <c r="L558" i="6"/>
  <c r="U569" i="6"/>
  <c r="T569" i="6"/>
  <c r="Y495" i="6"/>
  <c r="Y498" i="6"/>
  <c r="L557" i="6"/>
  <c r="L518" i="6"/>
  <c r="T395" i="6"/>
  <c r="T413" i="6"/>
  <c r="U413" i="6"/>
  <c r="U527" i="6"/>
  <c r="T527" i="6"/>
  <c r="L457" i="6"/>
  <c r="L551" i="6"/>
  <c r="L520" i="6"/>
  <c r="L559" i="6"/>
  <c r="U565" i="6"/>
  <c r="T565" i="6"/>
  <c r="L489" i="6"/>
  <c r="Y527" i="6"/>
  <c r="Y530" i="6"/>
  <c r="L590" i="6"/>
  <c r="U601" i="6"/>
  <c r="T601" i="6"/>
  <c r="D20" i="11"/>
  <c r="L588" i="6"/>
  <c r="T427" i="6"/>
  <c r="T445" i="6"/>
  <c r="U445" i="6"/>
  <c r="L560" i="6"/>
  <c r="L591" i="6"/>
  <c r="U597" i="6"/>
  <c r="T597" i="6"/>
  <c r="L552" i="6"/>
  <c r="L583" i="6"/>
  <c r="L550" i="6"/>
  <c r="U559" i="6"/>
  <c r="T559" i="6"/>
  <c r="L554" i="6"/>
  <c r="U561" i="6"/>
  <c r="T561" i="6"/>
  <c r="U459" i="6"/>
  <c r="Z463" i="6"/>
  <c r="Z466" i="6"/>
  <c r="L589" i="6"/>
  <c r="L587" i="6"/>
  <c r="U589" i="6"/>
  <c r="T589" i="6"/>
  <c r="AA527" i="6"/>
  <c r="AA530" i="6"/>
  <c r="U535" i="6"/>
  <c r="T535" i="6"/>
  <c r="L582" i="6"/>
  <c r="Y559" i="6"/>
  <c r="Y562" i="6"/>
  <c r="L621" i="6"/>
  <c r="L623" i="6"/>
  <c r="U629" i="6"/>
  <c r="T629" i="6"/>
  <c r="L592" i="6"/>
  <c r="U591" i="6"/>
  <c r="T591" i="6"/>
  <c r="L622" i="6"/>
  <c r="U633" i="6"/>
  <c r="T633" i="6"/>
  <c r="L619" i="6"/>
  <c r="U621" i="6"/>
  <c r="T621" i="6"/>
  <c r="L584" i="6"/>
  <c r="AA559" i="6"/>
  <c r="AA562" i="6"/>
  <c r="U567" i="6"/>
  <c r="T567" i="6"/>
  <c r="L521" i="6"/>
  <c r="T459" i="6"/>
  <c r="T477" i="6"/>
  <c r="U477" i="6"/>
  <c r="L586" i="6"/>
  <c r="U593" i="6"/>
  <c r="T593" i="6"/>
  <c r="L615" i="6"/>
  <c r="L620" i="6"/>
  <c r="D21" i="11"/>
  <c r="U491" i="6"/>
  <c r="Z495" i="6"/>
  <c r="Z498" i="6"/>
  <c r="D22" i="11"/>
  <c r="U623" i="6"/>
  <c r="T623" i="6"/>
  <c r="L618" i="6"/>
  <c r="U625" i="6"/>
  <c r="T625" i="6"/>
  <c r="L614" i="6"/>
  <c r="T491" i="6"/>
  <c r="T509" i="6"/>
  <c r="U509" i="6"/>
  <c r="L647" i="6"/>
  <c r="U523" i="6"/>
  <c r="Z527" i="6"/>
  <c r="Z530" i="6"/>
  <c r="L616" i="6"/>
  <c r="AA591" i="6"/>
  <c r="AA594" i="6"/>
  <c r="U599" i="6"/>
  <c r="T599" i="6"/>
  <c r="L652" i="6"/>
  <c r="L654" i="6"/>
  <c r="U665" i="6"/>
  <c r="T665" i="6"/>
  <c r="L655" i="6"/>
  <c r="U661" i="6"/>
  <c r="T661" i="6"/>
  <c r="L653" i="6"/>
  <c r="L553" i="6"/>
  <c r="Y591" i="6"/>
  <c r="Y594" i="6"/>
  <c r="L651" i="6"/>
  <c r="U653" i="6"/>
  <c r="T653" i="6"/>
  <c r="L624" i="6"/>
  <c r="L684" i="6"/>
  <c r="L683" i="6"/>
  <c r="U685" i="6"/>
  <c r="T685" i="6"/>
  <c r="L585" i="6"/>
  <c r="L648" i="6"/>
  <c r="L650" i="6"/>
  <c r="U657" i="6"/>
  <c r="T657" i="6"/>
  <c r="L656" i="6"/>
  <c r="U555" i="6"/>
  <c r="Z559" i="6"/>
  <c r="Z562" i="6"/>
  <c r="L687" i="6"/>
  <c r="U693" i="6"/>
  <c r="T693" i="6"/>
  <c r="U655" i="6"/>
  <c r="T655" i="6"/>
  <c r="L679" i="6"/>
  <c r="D23" i="11"/>
  <c r="AA623" i="6"/>
  <c r="AA626" i="6"/>
  <c r="U631" i="6"/>
  <c r="T631" i="6"/>
  <c r="L685" i="6"/>
  <c r="L686" i="6"/>
  <c r="U697" i="6"/>
  <c r="T697" i="6"/>
  <c r="Y623" i="6"/>
  <c r="Y626" i="6"/>
  <c r="T523" i="6"/>
  <c r="T541" i="6"/>
  <c r="U541" i="6"/>
  <c r="L646" i="6"/>
  <c r="L711" i="6"/>
  <c r="L688" i="6"/>
  <c r="U687" i="6"/>
  <c r="T687" i="6"/>
  <c r="D24" i="11"/>
  <c r="L719" i="6"/>
  <c r="U725" i="6"/>
  <c r="T725" i="6"/>
  <c r="Y655" i="6"/>
  <c r="Y658" i="6"/>
  <c r="U587" i="6"/>
  <c r="Z591" i="6"/>
  <c r="Z594" i="6"/>
  <c r="L717" i="6"/>
  <c r="T555" i="6"/>
  <c r="T573" i="6"/>
  <c r="U573" i="6"/>
  <c r="AA655" i="6"/>
  <c r="AA658" i="6"/>
  <c r="U663" i="6"/>
  <c r="T663" i="6"/>
  <c r="L715" i="6"/>
  <c r="U717" i="6"/>
  <c r="T717" i="6"/>
  <c r="L716" i="6"/>
  <c r="L678" i="6"/>
  <c r="L718" i="6"/>
  <c r="U729" i="6"/>
  <c r="T729" i="6"/>
  <c r="L682" i="6"/>
  <c r="U689" i="6"/>
  <c r="T689" i="6"/>
  <c r="L680" i="6"/>
  <c r="L617" i="6"/>
  <c r="U619" i="6"/>
  <c r="Z623" i="6"/>
  <c r="Z626" i="6"/>
  <c r="L714" i="6"/>
  <c r="U721" i="6"/>
  <c r="T721" i="6"/>
  <c r="L710" i="6"/>
  <c r="U605" i="6"/>
  <c r="T587" i="6"/>
  <c r="T605" i="6"/>
  <c r="L751" i="6"/>
  <c r="U757" i="6"/>
  <c r="T757" i="6"/>
  <c r="L712" i="6"/>
  <c r="U719" i="6"/>
  <c r="T719" i="6"/>
  <c r="D25" i="11"/>
  <c r="L720" i="6"/>
  <c r="L750" i="6"/>
  <c r="U761" i="6"/>
  <c r="T761" i="6"/>
  <c r="L747" i="6"/>
  <c r="U749" i="6"/>
  <c r="T749" i="6"/>
  <c r="U695" i="6"/>
  <c r="T695" i="6"/>
  <c r="AA687" i="6"/>
  <c r="AA690" i="6"/>
  <c r="L649" i="6"/>
  <c r="Y687" i="6"/>
  <c r="Y690" i="6"/>
  <c r="L748" i="6"/>
  <c r="L749" i="6"/>
  <c r="L743" i="6"/>
  <c r="L681" i="6"/>
  <c r="L779" i="6"/>
  <c r="U781" i="6"/>
  <c r="T781" i="6"/>
  <c r="L781" i="6"/>
  <c r="L780" i="6"/>
  <c r="AA719" i="6"/>
  <c r="AA722" i="6"/>
  <c r="U727" i="6"/>
  <c r="T727" i="6"/>
  <c r="D26" i="11"/>
  <c r="Y719" i="6"/>
  <c r="Y722" i="6"/>
  <c r="L775" i="6"/>
  <c r="U651" i="6"/>
  <c r="Z655" i="6"/>
  <c r="Z658" i="6"/>
  <c r="L782" i="6"/>
  <c r="U793" i="6"/>
  <c r="T793" i="6"/>
  <c r="L783" i="6"/>
  <c r="U789" i="6"/>
  <c r="T789" i="6"/>
  <c r="L746" i="6"/>
  <c r="U753" i="6"/>
  <c r="T753" i="6"/>
  <c r="U751" i="6"/>
  <c r="T751" i="6"/>
  <c r="L752" i="6"/>
  <c r="L744" i="6"/>
  <c r="L742" i="6"/>
  <c r="T619" i="6"/>
  <c r="T637" i="6"/>
  <c r="U637" i="6"/>
  <c r="D27" i="11"/>
  <c r="L784" i="6"/>
  <c r="L814" i="6"/>
  <c r="U825" i="6"/>
  <c r="T825" i="6"/>
  <c r="U783" i="6"/>
  <c r="T783" i="6"/>
  <c r="L813" i="6"/>
  <c r="Y751" i="6"/>
  <c r="Y754" i="6"/>
  <c r="AA751" i="6"/>
  <c r="AA754" i="6"/>
  <c r="U759" i="6"/>
  <c r="T759" i="6"/>
  <c r="L778" i="6"/>
  <c r="U785" i="6"/>
  <c r="T785" i="6"/>
  <c r="T651" i="6"/>
  <c r="T669" i="6"/>
  <c r="U669" i="6"/>
  <c r="L815" i="6"/>
  <c r="U821" i="6"/>
  <c r="T821" i="6"/>
  <c r="L807" i="6"/>
  <c r="L812" i="6"/>
  <c r="L811" i="6"/>
  <c r="U813" i="6"/>
  <c r="T813" i="6"/>
  <c r="L713" i="6"/>
  <c r="L774" i="6"/>
  <c r="L776" i="6"/>
  <c r="U683" i="6"/>
  <c r="Z687" i="6"/>
  <c r="Z690" i="6"/>
  <c r="L877" i="6"/>
  <c r="L874" i="6"/>
  <c r="U881" i="6"/>
  <c r="T881" i="6"/>
  <c r="L878" i="6"/>
  <c r="U889" i="6"/>
  <c r="T889" i="6"/>
  <c r="L943" i="6"/>
  <c r="L939" i="6"/>
  <c r="U941" i="6"/>
  <c r="T941" i="6"/>
  <c r="L940" i="6"/>
  <c r="L907" i="6"/>
  <c r="U909" i="6"/>
  <c r="L908" i="6"/>
  <c r="L911" i="6"/>
  <c r="U917" i="6"/>
  <c r="T917" i="6"/>
  <c r="D28" i="11"/>
  <c r="L879" i="6"/>
  <c r="U885" i="6"/>
  <c r="T885" i="6"/>
  <c r="L875" i="6"/>
  <c r="U877" i="6"/>
  <c r="T877" i="6"/>
  <c r="L876" i="6"/>
  <c r="U701" i="6"/>
  <c r="T683" i="6"/>
  <c r="T701" i="6"/>
  <c r="Y783" i="6"/>
  <c r="Y786" i="6"/>
  <c r="L839" i="6"/>
  <c r="L806" i="6"/>
  <c r="L745" i="6"/>
  <c r="L843" i="6"/>
  <c r="U845" i="6"/>
  <c r="T845" i="6"/>
  <c r="L844" i="6"/>
  <c r="L846" i="6"/>
  <c r="U857" i="6"/>
  <c r="T857" i="6"/>
  <c r="L816" i="6"/>
  <c r="L808" i="6"/>
  <c r="L847" i="6"/>
  <c r="U853" i="6"/>
  <c r="T853" i="6"/>
  <c r="L810" i="6"/>
  <c r="U817" i="6"/>
  <c r="T817" i="6"/>
  <c r="U715" i="6"/>
  <c r="Z719" i="6"/>
  <c r="Z722" i="6"/>
  <c r="L845" i="6"/>
  <c r="AA783" i="6"/>
  <c r="AA786" i="6"/>
  <c r="U791" i="6"/>
  <c r="T791" i="6"/>
  <c r="L910" i="6"/>
  <c r="U921" i="6"/>
  <c r="T921" i="6"/>
  <c r="L872" i="6"/>
  <c r="L906" i="6"/>
  <c r="U913" i="6"/>
  <c r="T913" i="6"/>
  <c r="L909" i="6"/>
  <c r="U949" i="6"/>
  <c r="T949" i="6"/>
  <c r="L944" i="6"/>
  <c r="D29" i="11"/>
  <c r="L912" i="6"/>
  <c r="T909" i="6"/>
  <c r="L880" i="6"/>
  <c r="U815" i="6"/>
  <c r="T815" i="6"/>
  <c r="L840" i="6"/>
  <c r="L848" i="6"/>
  <c r="U747" i="6"/>
  <c r="Z751" i="6"/>
  <c r="Z754" i="6"/>
  <c r="T715" i="6"/>
  <c r="T733" i="6"/>
  <c r="U733" i="6"/>
  <c r="AA815" i="6"/>
  <c r="AA818" i="6"/>
  <c r="L838" i="6"/>
  <c r="L842" i="6"/>
  <c r="U849" i="6"/>
  <c r="T849" i="6"/>
  <c r="Y815" i="6"/>
  <c r="Y818" i="6"/>
  <c r="L777" i="6"/>
  <c r="L941" i="6"/>
  <c r="L938" i="6"/>
  <c r="U945" i="6"/>
  <c r="T945" i="6"/>
  <c r="L942" i="6"/>
  <c r="U953" i="6"/>
  <c r="T953" i="6"/>
  <c r="L904" i="6"/>
  <c r="Y879" i="6"/>
  <c r="Y882" i="6"/>
  <c r="D30" i="11"/>
  <c r="U951" i="6"/>
  <c r="T951" i="6"/>
  <c r="AA943" i="6"/>
  <c r="AA946" i="6"/>
  <c r="U943" i="6"/>
  <c r="U911" i="6"/>
  <c r="AA911" i="6"/>
  <c r="AA914" i="6"/>
  <c r="U879" i="6"/>
  <c r="U847" i="6"/>
  <c r="T847" i="6"/>
  <c r="AA879" i="6"/>
  <c r="AA882" i="6"/>
  <c r="U887" i="6"/>
  <c r="T887" i="6"/>
  <c r="T747" i="6"/>
  <c r="T765" i="6"/>
  <c r="U765" i="6"/>
  <c r="L809" i="6"/>
  <c r="Y847" i="6"/>
  <c r="Y850" i="6"/>
  <c r="U779" i="6"/>
  <c r="Z783" i="6"/>
  <c r="Z786" i="6"/>
  <c r="U823" i="6"/>
  <c r="T823" i="6"/>
  <c r="AA847" i="6"/>
  <c r="AA850" i="6"/>
  <c r="Y911" i="6"/>
  <c r="Y914" i="6"/>
  <c r="L936" i="6"/>
  <c r="L873" i="6"/>
  <c r="D31" i="11"/>
  <c r="D32" i="11"/>
  <c r="T943" i="6"/>
  <c r="U919" i="6"/>
  <c r="T919" i="6"/>
  <c r="T911" i="6"/>
  <c r="T879" i="6"/>
  <c r="U855" i="6"/>
  <c r="T855" i="6"/>
  <c r="T779" i="6"/>
  <c r="T797" i="6"/>
  <c r="U797" i="6"/>
  <c r="L841" i="6"/>
  <c r="U811" i="6"/>
  <c r="Z815" i="6"/>
  <c r="Z818" i="6"/>
  <c r="U875" i="6"/>
  <c r="Z879" i="6"/>
  <c r="Z882" i="6"/>
  <c r="Y943" i="6"/>
  <c r="Y946" i="6"/>
  <c r="L905" i="6"/>
  <c r="T811" i="6"/>
  <c r="T829" i="6"/>
  <c r="U829" i="6"/>
  <c r="U843" i="6"/>
  <c r="Z847" i="6"/>
  <c r="Z850" i="6"/>
  <c r="L937" i="6"/>
  <c r="U907" i="6"/>
  <c r="Z911" i="6"/>
  <c r="Z914" i="6"/>
  <c r="T875" i="6"/>
  <c r="T893" i="6"/>
  <c r="U893" i="6"/>
  <c r="T843" i="6"/>
  <c r="T861" i="6"/>
  <c r="U861" i="6"/>
  <c r="U939" i="6"/>
  <c r="Z943" i="6"/>
  <c r="Z946" i="6"/>
  <c r="T907" i="6"/>
  <c r="T925" i="6"/>
  <c r="U925" i="6"/>
  <c r="T939" i="6"/>
  <c r="T957" i="6"/>
  <c r="U957" i="6"/>
  <c r="M4" i="8" a="1"/>
  <c r="I3" i="5"/>
  <c r="R4" i="8" a="1"/>
  <c r="Q4" i="8" a="1"/>
  <c r="N4" i="8" a="1"/>
  <c r="K4" i="8" a="1"/>
  <c r="R10" i="8" a="1"/>
  <c r="L4" i="8" a="1"/>
  <c r="K10" i="8" a="1"/>
  <c r="P4" i="8" a="1"/>
  <c r="H3" i="5"/>
  <c r="O4" i="8" a="1"/>
  <c r="M10" i="8" a="1"/>
  <c r="D3" i="5"/>
  <c r="L10" i="8" a="1"/>
  <c r="F3" i="5"/>
  <c r="N10" i="8" a="1"/>
  <c r="O10" i="8" a="1"/>
  <c r="P10" i="8" a="1"/>
  <c r="Q10" i="8" a="1"/>
  <c r="K29" i="12" l="1"/>
  <c r="M29" i="12" s="1"/>
  <c r="F9" i="12"/>
  <c r="I9" i="12" s="1"/>
  <c r="O9" i="12" s="1"/>
  <c r="I45" i="12"/>
  <c r="O45" i="12" s="1"/>
  <c r="B32" i="12"/>
  <c r="S36" i="11"/>
  <c r="F7" i="12"/>
  <c r="I7" i="12" s="1"/>
  <c r="O7" i="12" s="1"/>
  <c r="K39" i="12"/>
  <c r="F41" i="12"/>
  <c r="I41" i="12" s="1"/>
  <c r="O41" i="12" s="1"/>
  <c r="L947" i="16"/>
  <c r="J984" i="16"/>
  <c r="S955" i="16"/>
  <c r="M927" i="16"/>
  <c r="H922" i="16"/>
  <c r="J1959" i="17"/>
  <c r="L909" i="16"/>
  <c r="G954" i="16"/>
  <c r="M939" i="16"/>
  <c r="S921" i="16"/>
  <c r="M917" i="16"/>
  <c r="J2028" i="17"/>
  <c r="I938" i="16"/>
  <c r="H1892" i="17"/>
  <c r="K1892" i="17" s="1"/>
  <c r="S857" i="16"/>
  <c r="G842" i="16"/>
  <c r="H1620" i="17"/>
  <c r="K1620" i="17" s="1"/>
  <c r="J924" i="16"/>
  <c r="G892" i="16"/>
  <c r="L839" i="16"/>
  <c r="G714" i="16"/>
  <c r="H1347" i="17"/>
  <c r="K1347" i="17" s="1"/>
  <c r="J902" i="16"/>
  <c r="H1552" i="17"/>
  <c r="K1552" i="17" s="1"/>
  <c r="S723" i="16"/>
  <c r="H1379" i="17"/>
  <c r="K1379" i="17" s="1"/>
  <c r="J694" i="16"/>
  <c r="I586" i="16"/>
  <c r="S519" i="16"/>
  <c r="S563" i="16"/>
  <c r="H506" i="16"/>
  <c r="H946" i="16"/>
  <c r="L943" i="16"/>
  <c r="S951" i="16"/>
  <c r="G950" i="16"/>
  <c r="G938" i="16"/>
  <c r="M921" i="16"/>
  <c r="I918" i="16"/>
  <c r="J952" i="16"/>
  <c r="J1992" i="17"/>
  <c r="S875" i="16"/>
  <c r="G856" i="16"/>
  <c r="I828" i="16"/>
  <c r="I824" i="16"/>
  <c r="I820" i="16"/>
  <c r="I816" i="16"/>
  <c r="S877" i="16"/>
  <c r="S823" i="16"/>
  <c r="J632" i="16"/>
  <c r="S625" i="16"/>
  <c r="F1757" i="17"/>
  <c r="M793" i="16"/>
  <c r="F1414" i="17"/>
  <c r="G1689" i="17"/>
  <c r="I726" i="16"/>
  <c r="H924" i="16"/>
  <c r="G888" i="16"/>
  <c r="I746" i="16"/>
  <c r="S715" i="16"/>
  <c r="H518" i="16"/>
  <c r="J682" i="16"/>
  <c r="F590" i="16"/>
  <c r="F582" i="16"/>
  <c r="L455" i="16"/>
  <c r="I358" i="16"/>
  <c r="H588" i="16"/>
  <c r="J470" i="16"/>
  <c r="H1208" i="17"/>
  <c r="K1208" i="17" s="1"/>
  <c r="I378" i="16"/>
  <c r="G1004" i="17"/>
  <c r="J844" i="16"/>
  <c r="H652" i="16"/>
  <c r="J892" i="16"/>
  <c r="J976" i="16"/>
  <c r="J922" i="16"/>
  <c r="S939" i="16"/>
  <c r="M829" i="16"/>
  <c r="M825" i="16"/>
  <c r="M821" i="16"/>
  <c r="M817" i="16"/>
  <c r="H1754" i="17"/>
  <c r="K1754" i="17" s="1"/>
  <c r="M629" i="16"/>
  <c r="H1315" i="17"/>
  <c r="K1315" i="17" s="1"/>
  <c r="F1723" i="17"/>
  <c r="H1891" i="17"/>
  <c r="K1891" i="17" s="1"/>
  <c r="F820" i="16"/>
  <c r="F1416" i="17"/>
  <c r="I590" i="16"/>
  <c r="L519" i="16"/>
  <c r="H538" i="16"/>
  <c r="S491" i="16"/>
  <c r="J838" i="17"/>
  <c r="G570" i="16"/>
  <c r="F540" i="16"/>
  <c r="I406" i="16"/>
  <c r="I270" i="16"/>
  <c r="I86" i="16"/>
  <c r="I82" i="16"/>
  <c r="S311" i="16"/>
  <c r="J748" i="16"/>
  <c r="M627" i="16"/>
  <c r="F18" i="12"/>
  <c r="I18" i="12" s="1"/>
  <c r="O18" i="12" s="1"/>
  <c r="F42" i="12"/>
  <c r="I42" i="12" s="1"/>
  <c r="O42" i="12" s="1"/>
  <c r="T36" i="11"/>
  <c r="I44" i="12"/>
  <c r="O44" i="12" s="1"/>
  <c r="F12" i="12"/>
  <c r="I12" i="12" s="1"/>
  <c r="O12" i="12" s="1"/>
  <c r="F13" i="12"/>
  <c r="I13" i="12" s="1"/>
  <c r="O13" i="12" s="1"/>
  <c r="R36" i="11"/>
  <c r="F6" i="12"/>
  <c r="I6" i="12" s="1"/>
  <c r="O6" i="12" s="1"/>
  <c r="F8" i="12"/>
  <c r="I8" i="12" s="1"/>
  <c r="O8" i="12" s="1"/>
  <c r="D17" i="12"/>
  <c r="F11" i="12"/>
  <c r="I11" i="12" s="1"/>
  <c r="O11" i="12" s="1"/>
  <c r="F14" i="12"/>
  <c r="I14" i="12" s="1"/>
  <c r="O14" i="12" s="1"/>
  <c r="E32" i="12"/>
  <c r="I46" i="12"/>
  <c r="O46" i="12" s="1"/>
  <c r="L29" i="12"/>
  <c r="K30" i="12"/>
  <c r="M30" i="12" s="1"/>
  <c r="F32" i="12"/>
  <c r="F43" i="12"/>
  <c r="I43" i="12" s="1"/>
  <c r="O43" i="12" s="1"/>
  <c r="M725" i="16"/>
  <c r="M727" i="16"/>
  <c r="M733" i="16"/>
  <c r="L821" i="16"/>
  <c r="J294" i="17"/>
  <c r="I142" i="16"/>
  <c r="F358" i="17"/>
  <c r="F166" i="16"/>
  <c r="J494" i="17"/>
  <c r="I230" i="16"/>
  <c r="J532" i="17"/>
  <c r="I250" i="16"/>
  <c r="F266" i="16"/>
  <c r="F564" i="17"/>
  <c r="S271" i="16"/>
  <c r="M271" i="16"/>
  <c r="H596" i="17"/>
  <c r="K596" i="17" s="1"/>
  <c r="M275" i="16"/>
  <c r="J596" i="17"/>
  <c r="I274" i="16"/>
  <c r="G284" i="16"/>
  <c r="S285" i="16"/>
  <c r="S303" i="16"/>
  <c r="H634" i="17"/>
  <c r="K634" i="17" s="1"/>
  <c r="H664" i="17"/>
  <c r="K664" i="17" s="1"/>
  <c r="S307" i="16"/>
  <c r="G306" i="16"/>
  <c r="I669" i="17"/>
  <c r="L317" i="16"/>
  <c r="F768" i="17"/>
  <c r="M363" i="16"/>
  <c r="J802" i="17"/>
  <c r="I374" i="16"/>
  <c r="H834" i="17"/>
  <c r="K834" i="17" s="1"/>
  <c r="S391" i="16"/>
  <c r="J836" i="17"/>
  <c r="I394" i="16"/>
  <c r="G396" i="16"/>
  <c r="S397" i="16"/>
  <c r="G402" i="16"/>
  <c r="H868" i="17"/>
  <c r="K868" i="17" s="1"/>
  <c r="H404" i="16"/>
  <c r="I869" i="17"/>
  <c r="H870" i="17"/>
  <c r="K870" i="17" s="1"/>
  <c r="M407" i="16"/>
  <c r="J871" i="17"/>
  <c r="I408" i="16"/>
  <c r="S423" i="16"/>
  <c r="G422" i="16"/>
  <c r="J905" i="17"/>
  <c r="I428" i="16"/>
  <c r="F905" i="17"/>
  <c r="F428" i="16"/>
  <c r="F907" i="17"/>
  <c r="F432" i="16"/>
  <c r="J937" i="17"/>
  <c r="I436" i="16"/>
  <c r="F937" i="17"/>
  <c r="F436" i="16"/>
  <c r="G442" i="16"/>
  <c r="H940" i="17"/>
  <c r="K940" i="17" s="1"/>
  <c r="S443" i="16"/>
  <c r="F971" i="17"/>
  <c r="F456" i="16"/>
  <c r="F462" i="16"/>
  <c r="F974" i="17"/>
  <c r="F1004" i="17"/>
  <c r="F466" i="16"/>
  <c r="F1005" i="17"/>
  <c r="F468" i="16"/>
  <c r="F1007" i="17"/>
  <c r="F472" i="16"/>
  <c r="F1008" i="17"/>
  <c r="F474" i="16"/>
  <c r="G498" i="16"/>
  <c r="S499" i="16"/>
  <c r="I1074" i="17"/>
  <c r="H502" i="16"/>
  <c r="S523" i="16"/>
  <c r="G522" i="16"/>
  <c r="I528" i="16"/>
  <c r="J1111" i="17"/>
  <c r="M531" i="16"/>
  <c r="F530" i="16"/>
  <c r="S533" i="16"/>
  <c r="G532" i="16"/>
  <c r="S535" i="16"/>
  <c r="H1142" i="17"/>
  <c r="K1142" i="17" s="1"/>
  <c r="J1143" i="17"/>
  <c r="I536" i="16"/>
  <c r="L537" i="16"/>
  <c r="S539" i="16"/>
  <c r="H1144" i="17"/>
  <c r="K1144" i="17" s="1"/>
  <c r="G538" i="16"/>
  <c r="G1174" i="17"/>
  <c r="J550" i="16"/>
  <c r="S555" i="16"/>
  <c r="G554" i="16"/>
  <c r="J1210" i="17"/>
  <c r="I566" i="16"/>
  <c r="M593" i="16"/>
  <c r="G592" i="16"/>
  <c r="F1247" i="17"/>
  <c r="F592" i="16"/>
  <c r="J1247" i="17"/>
  <c r="I592" i="16"/>
  <c r="F1276" i="17"/>
  <c r="F594" i="16"/>
  <c r="I1277" i="17"/>
  <c r="H596" i="16"/>
  <c r="I1281" i="17"/>
  <c r="H604" i="16"/>
  <c r="J1310" i="17"/>
  <c r="I614" i="16"/>
  <c r="I1311" i="17"/>
  <c r="L617" i="16"/>
  <c r="J1311" i="17"/>
  <c r="I616" i="16"/>
  <c r="G1312" i="17"/>
  <c r="J618" i="16"/>
  <c r="I1346" i="17"/>
  <c r="H630" i="16"/>
  <c r="G1346" i="17"/>
  <c r="J630" i="16"/>
  <c r="G650" i="16"/>
  <c r="S651" i="16"/>
  <c r="H1383" i="17"/>
  <c r="K1383" i="17" s="1"/>
  <c r="G656" i="16"/>
  <c r="G678" i="16"/>
  <c r="H1446" i="17"/>
  <c r="K1446" i="17" s="1"/>
  <c r="G1450" i="17"/>
  <c r="J686" i="16"/>
  <c r="G1480" i="17"/>
  <c r="J690" i="16"/>
  <c r="F1518" i="17"/>
  <c r="M719" i="16"/>
  <c r="F718" i="16"/>
  <c r="G1551" i="17"/>
  <c r="J728" i="16"/>
  <c r="G1618" i="17"/>
  <c r="J758" i="16"/>
  <c r="G1650" i="17"/>
  <c r="J774" i="16"/>
  <c r="H1654" i="17"/>
  <c r="K1654" i="17" s="1"/>
  <c r="S783" i="16"/>
  <c r="H1718" i="17"/>
  <c r="K1718" i="17" s="1"/>
  <c r="G806" i="16"/>
  <c r="I1721" i="17"/>
  <c r="H812" i="16"/>
  <c r="G852" i="16"/>
  <c r="S853" i="16"/>
  <c r="G854" i="16"/>
  <c r="S855" i="16"/>
  <c r="H1855" i="17"/>
  <c r="K1855" i="17" s="1"/>
  <c r="G872" i="16"/>
  <c r="G1859" i="17"/>
  <c r="J880" i="16"/>
  <c r="I1927" i="17"/>
  <c r="H912" i="16"/>
  <c r="F1958" i="17"/>
  <c r="F918" i="16"/>
  <c r="G2025" i="17"/>
  <c r="J948" i="16"/>
  <c r="H504" i="16"/>
  <c r="L327" i="16"/>
  <c r="H1106" i="17"/>
  <c r="K1106" i="17" s="1"/>
  <c r="H902" i="17"/>
  <c r="K902" i="17" s="1"/>
  <c r="F378" i="16"/>
  <c r="F362" i="16"/>
  <c r="H508" i="16"/>
  <c r="S445" i="16"/>
  <c r="F1143" i="17"/>
  <c r="F464" i="16"/>
  <c r="J392" i="16"/>
  <c r="J291" i="17"/>
  <c r="J768" i="17"/>
  <c r="I873" i="17"/>
  <c r="G220" i="16"/>
  <c r="J970" i="17"/>
  <c r="G936" i="17"/>
  <c r="H1108" i="17"/>
  <c r="K1108" i="17" s="1"/>
  <c r="H454" i="16"/>
  <c r="M279" i="16"/>
  <c r="F476" i="16"/>
  <c r="F460" i="16"/>
  <c r="F440" i="16"/>
  <c r="S403" i="16"/>
  <c r="M457" i="16"/>
  <c r="H941" i="17"/>
  <c r="K941" i="17" s="1"/>
  <c r="H1176" i="17"/>
  <c r="K1176" i="17" s="1"/>
  <c r="F1140" i="17"/>
  <c r="I422" i="16"/>
  <c r="F374" i="16"/>
  <c r="G372" i="16"/>
  <c r="S269" i="16"/>
  <c r="J464" i="16"/>
  <c r="F635" i="17"/>
  <c r="F596" i="17"/>
  <c r="F870" i="17"/>
  <c r="J614" i="16"/>
  <c r="G46" i="16"/>
  <c r="L697" i="16"/>
  <c r="L309" i="16"/>
  <c r="S813" i="16"/>
  <c r="X9" i="8"/>
  <c r="X49" i="8"/>
  <c r="X209" i="8"/>
  <c r="X849" i="8"/>
  <c r="X769" i="8"/>
  <c r="L171" i="16"/>
  <c r="AC33" i="11"/>
  <c r="N7" i="12"/>
  <c r="M7" i="12" s="1"/>
  <c r="X489" i="8"/>
  <c r="X249" i="8"/>
  <c r="X1129" i="8"/>
  <c r="X889" i="8"/>
  <c r="G348" i="16"/>
  <c r="S151" i="16"/>
  <c r="G14" i="16"/>
  <c r="L45" i="16"/>
  <c r="L143" i="16"/>
  <c r="H461" i="17"/>
  <c r="K461" i="17" s="1"/>
  <c r="S213" i="16"/>
  <c r="I234" i="16"/>
  <c r="J496" i="17"/>
  <c r="F631" i="17"/>
  <c r="F296" i="16"/>
  <c r="F665" i="17"/>
  <c r="F308" i="16"/>
  <c r="G314" i="16"/>
  <c r="H668" i="17"/>
  <c r="K668" i="17" s="1"/>
  <c r="H1514" i="17"/>
  <c r="K1514" i="17" s="1"/>
  <c r="G710" i="16"/>
  <c r="I1653" i="17"/>
  <c r="H780" i="16"/>
  <c r="G1722" i="17"/>
  <c r="J814" i="16"/>
  <c r="H1956" i="17"/>
  <c r="K1956" i="17" s="1"/>
  <c r="G914" i="16"/>
  <c r="F1994" i="17"/>
  <c r="F942" i="16"/>
  <c r="J156" i="17"/>
  <c r="I74" i="16"/>
  <c r="J224" i="17"/>
  <c r="I106" i="16"/>
  <c r="G156" i="16"/>
  <c r="S157" i="16"/>
  <c r="F359" i="17"/>
  <c r="F168" i="16"/>
  <c r="F361" i="17"/>
  <c r="F172" i="16"/>
  <c r="J392" i="17"/>
  <c r="I178" i="16"/>
  <c r="J498" i="17"/>
  <c r="I238" i="16"/>
  <c r="I699" i="17"/>
  <c r="L329" i="16"/>
  <c r="I702" i="17"/>
  <c r="H334" i="16"/>
  <c r="L335" i="16"/>
  <c r="I733" i="17"/>
  <c r="L341" i="16"/>
  <c r="G801" i="17"/>
  <c r="J372" i="16"/>
  <c r="S379" i="16"/>
  <c r="H804" i="17"/>
  <c r="K804" i="17" s="1"/>
  <c r="I1178" i="17"/>
  <c r="H558" i="16"/>
  <c r="J1242" i="17"/>
  <c r="I582" i="16"/>
  <c r="H1279" i="17"/>
  <c r="S601" i="16"/>
  <c r="J1416" i="17"/>
  <c r="I666" i="16"/>
  <c r="F1448" i="17"/>
  <c r="F682" i="16"/>
  <c r="F1481" i="17"/>
  <c r="F692" i="16"/>
  <c r="G744" i="16"/>
  <c r="H1583" i="17"/>
  <c r="K1583" i="17" s="1"/>
  <c r="G754" i="16"/>
  <c r="H1616" i="17"/>
  <c r="K1616" i="17" s="1"/>
  <c r="F778" i="16"/>
  <c r="F1652" i="17"/>
  <c r="G1684" i="17"/>
  <c r="J786" i="16"/>
  <c r="J1824" i="17"/>
  <c r="I858" i="16"/>
  <c r="I1893" i="17"/>
  <c r="H892" i="16"/>
  <c r="I2026" i="17"/>
  <c r="H950" i="16"/>
  <c r="I154" i="16"/>
  <c r="J426" i="17"/>
  <c r="F170" i="16"/>
  <c r="H427" i="17"/>
  <c r="K427" i="17" s="1"/>
  <c r="J108" i="16"/>
  <c r="L157" i="16"/>
  <c r="F328" i="17"/>
  <c r="L653" i="16"/>
  <c r="M745" i="16"/>
  <c r="H1349" i="17"/>
  <c r="K1349" i="17" s="1"/>
  <c r="S629" i="16"/>
  <c r="J616" i="16"/>
  <c r="S727" i="16"/>
  <c r="S733" i="16"/>
  <c r="S725" i="16"/>
  <c r="S717" i="16"/>
  <c r="G688" i="16"/>
  <c r="M681" i="16"/>
  <c r="S567" i="16"/>
  <c r="H1174" i="17"/>
  <c r="K1174" i="17" s="1"/>
  <c r="H1143" i="17"/>
  <c r="K1143" i="17" s="1"/>
  <c r="H1111" i="17"/>
  <c r="K1111" i="17" s="1"/>
  <c r="H1109" i="17"/>
  <c r="K1109" i="17" s="1"/>
  <c r="M573" i="16"/>
  <c r="M565" i="16"/>
  <c r="M557" i="16"/>
  <c r="L531" i="16"/>
  <c r="L443" i="16"/>
  <c r="H530" i="16"/>
  <c r="L369" i="16"/>
  <c r="M477" i="16"/>
  <c r="H903" i="17"/>
  <c r="K903" i="17" s="1"/>
  <c r="F394" i="16"/>
  <c r="S369" i="16"/>
  <c r="M283" i="16"/>
  <c r="M267" i="16"/>
  <c r="M475" i="16"/>
  <c r="J378" i="16"/>
  <c r="G368" i="16"/>
  <c r="J476" i="16"/>
  <c r="H1007" i="17"/>
  <c r="K1007" i="17" s="1"/>
  <c r="G456" i="16"/>
  <c r="L189" i="16"/>
  <c r="M529" i="16"/>
  <c r="H1006" i="17"/>
  <c r="K1006" i="17" s="1"/>
  <c r="I442" i="16"/>
  <c r="S435" i="16"/>
  <c r="L345" i="16"/>
  <c r="S275" i="16"/>
  <c r="S363" i="16"/>
  <c r="F598" i="17"/>
  <c r="I150" i="16"/>
  <c r="J257" i="17"/>
  <c r="S315" i="16"/>
  <c r="J598" i="17"/>
  <c r="F60" i="16"/>
  <c r="F282" i="16"/>
  <c r="F408" i="16"/>
  <c r="G326" i="16"/>
  <c r="F300" i="16"/>
  <c r="H463" i="17"/>
  <c r="K463" i="17" s="1"/>
  <c r="G204" i="16"/>
  <c r="S153" i="16"/>
  <c r="F684" i="16"/>
  <c r="F380" i="16"/>
  <c r="S755" i="16"/>
  <c r="F774" i="16"/>
  <c r="H346" i="16"/>
  <c r="I940" i="17"/>
  <c r="J886" i="16"/>
  <c r="H16" i="16"/>
  <c r="J312" i="16"/>
  <c r="L75" i="16"/>
  <c r="M79" i="16"/>
  <c r="M987" i="16"/>
  <c r="M169" i="16"/>
  <c r="M173" i="16"/>
  <c r="M177" i="16"/>
  <c r="M181" i="16"/>
  <c r="M183" i="16"/>
  <c r="M471" i="16"/>
  <c r="M599" i="16"/>
  <c r="M615" i="16"/>
  <c r="L647" i="16"/>
  <c r="L681" i="16"/>
  <c r="L753" i="16"/>
  <c r="L761" i="16"/>
  <c r="M779" i="16"/>
  <c r="L793" i="16"/>
  <c r="L795" i="16"/>
  <c r="L871" i="16"/>
  <c r="L877" i="16"/>
  <c r="M885" i="16"/>
  <c r="L945" i="16"/>
  <c r="L951" i="16"/>
  <c r="L957" i="16"/>
  <c r="L971" i="16"/>
  <c r="L973" i="16"/>
  <c r="L979" i="16"/>
  <c r="L985" i="16"/>
  <c r="L989" i="16"/>
  <c r="T139" i="6"/>
  <c r="T157" i="6" s="1"/>
  <c r="M121" i="16"/>
  <c r="L399" i="16"/>
  <c r="M669" i="16"/>
  <c r="L715" i="16"/>
  <c r="L731" i="16"/>
  <c r="L813" i="16"/>
  <c r="L905" i="16"/>
  <c r="L913" i="16"/>
  <c r="M189" i="16"/>
  <c r="M555" i="16"/>
  <c r="L555" i="16"/>
  <c r="M563" i="16"/>
  <c r="M571" i="16"/>
  <c r="L571" i="16"/>
  <c r="L655" i="16"/>
  <c r="L661" i="16"/>
  <c r="L669" i="16"/>
  <c r="M783" i="16"/>
  <c r="M893" i="16"/>
  <c r="G260" i="17"/>
  <c r="J122" i="16"/>
  <c r="G1345" i="17"/>
  <c r="J628" i="16"/>
  <c r="H1414" i="17"/>
  <c r="K1414" i="17" s="1"/>
  <c r="G662" i="16"/>
  <c r="S687" i="16"/>
  <c r="H1450" i="17"/>
  <c r="K1450" i="17" s="1"/>
  <c r="M687" i="16"/>
  <c r="S695" i="16"/>
  <c r="G694" i="16"/>
  <c r="S699" i="16"/>
  <c r="H1484" i="17"/>
  <c r="K1484" i="17" s="1"/>
  <c r="G1518" i="17"/>
  <c r="J718" i="16"/>
  <c r="J1548" i="17"/>
  <c r="I722" i="16"/>
  <c r="G1549" i="17"/>
  <c r="J724" i="16"/>
  <c r="I1550" i="17"/>
  <c r="H726" i="16"/>
  <c r="L727" i="16"/>
  <c r="F1551" i="17"/>
  <c r="F728" i="16"/>
  <c r="G1553" i="17"/>
  <c r="J732" i="16"/>
  <c r="G1586" i="17"/>
  <c r="J750" i="16"/>
  <c r="G774" i="16"/>
  <c r="S775" i="16"/>
  <c r="F1651" i="17"/>
  <c r="F776" i="16"/>
  <c r="F1653" i="17"/>
  <c r="F780" i="16"/>
  <c r="J1653" i="17"/>
  <c r="I780" i="16"/>
  <c r="S795" i="16"/>
  <c r="M795" i="16"/>
  <c r="I806" i="16"/>
  <c r="L807" i="16"/>
  <c r="G810" i="16"/>
  <c r="H1720" i="17"/>
  <c r="K1720" i="17" s="1"/>
  <c r="G814" i="16"/>
  <c r="H1722" i="17"/>
  <c r="K1722" i="17" s="1"/>
  <c r="G1723" i="17"/>
  <c r="J816" i="16"/>
  <c r="L817" i="16"/>
  <c r="H816" i="16"/>
  <c r="G818" i="16"/>
  <c r="H1752" i="17"/>
  <c r="K1752" i="17" s="1"/>
  <c r="I1755" i="17"/>
  <c r="L825" i="16"/>
  <c r="I1756" i="17"/>
  <c r="L827" i="16"/>
  <c r="J1756" i="17"/>
  <c r="I826" i="16"/>
  <c r="L829" i="16"/>
  <c r="H828" i="16"/>
  <c r="S839" i="16"/>
  <c r="H1786" i="17"/>
  <c r="K1786" i="17" s="1"/>
  <c r="M839" i="16"/>
  <c r="G838" i="16"/>
  <c r="J1786" i="17"/>
  <c r="I838" i="16"/>
  <c r="G846" i="16"/>
  <c r="S847" i="16"/>
  <c r="G1820" i="17"/>
  <c r="J850" i="16"/>
  <c r="J1821" i="17"/>
  <c r="I852" i="16"/>
  <c r="J1822" i="17"/>
  <c r="I854" i="16"/>
  <c r="L855" i="16"/>
  <c r="F1822" i="17"/>
  <c r="F854" i="16"/>
  <c r="J1823" i="17"/>
  <c r="L857" i="16"/>
  <c r="F1823" i="17"/>
  <c r="F856" i="16"/>
  <c r="M857" i="16"/>
  <c r="S859" i="16"/>
  <c r="M859" i="16"/>
  <c r="G1825" i="17"/>
  <c r="J860" i="16"/>
  <c r="J1855" i="17"/>
  <c r="I872" i="16"/>
  <c r="F1855" i="17"/>
  <c r="M873" i="16"/>
  <c r="J1856" i="17"/>
  <c r="I874" i="16"/>
  <c r="F1856" i="17"/>
  <c r="F874" i="16"/>
  <c r="M875" i="16"/>
  <c r="I1858" i="17"/>
  <c r="H878" i="16"/>
  <c r="I1888" i="17"/>
  <c r="L883" i="16"/>
  <c r="M887" i="16"/>
  <c r="H1890" i="17"/>
  <c r="K1890" i="17" s="1"/>
  <c r="I888" i="16"/>
  <c r="L889" i="16"/>
  <c r="J1892" i="17"/>
  <c r="I890" i="16"/>
  <c r="F1892" i="17"/>
  <c r="F890" i="16"/>
  <c r="M891" i="16"/>
  <c r="J1922" i="17"/>
  <c r="L903" i="16"/>
  <c r="H1923" i="17"/>
  <c r="K1923" i="17" s="1"/>
  <c r="M905" i="16"/>
  <c r="F1923" i="17"/>
  <c r="F904" i="16"/>
  <c r="G1926" i="17"/>
  <c r="J910" i="16"/>
  <c r="H1926" i="17"/>
  <c r="K1926" i="17" s="1"/>
  <c r="S911" i="16"/>
  <c r="M911" i="16"/>
  <c r="H1927" i="17"/>
  <c r="K1927" i="17" s="1"/>
  <c r="S913" i="16"/>
  <c r="M913" i="16"/>
  <c r="F1957" i="17"/>
  <c r="F916" i="16"/>
  <c r="L917" i="16"/>
  <c r="H916" i="16"/>
  <c r="G1958" i="17"/>
  <c r="J918" i="16"/>
  <c r="I1958" i="17"/>
  <c r="L919" i="16"/>
  <c r="H918" i="16"/>
  <c r="G1959" i="17"/>
  <c r="J920" i="16"/>
  <c r="I922" i="16"/>
  <c r="L923" i="16"/>
  <c r="H1961" i="17"/>
  <c r="K1961" i="17" s="1"/>
  <c r="M925" i="16"/>
  <c r="G924" i="16"/>
  <c r="M935" i="16"/>
  <c r="S935" i="16"/>
  <c r="F1990" i="17"/>
  <c r="F934" i="16"/>
  <c r="I1994" i="17"/>
  <c r="H942" i="16"/>
  <c r="H2025" i="17"/>
  <c r="K2025" i="17" s="1"/>
  <c r="M949" i="16"/>
  <c r="F2027" i="17"/>
  <c r="F952" i="16"/>
  <c r="G952" i="16"/>
  <c r="S953" i="16"/>
  <c r="I2028" i="17"/>
  <c r="H954" i="16"/>
  <c r="I2058" i="17"/>
  <c r="H966" i="16"/>
  <c r="M967" i="16"/>
  <c r="F2058" i="17"/>
  <c r="F966" i="16"/>
  <c r="S969" i="16"/>
  <c r="M969" i="16"/>
  <c r="G968" i="16"/>
  <c r="G970" i="16"/>
  <c r="H2060" i="17"/>
  <c r="K2060" i="17" s="1"/>
  <c r="S973" i="16"/>
  <c r="H2061" i="17"/>
  <c r="K2061" i="17" s="1"/>
  <c r="H2092" i="17"/>
  <c r="K2092" i="17" s="1"/>
  <c r="M979" i="16"/>
  <c r="G978" i="16"/>
  <c r="S989" i="16"/>
  <c r="M989" i="16"/>
  <c r="D10" i="7"/>
  <c r="E11" i="7"/>
  <c r="J290" i="17"/>
  <c r="I134" i="16"/>
  <c r="F404" i="16"/>
  <c r="F869" i="17"/>
  <c r="I784" i="16"/>
  <c r="L785" i="16"/>
  <c r="L791" i="16"/>
  <c r="L777" i="16"/>
  <c r="I812" i="16"/>
  <c r="F784" i="16"/>
  <c r="H826" i="16"/>
  <c r="M819" i="16"/>
  <c r="J792" i="16"/>
  <c r="J1516" i="17"/>
  <c r="M633" i="16"/>
  <c r="F788" i="16"/>
  <c r="I712" i="16"/>
  <c r="I1753" i="17"/>
  <c r="L465" i="16"/>
  <c r="J295" i="17"/>
  <c r="J261" i="17"/>
  <c r="F7" i="7"/>
  <c r="F5" i="7" s="1"/>
  <c r="H938" i="16"/>
  <c r="F796" i="16"/>
  <c r="F872" i="16"/>
  <c r="J752" i="16"/>
  <c r="G902" i="16"/>
  <c r="H882" i="16"/>
  <c r="J726" i="16"/>
  <c r="H718" i="16"/>
  <c r="I856" i="16"/>
  <c r="L789" i="16"/>
  <c r="J1721" i="17"/>
  <c r="M807" i="16"/>
  <c r="M775" i="16"/>
  <c r="L853" i="16"/>
  <c r="F1718" i="17"/>
  <c r="S887" i="16"/>
  <c r="S819" i="16"/>
  <c r="M811" i="16"/>
  <c r="L723" i="16"/>
  <c r="J806" i="16"/>
  <c r="I730" i="16"/>
  <c r="G690" i="16"/>
  <c r="I1723" i="17"/>
  <c r="I720" i="16"/>
  <c r="I1757" i="17"/>
  <c r="H158" i="17"/>
  <c r="K158" i="17" s="1"/>
  <c r="J44" i="16"/>
  <c r="H291" i="17"/>
  <c r="K291" i="17" s="1"/>
  <c r="J154" i="17"/>
  <c r="F10" i="7"/>
  <c r="J1891" i="17"/>
  <c r="F720" i="16"/>
  <c r="J744" i="16"/>
  <c r="I860" i="16"/>
  <c r="G976" i="16"/>
  <c r="J754" i="16"/>
  <c r="I788" i="16"/>
  <c r="I882" i="16"/>
  <c r="G87" i="17"/>
  <c r="J40" i="16"/>
  <c r="I118" i="16"/>
  <c r="J258" i="17"/>
  <c r="G533" i="17"/>
  <c r="J252" i="16"/>
  <c r="L879" i="16"/>
  <c r="L873" i="16"/>
  <c r="I948" i="16"/>
  <c r="M971" i="16"/>
  <c r="G948" i="16"/>
  <c r="J1927" i="17"/>
  <c r="J1923" i="17"/>
  <c r="H1790" i="17"/>
  <c r="K1790" i="17" s="1"/>
  <c r="H1650" i="17"/>
  <c r="K1650" i="17" s="1"/>
  <c r="F1722" i="17"/>
  <c r="I796" i="16"/>
  <c r="G886" i="16"/>
  <c r="J1722" i="17"/>
  <c r="M815" i="16"/>
  <c r="S811" i="16"/>
  <c r="L719" i="16"/>
  <c r="L775" i="16"/>
  <c r="J1552" i="17"/>
  <c r="M691" i="16"/>
  <c r="F812" i="16"/>
  <c r="I728" i="16"/>
  <c r="G664" i="16"/>
  <c r="I790" i="16"/>
  <c r="L925" i="16"/>
  <c r="M889" i="16"/>
  <c r="M855" i="16"/>
  <c r="H824" i="16"/>
  <c r="M763" i="16"/>
  <c r="J762" i="16"/>
  <c r="J106" i="16"/>
  <c r="G1787" i="17"/>
  <c r="G1753" i="17"/>
  <c r="F712" i="16"/>
  <c r="G912" i="16"/>
  <c r="G794" i="16"/>
  <c r="H908" i="16"/>
  <c r="H786" i="16"/>
  <c r="G910" i="16"/>
  <c r="J716" i="16"/>
  <c r="G904" i="16"/>
  <c r="L81" i="16"/>
  <c r="L687" i="16"/>
  <c r="L695" i="16"/>
  <c r="L713" i="16"/>
  <c r="L721" i="16"/>
  <c r="L729" i="16"/>
  <c r="M781" i="16"/>
  <c r="H50" i="16"/>
  <c r="P32" i="1"/>
  <c r="V32" i="1" s="1"/>
  <c r="L16" i="6"/>
  <c r="H18" i="6" s="1"/>
  <c r="AN17" i="3"/>
  <c r="T9" i="4"/>
  <c r="K33" i="1"/>
  <c r="AD15" i="16"/>
  <c r="E15" i="16" s="1"/>
  <c r="AD29" i="16"/>
  <c r="E29" i="16" s="1"/>
  <c r="L987" i="16"/>
  <c r="I934" i="16"/>
  <c r="G840" i="16"/>
  <c r="H1756" i="17"/>
  <c r="K1756" i="17" s="1"/>
  <c r="F602" i="16"/>
  <c r="F526" i="16"/>
  <c r="H397" i="17"/>
  <c r="K397" i="17" s="1"/>
  <c r="U4" i="3"/>
  <c r="AM5" i="3"/>
  <c r="AY9" i="3"/>
  <c r="AL10" i="3"/>
  <c r="AL17" i="3" s="1"/>
  <c r="AL13" i="3"/>
  <c r="AY5" i="3"/>
  <c r="AA6" i="3"/>
  <c r="AA18" i="3" s="1"/>
  <c r="AA7" i="3"/>
  <c r="AF13" i="16" s="1"/>
  <c r="U14" i="3"/>
  <c r="F982" i="16"/>
  <c r="H1960" i="17"/>
  <c r="K1960" i="17" s="1"/>
  <c r="J2062" i="17"/>
  <c r="M975" i="16"/>
  <c r="I966" i="16"/>
  <c r="M883" i="16"/>
  <c r="G2097" i="17"/>
  <c r="G1993" i="17"/>
  <c r="M861" i="16"/>
  <c r="D29" i="16"/>
  <c r="Q29" i="16" s="1"/>
  <c r="AN13" i="3"/>
  <c r="AA9" i="3"/>
  <c r="AF17" i="16" s="1"/>
  <c r="AK14" i="3"/>
  <c r="AK17" i="3" s="1"/>
  <c r="AH4" i="3"/>
  <c r="AH18" i="3" s="1"/>
  <c r="AA4" i="3"/>
  <c r="AF7" i="16" s="1"/>
  <c r="AM10" i="3"/>
  <c r="AH12" i="3"/>
  <c r="AM13" i="3"/>
  <c r="AL15" i="3"/>
  <c r="AA14" i="3"/>
  <c r="AF27" i="16" s="1"/>
  <c r="AB5" i="3"/>
  <c r="U5" i="4" s="1"/>
  <c r="L941" i="16"/>
  <c r="J2094" i="17"/>
  <c r="M983" i="16"/>
  <c r="G850" i="16"/>
  <c r="G2029" i="17"/>
  <c r="AN5" i="3"/>
  <c r="F710" i="16"/>
  <c r="B28" i="1"/>
  <c r="C28" i="1" s="1"/>
  <c r="AY12" i="3"/>
  <c r="AA12" i="3"/>
  <c r="AF23" i="16" s="1"/>
  <c r="L14" i="6"/>
  <c r="H20" i="6" s="1"/>
  <c r="E20" i="6" s="1"/>
  <c r="G20" i="6" s="1"/>
  <c r="U25" i="6" s="1"/>
  <c r="T25" i="6" s="1"/>
  <c r="P30" i="1"/>
  <c r="V30" i="1" s="1"/>
  <c r="AB13" i="3"/>
  <c r="U13" i="4" s="1"/>
  <c r="AF25" i="16"/>
  <c r="O32" i="1"/>
  <c r="S32" i="1" s="1"/>
  <c r="R32" i="1"/>
  <c r="O30" i="1"/>
  <c r="S30" i="1" s="1"/>
  <c r="E18" i="6"/>
  <c r="G18" i="6" s="1"/>
  <c r="U23" i="6" s="1"/>
  <c r="T23" i="6" s="1"/>
  <c r="L15" i="6"/>
  <c r="H19" i="6" s="1"/>
  <c r="E19" i="6" s="1"/>
  <c r="G19" i="6" s="1"/>
  <c r="U21" i="6" s="1"/>
  <c r="T21" i="6" s="1"/>
  <c r="P31" i="1"/>
  <c r="V31" i="1" s="1"/>
  <c r="AB12" i="3"/>
  <c r="U12" i="4" s="1"/>
  <c r="L977" i="16"/>
  <c r="L969" i="16"/>
  <c r="S923" i="16"/>
  <c r="L893" i="16"/>
  <c r="F940" i="16"/>
  <c r="M947" i="16"/>
  <c r="S883" i="16"/>
  <c r="H1820" i="17"/>
  <c r="K1820" i="17" s="1"/>
  <c r="H1721" i="17"/>
  <c r="K1721" i="17" s="1"/>
  <c r="J972" i="16"/>
  <c r="M937" i="16"/>
  <c r="S861" i="16"/>
  <c r="M823" i="16"/>
  <c r="H1655" i="17"/>
  <c r="K1655" i="17" s="1"/>
  <c r="F758" i="16"/>
  <c r="L573" i="16"/>
  <c r="H361" i="17"/>
  <c r="K361" i="17" s="1"/>
  <c r="N31" i="1"/>
  <c r="B27" i="1"/>
  <c r="C27" i="1" s="1"/>
  <c r="AE15" i="16"/>
  <c r="E22" i="17" s="1"/>
  <c r="L937" i="16"/>
  <c r="L983" i="16"/>
  <c r="L975" i="16"/>
  <c r="M915" i="16"/>
  <c r="M907" i="16"/>
  <c r="L887" i="16"/>
  <c r="G882" i="16"/>
  <c r="G848" i="16"/>
  <c r="J784" i="16"/>
  <c r="F844" i="16"/>
  <c r="F822" i="16"/>
  <c r="L811" i="16"/>
  <c r="H810" i="16"/>
  <c r="M749" i="16"/>
  <c r="S713" i="16"/>
  <c r="M603" i="16"/>
  <c r="F1585" i="17"/>
  <c r="F1382" i="17"/>
  <c r="J980" i="16"/>
  <c r="J696" i="16"/>
  <c r="G504" i="16"/>
  <c r="L145" i="16"/>
  <c r="I86" i="17"/>
  <c r="AB4" i="3"/>
  <c r="B31" i="1"/>
  <c r="C31" i="1" s="1"/>
  <c r="AE29" i="16"/>
  <c r="E57" i="17" s="1"/>
  <c r="U10" i="4"/>
  <c r="L981" i="16"/>
  <c r="F974" i="16"/>
  <c r="M923" i="16"/>
  <c r="L881" i="16"/>
  <c r="L911" i="16"/>
  <c r="M903" i="16"/>
  <c r="L787" i="16"/>
  <c r="L779" i="16"/>
  <c r="M951" i="16"/>
  <c r="I936" i="16"/>
  <c r="M711" i="16"/>
  <c r="H1519" i="17"/>
  <c r="K1519" i="17" s="1"/>
  <c r="H1515" i="17"/>
  <c r="K1515" i="17" s="1"/>
  <c r="L637" i="16"/>
  <c r="H636" i="16"/>
  <c r="F1617" i="17"/>
  <c r="I632" i="16"/>
  <c r="J680" i="16"/>
  <c r="J1213" i="17"/>
  <c r="S507" i="16"/>
  <c r="J599" i="17"/>
  <c r="I222" i="17"/>
  <c r="AB11" i="3"/>
  <c r="U11" i="4" s="1"/>
  <c r="H1278" i="17"/>
  <c r="K1278" i="17" s="1"/>
  <c r="H698" i="16"/>
  <c r="J248" i="16"/>
  <c r="E19" i="16"/>
  <c r="AE19" i="16"/>
  <c r="E52" i="17" s="1"/>
  <c r="S401" i="16"/>
  <c r="H393" i="17"/>
  <c r="K393" i="17" s="1"/>
  <c r="J240" i="16"/>
  <c r="J326" i="16"/>
  <c r="P18" i="4"/>
  <c r="S5" i="4"/>
  <c r="R18" i="4"/>
  <c r="B24" i="1"/>
  <c r="C24" i="1" s="1"/>
  <c r="E24" i="1"/>
  <c r="F56" i="17"/>
  <c r="F26" i="16"/>
  <c r="J56" i="17"/>
  <c r="I26" i="16"/>
  <c r="S43" i="16"/>
  <c r="H88" i="17"/>
  <c r="K88" i="17" s="1"/>
  <c r="G42" i="16"/>
  <c r="H154" i="17"/>
  <c r="K154" i="17" s="1"/>
  <c r="S71" i="16"/>
  <c r="S85" i="16"/>
  <c r="H189" i="17"/>
  <c r="K189" i="17" s="1"/>
  <c r="S91" i="16"/>
  <c r="H192" i="17"/>
  <c r="K192" i="17" s="1"/>
  <c r="I110" i="16"/>
  <c r="J226" i="17"/>
  <c r="G256" i="17"/>
  <c r="J114" i="16"/>
  <c r="S135" i="16"/>
  <c r="G134" i="16"/>
  <c r="I140" i="16"/>
  <c r="J293" i="17"/>
  <c r="I325" i="17"/>
  <c r="L149" i="16"/>
  <c r="I152" i="16"/>
  <c r="J327" i="17"/>
  <c r="L153" i="16"/>
  <c r="H360" i="17"/>
  <c r="K360" i="17" s="1"/>
  <c r="M171" i="16"/>
  <c r="H392" i="17"/>
  <c r="K392" i="17" s="1"/>
  <c r="M179" i="16"/>
  <c r="H396" i="17"/>
  <c r="K396" i="17" s="1"/>
  <c r="M187" i="16"/>
  <c r="I427" i="17"/>
  <c r="L201" i="16"/>
  <c r="J461" i="17"/>
  <c r="I212" i="16"/>
  <c r="I465" i="17"/>
  <c r="L221" i="16"/>
  <c r="I240" i="16"/>
  <c r="J499" i="17"/>
  <c r="I268" i="16"/>
  <c r="J565" i="17"/>
  <c r="I272" i="16"/>
  <c r="J567" i="17"/>
  <c r="I276" i="16"/>
  <c r="J597" i="17"/>
  <c r="I284" i="16"/>
  <c r="J601" i="17"/>
  <c r="J664" i="17"/>
  <c r="I306" i="16"/>
  <c r="G771" i="17"/>
  <c r="J368" i="16"/>
  <c r="I904" i="17"/>
  <c r="L427" i="16"/>
  <c r="J904" i="17"/>
  <c r="I426" i="16"/>
  <c r="G440" i="16"/>
  <c r="S441" i="16"/>
  <c r="F1144" i="17"/>
  <c r="M539" i="16"/>
  <c r="J1144" i="17"/>
  <c r="L539" i="16"/>
  <c r="S541" i="16"/>
  <c r="H1145" i="17"/>
  <c r="K1145" i="17" s="1"/>
  <c r="M541" i="16"/>
  <c r="G540" i="16"/>
  <c r="G552" i="16"/>
  <c r="M553" i="16"/>
  <c r="J1176" i="17"/>
  <c r="I554" i="16"/>
  <c r="J1177" i="17"/>
  <c r="I556" i="16"/>
  <c r="L557" i="16"/>
  <c r="G560" i="16"/>
  <c r="S561" i="16"/>
  <c r="M561" i="16"/>
  <c r="J1208" i="17"/>
  <c r="I562" i="16"/>
  <c r="L563" i="16"/>
  <c r="L565" i="16"/>
  <c r="J1209" i="17"/>
  <c r="G568" i="16"/>
  <c r="S569" i="16"/>
  <c r="M569" i="16"/>
  <c r="J1212" i="17"/>
  <c r="I570" i="16"/>
  <c r="G1242" i="17"/>
  <c r="J582" i="16"/>
  <c r="I1242" i="17"/>
  <c r="L583" i="16"/>
  <c r="I1243" i="17"/>
  <c r="L585" i="16"/>
  <c r="H584" i="16"/>
  <c r="H586" i="16"/>
  <c r="L587" i="16"/>
  <c r="F1244" i="17"/>
  <c r="M587" i="16"/>
  <c r="L601" i="16"/>
  <c r="H600" i="16"/>
  <c r="H602" i="16"/>
  <c r="L603" i="16"/>
  <c r="G1281" i="17"/>
  <c r="J604" i="16"/>
  <c r="H606" i="16"/>
  <c r="L607" i="16"/>
  <c r="M617" i="16"/>
  <c r="F1311" i="17"/>
  <c r="H1312" i="17"/>
  <c r="K1312" i="17" s="1"/>
  <c r="S619" i="16"/>
  <c r="G1313" i="17"/>
  <c r="J620" i="16"/>
  <c r="L623" i="16"/>
  <c r="J1314" i="17"/>
  <c r="I622" i="16"/>
  <c r="F1315" i="17"/>
  <c r="M625" i="16"/>
  <c r="L627" i="16"/>
  <c r="J1344" i="17"/>
  <c r="I626" i="16"/>
  <c r="G630" i="16"/>
  <c r="H1346" i="17"/>
  <c r="K1346" i="17" s="1"/>
  <c r="H1348" i="17"/>
  <c r="K1348" i="17" s="1"/>
  <c r="S635" i="16"/>
  <c r="M635" i="16"/>
  <c r="S647" i="16"/>
  <c r="M647" i="16"/>
  <c r="G646" i="16"/>
  <c r="H1381" i="17"/>
  <c r="K1381" i="17" s="1"/>
  <c r="G652" i="16"/>
  <c r="M653" i="16"/>
  <c r="I1415" i="17"/>
  <c r="L665" i="16"/>
  <c r="F1446" i="17"/>
  <c r="F678" i="16"/>
  <c r="M679" i="16"/>
  <c r="G1446" i="17"/>
  <c r="J678" i="16"/>
  <c r="L679" i="16"/>
  <c r="H678" i="16"/>
  <c r="I1448" i="17"/>
  <c r="H682" i="16"/>
  <c r="S685" i="16"/>
  <c r="M685" i="16"/>
  <c r="G684" i="16"/>
  <c r="G1451" i="17"/>
  <c r="J688" i="16"/>
  <c r="I1451" i="17"/>
  <c r="L689" i="16"/>
  <c r="I1480" i="17"/>
  <c r="H690" i="16"/>
  <c r="I692" i="16"/>
  <c r="J1481" i="17"/>
  <c r="S693" i="16"/>
  <c r="H1481" i="17"/>
  <c r="K1481" i="17" s="1"/>
  <c r="M693" i="16"/>
  <c r="J1485" i="17"/>
  <c r="I700" i="16"/>
  <c r="S701" i="16"/>
  <c r="M701" i="16"/>
  <c r="G700" i="16"/>
  <c r="G728" i="16"/>
  <c r="M729" i="16"/>
  <c r="S759" i="16"/>
  <c r="M759" i="16"/>
  <c r="J1620" i="17"/>
  <c r="L763" i="16"/>
  <c r="J764" i="16"/>
  <c r="G1621" i="17"/>
  <c r="G1651" i="17"/>
  <c r="J776" i="16"/>
  <c r="H1652" i="17"/>
  <c r="K1652" i="17" s="1"/>
  <c r="G778" i="16"/>
  <c r="H1685" i="17"/>
  <c r="K1685" i="17" s="1"/>
  <c r="S789" i="16"/>
  <c r="F1686" i="17"/>
  <c r="M791" i="16"/>
  <c r="S797" i="16"/>
  <c r="H1689" i="17"/>
  <c r="K1689" i="17" s="1"/>
  <c r="G808" i="16"/>
  <c r="H1719" i="17"/>
  <c r="K1719" i="17" s="1"/>
  <c r="I1752" i="17"/>
  <c r="H818" i="16"/>
  <c r="L819" i="16"/>
  <c r="I842" i="16"/>
  <c r="J1788" i="17"/>
  <c r="F1857" i="17"/>
  <c r="M877" i="16"/>
  <c r="G878" i="16"/>
  <c r="S879" i="16"/>
  <c r="M879" i="16"/>
  <c r="I914" i="16"/>
  <c r="L915" i="16"/>
  <c r="G936" i="16"/>
  <c r="S937" i="16"/>
  <c r="J944" i="16"/>
  <c r="G1995" i="17"/>
  <c r="J2026" i="17"/>
  <c r="I950" i="16"/>
  <c r="F2029" i="17"/>
  <c r="M957" i="16"/>
  <c r="G2060" i="17"/>
  <c r="J970" i="16"/>
  <c r="G2096" i="17"/>
  <c r="J986" i="16"/>
  <c r="S15" i="4"/>
  <c r="AD9" i="16"/>
  <c r="B25" i="1"/>
  <c r="C25" i="1" s="1"/>
  <c r="E25" i="1"/>
  <c r="H359" i="17"/>
  <c r="K359" i="17" s="1"/>
  <c r="AB7" i="3"/>
  <c r="T7" i="4"/>
  <c r="AB14" i="3"/>
  <c r="T14" i="4"/>
  <c r="B32" i="1"/>
  <c r="C32" i="1" s="1"/>
  <c r="E32" i="1"/>
  <c r="L187" i="16"/>
  <c r="S23" i="16"/>
  <c r="H54" i="17"/>
  <c r="K54" i="17" s="1"/>
  <c r="E17" i="3"/>
  <c r="M14" i="8" s="1"/>
  <c r="C38" i="8" s="1"/>
  <c r="G155" i="17"/>
  <c r="L13" i="16"/>
  <c r="L151" i="16"/>
  <c r="L169" i="16"/>
  <c r="L173" i="16"/>
  <c r="L177" i="16"/>
  <c r="L185" i="16"/>
  <c r="L237" i="16"/>
  <c r="J586" i="16"/>
  <c r="L141" i="16"/>
  <c r="S281" i="16"/>
  <c r="M105" i="16"/>
  <c r="F270" i="16"/>
  <c r="J329" i="17"/>
  <c r="F312" i="16"/>
  <c r="F72" i="16"/>
  <c r="M379" i="16"/>
  <c r="F298" i="16"/>
  <c r="I872" i="17"/>
  <c r="F669" i="17"/>
  <c r="J564" i="17"/>
  <c r="H465" i="17"/>
  <c r="K465" i="17" s="1"/>
  <c r="G212" i="16"/>
  <c r="H327" i="17"/>
  <c r="K327" i="17" s="1"/>
  <c r="S145" i="16"/>
  <c r="H348" i="16"/>
  <c r="I200" i="16"/>
  <c r="I530" i="16"/>
  <c r="I500" i="16"/>
  <c r="AR51" i="3"/>
  <c r="L137" i="16"/>
  <c r="S279" i="16"/>
  <c r="L209" i="16"/>
  <c r="H24" i="16"/>
  <c r="G310" i="16"/>
  <c r="G302" i="16"/>
  <c r="J600" i="17"/>
  <c r="S217" i="16"/>
  <c r="G222" i="17"/>
  <c r="F1178" i="17"/>
  <c r="J522" i="16"/>
  <c r="F346" i="16"/>
  <c r="I432" i="16"/>
  <c r="J498" i="16"/>
  <c r="N100" i="8"/>
  <c r="F28" i="16"/>
  <c r="I186" i="16"/>
  <c r="AR49" i="3"/>
  <c r="N99" i="8" s="1"/>
  <c r="J60" i="16"/>
  <c r="S17" i="16"/>
  <c r="S117" i="16"/>
  <c r="J278" i="16"/>
  <c r="I3" i="8"/>
  <c r="X772" i="8" s="1"/>
  <c r="G22" i="16"/>
  <c r="G16" i="16"/>
  <c r="G8" i="16"/>
  <c r="F252" i="16"/>
  <c r="I88" i="16"/>
  <c r="L21" i="16"/>
  <c r="I2" i="8"/>
  <c r="X690" i="8" s="1"/>
  <c r="AR26" i="3"/>
  <c r="N70" i="8"/>
  <c r="H601" i="17"/>
  <c r="K601" i="17" s="1"/>
  <c r="N16" i="11"/>
  <c r="B44" i="15" s="1"/>
  <c r="L57" i="16"/>
  <c r="F56" i="16"/>
  <c r="F120" i="17"/>
  <c r="G268" i="16"/>
  <c r="J242" i="16"/>
  <c r="H28" i="16"/>
  <c r="X90" i="8"/>
  <c r="X929" i="8"/>
  <c r="X649" i="8"/>
  <c r="X129" i="8"/>
  <c r="X369" i="8"/>
  <c r="X1009" i="8"/>
  <c r="X409" i="8"/>
  <c r="X1049" i="8"/>
  <c r="N2" i="11"/>
  <c r="B30" i="15" s="1"/>
  <c r="C3" i="15" s="1" a="1"/>
  <c r="C3" i="15" s="1"/>
  <c r="C12" i="15" s="1"/>
  <c r="G23" i="8"/>
  <c r="X449" i="8"/>
  <c r="X169" i="8"/>
  <c r="X809" i="8"/>
  <c r="X289" i="8"/>
  <c r="X529" i="8"/>
  <c r="X1169" i="8"/>
  <c r="X569" i="8"/>
  <c r="X1209" i="8"/>
  <c r="N23" i="11"/>
  <c r="B51" i="15" s="1"/>
  <c r="X609" i="8"/>
  <c r="X329" i="8"/>
  <c r="X969" i="8"/>
  <c r="X1089" i="8"/>
  <c r="X689" i="8"/>
  <c r="X89" i="8"/>
  <c r="X729" i="8"/>
  <c r="C35" i="15"/>
  <c r="H152" i="16"/>
  <c r="G28" i="8"/>
  <c r="M25" i="1"/>
  <c r="N30" i="8"/>
  <c r="AR6" i="3"/>
  <c r="AR7" i="3"/>
  <c r="AR8" i="3"/>
  <c r="E333" i="17"/>
  <c r="E160" i="16"/>
  <c r="E95" i="17"/>
  <c r="AE51" i="16"/>
  <c r="E120" i="17" s="1"/>
  <c r="E129" i="17" s="1"/>
  <c r="E85" i="16"/>
  <c r="E91" i="16"/>
  <c r="E43" i="16"/>
  <c r="E64" i="16" s="1"/>
  <c r="E77" i="16"/>
  <c r="S41" i="16"/>
  <c r="H87" i="17"/>
  <c r="K87" i="17" s="1"/>
  <c r="F122" i="17"/>
  <c r="F54" i="16"/>
  <c r="F124" i="17"/>
  <c r="M59" i="16"/>
  <c r="F158" i="17"/>
  <c r="F78" i="16"/>
  <c r="G92" i="16"/>
  <c r="S93" i="16"/>
  <c r="H193" i="17"/>
  <c r="K193" i="17" s="1"/>
  <c r="F146" i="16"/>
  <c r="F324" i="17"/>
  <c r="S45" i="16"/>
  <c r="H89" i="17"/>
  <c r="K89" i="17" s="1"/>
  <c r="S49" i="16"/>
  <c r="G48" i="16"/>
  <c r="H91" i="17"/>
  <c r="K91" i="17" s="1"/>
  <c r="J256" i="17"/>
  <c r="I114" i="16"/>
  <c r="J292" i="17"/>
  <c r="I138" i="16"/>
  <c r="M143" i="16"/>
  <c r="H294" i="17"/>
  <c r="K294" i="17" s="1"/>
  <c r="G86" i="17"/>
  <c r="J38" i="16"/>
  <c r="F121" i="17"/>
  <c r="F52" i="16"/>
  <c r="J157" i="17"/>
  <c r="L77" i="16"/>
  <c r="H261" i="17"/>
  <c r="K261" i="17" s="1"/>
  <c r="G124" i="16"/>
  <c r="I146" i="16"/>
  <c r="J324" i="17"/>
  <c r="AK64" i="3"/>
  <c r="AK48" i="3"/>
  <c r="AK28" i="3"/>
  <c r="AM31" i="3"/>
  <c r="AK63" i="3"/>
  <c r="AK71" i="3" s="1"/>
  <c r="AN50" i="3"/>
  <c r="AK50" i="3"/>
  <c r="AM81" i="3"/>
  <c r="AM89" i="3" s="1"/>
  <c r="AM45" i="3"/>
  <c r="AM53" i="3" s="1"/>
  <c r="AM48" i="3"/>
  <c r="AM26" i="3"/>
  <c r="AL32" i="3"/>
  <c r="AL35" i="3" s="1"/>
  <c r="AL78" i="3"/>
  <c r="AL89" i="3" s="1"/>
  <c r="AK82" i="3"/>
  <c r="D109" i="16"/>
  <c r="Q109" i="16" s="1"/>
  <c r="B225" i="17"/>
  <c r="D125" i="16"/>
  <c r="Q125" i="16" s="1"/>
  <c r="B261" i="17"/>
  <c r="AN48" i="3"/>
  <c r="AK67" i="3"/>
  <c r="AL63" i="3"/>
  <c r="AM25" i="3"/>
  <c r="AM28" i="3"/>
  <c r="AK25" i="3"/>
  <c r="AK35" i="3" s="1"/>
  <c r="AL66" i="3"/>
  <c r="AN31" i="3"/>
  <c r="AN35" i="3" s="1"/>
  <c r="AL41" i="3"/>
  <c r="AL49" i="3"/>
  <c r="AL64" i="3"/>
  <c r="AK65" i="3"/>
  <c r="AN67" i="3"/>
  <c r="AN71" i="3" s="1"/>
  <c r="AK81" i="3"/>
  <c r="D155" i="16"/>
  <c r="Q155" i="16" s="1"/>
  <c r="D53" i="16"/>
  <c r="Q53" i="16" s="1"/>
  <c r="D117" i="16"/>
  <c r="Q117" i="16" s="1"/>
  <c r="B257" i="17"/>
  <c r="AK79" i="3"/>
  <c r="AK89" i="3" s="1"/>
  <c r="AN49" i="3"/>
  <c r="AK41" i="3"/>
  <c r="AK53" i="3" s="1"/>
  <c r="AN79" i="3"/>
  <c r="AN89" i="3" s="1"/>
  <c r="AN41" i="3"/>
  <c r="AN53" i="3" s="1"/>
  <c r="G1277" i="17"/>
  <c r="N13" i="11"/>
  <c r="B41" i="15" s="1"/>
  <c r="G601" i="17"/>
  <c r="H688" i="16"/>
  <c r="J650" i="16"/>
  <c r="J488" i="16"/>
  <c r="H200" i="16"/>
  <c r="H664" i="16"/>
  <c r="J310" i="16"/>
  <c r="M847" i="16"/>
  <c r="M113" i="16"/>
  <c r="AF119" i="16"/>
  <c r="AM65" i="3"/>
  <c r="AM71" i="3" s="1"/>
  <c r="AL65" i="3"/>
  <c r="AL71" i="3" s="1"/>
  <c r="AF115" i="16"/>
  <c r="AF111" i="16"/>
  <c r="AF107" i="16"/>
  <c r="AF105" i="16"/>
  <c r="L115" i="16"/>
  <c r="L175" i="16"/>
  <c r="L183" i="16"/>
  <c r="M375" i="16"/>
  <c r="M843" i="16"/>
  <c r="H257" i="17"/>
  <c r="K257" i="17" s="1"/>
  <c r="F74" i="16"/>
  <c r="I60" i="16"/>
  <c r="C34" i="15"/>
  <c r="N6" i="11"/>
  <c r="B34" i="15" s="1"/>
  <c r="C43" i="15"/>
  <c r="N15" i="11"/>
  <c r="B43" i="15" s="1"/>
  <c r="C46" i="15"/>
  <c r="N18" i="11"/>
  <c r="B46" i="15" s="1"/>
  <c r="C47" i="15"/>
  <c r="N19" i="11"/>
  <c r="B47" i="15" s="1"/>
  <c r="S7" i="16"/>
  <c r="G6" i="16"/>
  <c r="S81" i="16"/>
  <c r="H159" i="17"/>
  <c r="K159" i="17" s="1"/>
  <c r="J189" i="17"/>
  <c r="I84" i="16"/>
  <c r="G88" i="16"/>
  <c r="H191" i="17"/>
  <c r="K191" i="17" s="1"/>
  <c r="I224" i="17"/>
  <c r="H106" i="16"/>
  <c r="G257" i="17"/>
  <c r="J116" i="16"/>
  <c r="I259" i="17"/>
  <c r="H120" i="16"/>
  <c r="I260" i="17"/>
  <c r="H122" i="16"/>
  <c r="G329" i="17"/>
  <c r="J156" i="16"/>
  <c r="I363" i="17"/>
  <c r="H176" i="16"/>
  <c r="J198" i="16"/>
  <c r="G426" i="17"/>
  <c r="I495" i="17"/>
  <c r="H232" i="16"/>
  <c r="F238" i="16"/>
  <c r="F498" i="17"/>
  <c r="I632" i="17"/>
  <c r="H298" i="16"/>
  <c r="I667" i="17"/>
  <c r="H312" i="16"/>
  <c r="F701" i="17"/>
  <c r="F332" i="16"/>
  <c r="F733" i="17"/>
  <c r="F340" i="16"/>
  <c r="F735" i="17"/>
  <c r="F344" i="16"/>
  <c r="I766" i="17"/>
  <c r="L359" i="16"/>
  <c r="I771" i="17"/>
  <c r="H368" i="16"/>
  <c r="S407" i="16"/>
  <c r="G406" i="16"/>
  <c r="S409" i="16"/>
  <c r="H871" i="17"/>
  <c r="K871" i="17" s="1"/>
  <c r="G408" i="16"/>
  <c r="G906" i="17"/>
  <c r="J430" i="16"/>
  <c r="G938" i="17"/>
  <c r="J438" i="16"/>
  <c r="I939" i="17"/>
  <c r="H440" i="16"/>
  <c r="J939" i="17"/>
  <c r="I440" i="16"/>
  <c r="J1006" i="17"/>
  <c r="I470" i="16"/>
  <c r="J1009" i="17"/>
  <c r="I476" i="16"/>
  <c r="I1038" i="17"/>
  <c r="H486" i="16"/>
  <c r="I1041" i="17"/>
  <c r="H492" i="16"/>
  <c r="J1041" i="17"/>
  <c r="I492" i="16"/>
  <c r="F1042" i="17"/>
  <c r="F494" i="16"/>
  <c r="I1073" i="17"/>
  <c r="H500" i="16"/>
  <c r="J1106" i="17"/>
  <c r="I518" i="16"/>
  <c r="G1109" i="17"/>
  <c r="J524" i="16"/>
  <c r="G1110" i="17"/>
  <c r="J526" i="16"/>
  <c r="I1175" i="17"/>
  <c r="H552" i="16"/>
  <c r="I1176" i="17"/>
  <c r="H554" i="16"/>
  <c r="F1177" i="17"/>
  <c r="F556" i="16"/>
  <c r="I1208" i="17"/>
  <c r="H562" i="16"/>
  <c r="F1209" i="17"/>
  <c r="F564" i="16"/>
  <c r="F1210" i="17"/>
  <c r="F566" i="16"/>
  <c r="I1212" i="17"/>
  <c r="H570" i="16"/>
  <c r="H1246" i="17"/>
  <c r="K1246" i="17" s="1"/>
  <c r="G590" i="16"/>
  <c r="S591" i="16"/>
  <c r="H1247" i="17"/>
  <c r="K1247" i="17" s="1"/>
  <c r="S593" i="16"/>
  <c r="H1276" i="17"/>
  <c r="K1276" i="17" s="1"/>
  <c r="G594" i="16"/>
  <c r="S595" i="16"/>
  <c r="G1280" i="17"/>
  <c r="J602" i="16"/>
  <c r="F1314" i="17"/>
  <c r="F622" i="16"/>
  <c r="I1315" i="17"/>
  <c r="H624" i="16"/>
  <c r="G1382" i="17"/>
  <c r="J654" i="16"/>
  <c r="J1382" i="17"/>
  <c r="I654" i="16"/>
  <c r="I1412" i="17"/>
  <c r="H658" i="16"/>
  <c r="J1413" i="17"/>
  <c r="I660" i="16"/>
  <c r="I1414" i="17"/>
  <c r="H662" i="16"/>
  <c r="J1415" i="17"/>
  <c r="I664" i="16"/>
  <c r="I1416" i="17"/>
  <c r="H666" i="16"/>
  <c r="J1417" i="17"/>
  <c r="I668" i="16"/>
  <c r="I1516" i="17"/>
  <c r="H714" i="16"/>
  <c r="G1519" i="17"/>
  <c r="J720" i="16"/>
  <c r="I1548" i="17"/>
  <c r="H722" i="16"/>
  <c r="F1549" i="17"/>
  <c r="F724" i="16"/>
  <c r="F1550" i="17"/>
  <c r="F726" i="16"/>
  <c r="I1552" i="17"/>
  <c r="H730" i="16"/>
  <c r="F1553" i="17"/>
  <c r="F732" i="16"/>
  <c r="G1584" i="17"/>
  <c r="J746" i="16"/>
  <c r="G1617" i="17"/>
  <c r="J756" i="16"/>
  <c r="I1651" i="17"/>
  <c r="H776" i="16"/>
  <c r="I1655" i="17"/>
  <c r="H784" i="16"/>
  <c r="I1685" i="17"/>
  <c r="H788" i="16"/>
  <c r="H1686" i="17"/>
  <c r="K1686" i="17" s="1"/>
  <c r="S791" i="16"/>
  <c r="G1721" i="17"/>
  <c r="J812" i="16"/>
  <c r="F1786" i="17"/>
  <c r="F838" i="16"/>
  <c r="G1786" i="17"/>
  <c r="J838" i="16"/>
  <c r="G1854" i="17"/>
  <c r="J870" i="16"/>
  <c r="G1857" i="17"/>
  <c r="J876" i="16"/>
  <c r="J1859" i="17"/>
  <c r="I880" i="16"/>
  <c r="I1889" i="17"/>
  <c r="H884" i="16"/>
  <c r="J1889" i="17"/>
  <c r="I884" i="16"/>
  <c r="F1890" i="17"/>
  <c r="F886" i="16"/>
  <c r="I1922" i="17"/>
  <c r="H902" i="16"/>
  <c r="I1924" i="17"/>
  <c r="H906" i="16"/>
  <c r="H1925" i="17"/>
  <c r="K1925" i="17" s="1"/>
  <c r="G908" i="16"/>
  <c r="F1925" i="17"/>
  <c r="F908" i="16"/>
  <c r="F1992" i="17"/>
  <c r="F938" i="16"/>
  <c r="I2025" i="17"/>
  <c r="H948" i="16"/>
  <c r="I2027" i="17"/>
  <c r="H952" i="16"/>
  <c r="F2028" i="17"/>
  <c r="F954" i="16"/>
  <c r="S975" i="16"/>
  <c r="G974" i="16"/>
  <c r="S983" i="16"/>
  <c r="G982" i="16"/>
  <c r="H20" i="17"/>
  <c r="K20" i="17" s="1"/>
  <c r="G10" i="16"/>
  <c r="G21" i="17"/>
  <c r="J12" i="16"/>
  <c r="G12" i="16"/>
  <c r="S13" i="16"/>
  <c r="G22" i="17"/>
  <c r="J14" i="16"/>
  <c r="G23" i="17"/>
  <c r="J16" i="16"/>
  <c r="G52" i="17"/>
  <c r="J18" i="16"/>
  <c r="H52" i="17"/>
  <c r="K52" i="17" s="1"/>
  <c r="G18" i="16"/>
  <c r="G20" i="16"/>
  <c r="S21" i="16"/>
  <c r="G54" i="17"/>
  <c r="J22" i="16"/>
  <c r="F55" i="17"/>
  <c r="F24" i="16"/>
  <c r="S27" i="16"/>
  <c r="G26" i="16"/>
  <c r="F86" i="17"/>
  <c r="F38" i="16"/>
  <c r="I87" i="17"/>
  <c r="H40" i="16"/>
  <c r="I88" i="17"/>
  <c r="H42" i="16"/>
  <c r="I91" i="17"/>
  <c r="H48" i="16"/>
  <c r="J121" i="17"/>
  <c r="I52" i="16"/>
  <c r="J122" i="17"/>
  <c r="I54" i="16"/>
  <c r="G123" i="17"/>
  <c r="J56" i="16"/>
  <c r="J123" i="17"/>
  <c r="I56" i="16"/>
  <c r="G156" i="17"/>
  <c r="J74" i="16"/>
  <c r="I156" i="17"/>
  <c r="H74" i="16"/>
  <c r="G84" i="16"/>
  <c r="M85" i="16"/>
  <c r="F120" i="16"/>
  <c r="F259" i="17"/>
  <c r="G294" i="17"/>
  <c r="J142" i="16"/>
  <c r="G142" i="16"/>
  <c r="S143" i="16"/>
  <c r="J359" i="17"/>
  <c r="I168" i="16"/>
  <c r="J361" i="17"/>
  <c r="I172" i="16"/>
  <c r="J363" i="17"/>
  <c r="I176" i="16"/>
  <c r="J393" i="17"/>
  <c r="I180" i="16"/>
  <c r="J397" i="17"/>
  <c r="I188" i="16"/>
  <c r="G427" i="17"/>
  <c r="J200" i="16"/>
  <c r="I460" i="17"/>
  <c r="H210" i="16"/>
  <c r="J460" i="17"/>
  <c r="I210" i="16"/>
  <c r="I462" i="17"/>
  <c r="H214" i="16"/>
  <c r="J462" i="17"/>
  <c r="I214" i="16"/>
  <c r="I464" i="17"/>
  <c r="H218" i="16"/>
  <c r="G496" i="17"/>
  <c r="J234" i="16"/>
  <c r="G498" i="17"/>
  <c r="J238" i="16"/>
  <c r="G530" i="17"/>
  <c r="J246" i="16"/>
  <c r="G532" i="17"/>
  <c r="J250" i="16"/>
  <c r="G562" i="17"/>
  <c r="J262" i="16"/>
  <c r="G564" i="17"/>
  <c r="J266" i="16"/>
  <c r="G566" i="17"/>
  <c r="J270" i="16"/>
  <c r="G596" i="17"/>
  <c r="J274" i="16"/>
  <c r="G600" i="17"/>
  <c r="J282" i="16"/>
  <c r="J633" i="17"/>
  <c r="I300" i="16"/>
  <c r="G635" i="17"/>
  <c r="J304" i="16"/>
  <c r="J635" i="17"/>
  <c r="I304" i="16"/>
  <c r="G665" i="17"/>
  <c r="J308" i="16"/>
  <c r="J665" i="17"/>
  <c r="I308" i="16"/>
  <c r="J667" i="17"/>
  <c r="I312" i="16"/>
  <c r="G669" i="17"/>
  <c r="J316" i="16"/>
  <c r="J669" i="17"/>
  <c r="I316" i="16"/>
  <c r="J699" i="17"/>
  <c r="I328" i="16"/>
  <c r="I700" i="17"/>
  <c r="H330" i="16"/>
  <c r="J700" i="17"/>
  <c r="I330" i="16"/>
  <c r="J703" i="17"/>
  <c r="I336" i="16"/>
  <c r="I732" i="17"/>
  <c r="H338" i="16"/>
  <c r="J732" i="17"/>
  <c r="I338" i="16"/>
  <c r="J734" i="17"/>
  <c r="I342" i="16"/>
  <c r="F737" i="17"/>
  <c r="F348" i="16"/>
  <c r="F803" i="17"/>
  <c r="F376" i="16"/>
  <c r="I868" i="17"/>
  <c r="H402" i="16"/>
  <c r="G905" i="17"/>
  <c r="J428" i="16"/>
  <c r="G907" i="17"/>
  <c r="J432" i="16"/>
  <c r="I941" i="17"/>
  <c r="H444" i="16"/>
  <c r="J971" i="17"/>
  <c r="I456" i="16"/>
  <c r="J973" i="17"/>
  <c r="I460" i="16"/>
  <c r="J1005" i="17"/>
  <c r="I468" i="16"/>
  <c r="J1007" i="17"/>
  <c r="I472" i="16"/>
  <c r="J1008" i="17"/>
  <c r="I474" i="16"/>
  <c r="G1041" i="17"/>
  <c r="J492" i="16"/>
  <c r="F1043" i="17"/>
  <c r="F496" i="16"/>
  <c r="G1106" i="17"/>
  <c r="J518" i="16"/>
  <c r="F1175" i="17"/>
  <c r="F552" i="16"/>
  <c r="F1211" i="17"/>
  <c r="F568" i="16"/>
  <c r="G1212" i="17"/>
  <c r="J570" i="16"/>
  <c r="H1243" i="17"/>
  <c r="K1243" i="17" s="1"/>
  <c r="G584" i="16"/>
  <c r="G586" i="16"/>
  <c r="H1244" i="17"/>
  <c r="K1244" i="17" s="1"/>
  <c r="G1246" i="17"/>
  <c r="J590" i="16"/>
  <c r="G1276" i="17"/>
  <c r="J594" i="16"/>
  <c r="I1278" i="17"/>
  <c r="H598" i="16"/>
  <c r="G602" i="16"/>
  <c r="H1280" i="17"/>
  <c r="K1280" i="17" s="1"/>
  <c r="S603" i="16"/>
  <c r="I1380" i="17"/>
  <c r="H650" i="16"/>
  <c r="J1412" i="17"/>
  <c r="I658" i="16"/>
  <c r="G1414" i="17"/>
  <c r="J662" i="16"/>
  <c r="J1414" i="17"/>
  <c r="I662" i="16"/>
  <c r="G1415" i="17"/>
  <c r="J664" i="16"/>
  <c r="G1416" i="17"/>
  <c r="J666" i="16"/>
  <c r="G1417" i="17"/>
  <c r="J668" i="16"/>
  <c r="J1446" i="17"/>
  <c r="I678" i="16"/>
  <c r="F1447" i="17"/>
  <c r="F680" i="16"/>
  <c r="J1447" i="17"/>
  <c r="I680" i="16"/>
  <c r="F1480" i="17"/>
  <c r="F690" i="16"/>
  <c r="F1482" i="17"/>
  <c r="F694" i="16"/>
  <c r="F1483" i="17"/>
  <c r="F696" i="16"/>
  <c r="J1483" i="17"/>
  <c r="I696" i="16"/>
  <c r="F1485" i="17"/>
  <c r="F700" i="16"/>
  <c r="G1516" i="17"/>
  <c r="J714" i="16"/>
  <c r="I1517" i="17"/>
  <c r="H716" i="16"/>
  <c r="G1548" i="17"/>
  <c r="J722" i="16"/>
  <c r="I1549" i="17"/>
  <c r="H724" i="16"/>
  <c r="G1552" i="17"/>
  <c r="J730" i="16"/>
  <c r="I1553" i="17"/>
  <c r="H732" i="16"/>
  <c r="G746" i="16"/>
  <c r="S747" i="16"/>
  <c r="G750" i="16"/>
  <c r="H1586" i="17"/>
  <c r="K1586" i="17" s="1"/>
  <c r="G752" i="16"/>
  <c r="S753" i="16"/>
  <c r="I1618" i="17"/>
  <c r="H758" i="16"/>
  <c r="H1619" i="17"/>
  <c r="K1619" i="17" s="1"/>
  <c r="G760" i="16"/>
  <c r="S761" i="16"/>
  <c r="I1620" i="17"/>
  <c r="H762" i="16"/>
  <c r="G1652" i="17"/>
  <c r="J778" i="16"/>
  <c r="I1654" i="17"/>
  <c r="H782" i="16"/>
  <c r="F1684" i="17"/>
  <c r="F786" i="16"/>
  <c r="I1687" i="17"/>
  <c r="H792" i="16"/>
  <c r="G1719" i="17"/>
  <c r="J808" i="16"/>
  <c r="G1754" i="17"/>
  <c r="J822" i="16"/>
  <c r="I1821" i="17"/>
  <c r="H852" i="16"/>
  <c r="I1822" i="17"/>
  <c r="H854" i="16"/>
  <c r="I1823" i="17"/>
  <c r="H856" i="16"/>
  <c r="G1824" i="17"/>
  <c r="J858" i="16"/>
  <c r="I1825" i="17"/>
  <c r="H860" i="16"/>
  <c r="J1854" i="17"/>
  <c r="I870" i="16"/>
  <c r="I1855" i="17"/>
  <c r="H872" i="16"/>
  <c r="I1856" i="17"/>
  <c r="H874" i="16"/>
  <c r="I1857" i="17"/>
  <c r="H876" i="16"/>
  <c r="F1858" i="17"/>
  <c r="F878" i="16"/>
  <c r="F1888" i="17"/>
  <c r="F882" i="16"/>
  <c r="G1889" i="17"/>
  <c r="J884" i="16"/>
  <c r="J1890" i="17"/>
  <c r="I886" i="16"/>
  <c r="I1892" i="17"/>
  <c r="H890" i="16"/>
  <c r="G1924" i="17"/>
  <c r="J906" i="16"/>
  <c r="H1924" i="17"/>
  <c r="K1924" i="17" s="1"/>
  <c r="G906" i="16"/>
  <c r="G1925" i="17"/>
  <c r="J908" i="16"/>
  <c r="F1926" i="17"/>
  <c r="F910" i="16"/>
  <c r="G1956" i="17"/>
  <c r="J914" i="16"/>
  <c r="S927" i="16"/>
  <c r="G926" i="16"/>
  <c r="G1992" i="17"/>
  <c r="J938" i="16"/>
  <c r="G2026" i="17"/>
  <c r="J950" i="16"/>
  <c r="G2028" i="17"/>
  <c r="J954" i="16"/>
  <c r="F2060" i="17"/>
  <c r="F970" i="16"/>
  <c r="I2062" i="17"/>
  <c r="H974" i="16"/>
  <c r="F2063" i="17"/>
  <c r="F976" i="16"/>
  <c r="F2092" i="17"/>
  <c r="F978" i="16"/>
  <c r="I2094" i="17"/>
  <c r="H982" i="16"/>
  <c r="F2096" i="17"/>
  <c r="F986" i="16"/>
  <c r="H10" i="7"/>
  <c r="H7" i="7"/>
  <c r="H5" i="7" s="1"/>
  <c r="H11" i="7"/>
  <c r="F11" i="7"/>
  <c r="F9" i="7" s="1"/>
  <c r="G11" i="7"/>
  <c r="E7" i="7"/>
  <c r="E5" i="7" s="1"/>
  <c r="G7" i="7"/>
  <c r="G6" i="7" s="1"/>
  <c r="J6" i="7" s="1"/>
  <c r="G10" i="7"/>
  <c r="E10" i="7"/>
  <c r="E9" i="7" s="1"/>
  <c r="I348" i="16"/>
  <c r="J362" i="16"/>
  <c r="L305" i="16"/>
  <c r="L263" i="16"/>
  <c r="J406" i="16"/>
  <c r="J396" i="16"/>
  <c r="L339" i="16"/>
  <c r="L331" i="16"/>
  <c r="L219" i="16"/>
  <c r="L211" i="16"/>
  <c r="L87" i="16"/>
  <c r="G44" i="16"/>
  <c r="J52" i="16"/>
  <c r="J360" i="16"/>
  <c r="F362" i="17"/>
  <c r="H326" i="17"/>
  <c r="K326" i="17" s="1"/>
  <c r="F292" i="17"/>
  <c r="S19" i="16"/>
  <c r="H22" i="17"/>
  <c r="K22" i="17" s="1"/>
  <c r="H19" i="17"/>
  <c r="K19" i="17" s="1"/>
  <c r="H494" i="16"/>
  <c r="J538" i="16"/>
  <c r="G188" i="17"/>
  <c r="S125" i="16"/>
  <c r="J1381" i="17"/>
  <c r="N31" i="11"/>
  <c r="B59" i="15" s="1"/>
  <c r="H46" i="16"/>
  <c r="F686" i="16"/>
  <c r="I218" i="16"/>
  <c r="J150" i="16"/>
  <c r="H332" i="16"/>
  <c r="H58" i="16"/>
  <c r="J10" i="16"/>
  <c r="J20" i="16"/>
  <c r="L51" i="16"/>
  <c r="L275" i="16"/>
  <c r="L591" i="16"/>
  <c r="M663" i="16"/>
  <c r="L61" i="16"/>
  <c r="M347" i="16"/>
  <c r="M723" i="16"/>
  <c r="M731" i="16"/>
  <c r="L743" i="16"/>
  <c r="L747" i="16"/>
  <c r="L751" i="16"/>
  <c r="L755" i="16"/>
  <c r="L759" i="16"/>
  <c r="L765" i="16"/>
  <c r="L823" i="16"/>
  <c r="M841" i="16"/>
  <c r="L847" i="16"/>
  <c r="M849" i="16"/>
  <c r="M851" i="16"/>
  <c r="L859" i="16"/>
  <c r="L397" i="16"/>
  <c r="M107" i="16"/>
  <c r="M115" i="16"/>
  <c r="M89" i="16"/>
  <c r="L117" i="16"/>
  <c r="M119" i="16"/>
  <c r="L629" i="16"/>
  <c r="L433" i="16"/>
  <c r="M527" i="16"/>
  <c r="L17" i="16"/>
  <c r="M27" i="16"/>
  <c r="I6" i="16"/>
  <c r="J18" i="17"/>
  <c r="I20" i="17"/>
  <c r="L11" i="16"/>
  <c r="I21" i="17"/>
  <c r="H12" i="16"/>
  <c r="I22" i="17"/>
  <c r="L15" i="16"/>
  <c r="I52" i="17"/>
  <c r="H18" i="16"/>
  <c r="L19" i="16"/>
  <c r="I53" i="17"/>
  <c r="H20" i="16"/>
  <c r="I54" i="17"/>
  <c r="H22" i="16"/>
  <c r="L23" i="16"/>
  <c r="M25" i="16"/>
  <c r="H55" i="17"/>
  <c r="K55" i="17" s="1"/>
  <c r="S25" i="16"/>
  <c r="S29" i="16"/>
  <c r="M29" i="16"/>
  <c r="H57" i="17"/>
  <c r="K57" i="17" s="1"/>
  <c r="H86" i="17"/>
  <c r="K86" i="17" s="1"/>
  <c r="G38" i="16"/>
  <c r="M39" i="16"/>
  <c r="J87" i="17"/>
  <c r="I40" i="16"/>
  <c r="L41" i="16"/>
  <c r="G88" i="17"/>
  <c r="J42" i="16"/>
  <c r="F89" i="17"/>
  <c r="F44" i="16"/>
  <c r="G90" i="17"/>
  <c r="J46" i="16"/>
  <c r="G91" i="17"/>
  <c r="J48" i="16"/>
  <c r="J91" i="17"/>
  <c r="L49" i="16"/>
  <c r="I48" i="16"/>
  <c r="S51" i="16"/>
  <c r="M51" i="16"/>
  <c r="G50" i="16"/>
  <c r="I121" i="17"/>
  <c r="H52" i="16"/>
  <c r="L53" i="16"/>
  <c r="I122" i="17"/>
  <c r="L55" i="16"/>
  <c r="S59" i="16"/>
  <c r="H124" i="17"/>
  <c r="K124" i="17" s="1"/>
  <c r="G70" i="16"/>
  <c r="M71" i="16"/>
  <c r="H156" i="17"/>
  <c r="K156" i="17" s="1"/>
  <c r="M75" i="16"/>
  <c r="S75" i="16"/>
  <c r="G74" i="16"/>
  <c r="G158" i="17"/>
  <c r="J78" i="16"/>
  <c r="G78" i="16"/>
  <c r="S79" i="16"/>
  <c r="I159" i="17"/>
  <c r="H80" i="16"/>
  <c r="J159" i="17"/>
  <c r="I80" i="16"/>
  <c r="I188" i="17"/>
  <c r="L83" i="16"/>
  <c r="H82" i="16"/>
  <c r="F189" i="17"/>
  <c r="F84" i="16"/>
  <c r="H86" i="16"/>
  <c r="I190" i="17"/>
  <c r="G191" i="17"/>
  <c r="J88" i="16"/>
  <c r="I192" i="17"/>
  <c r="H90" i="16"/>
  <c r="L91" i="16"/>
  <c r="F193" i="17"/>
  <c r="F92" i="16"/>
  <c r="G104" i="16"/>
  <c r="S105" i="16"/>
  <c r="F225" i="17"/>
  <c r="F108" i="16"/>
  <c r="M109" i="16"/>
  <c r="G226" i="17"/>
  <c r="J110" i="16"/>
  <c r="G112" i="16"/>
  <c r="S113" i="16"/>
  <c r="H227" i="17"/>
  <c r="K227" i="17" s="1"/>
  <c r="F257" i="17"/>
  <c r="M117" i="16"/>
  <c r="G258" i="17"/>
  <c r="J118" i="16"/>
  <c r="H259" i="17"/>
  <c r="K259" i="17" s="1"/>
  <c r="S121" i="16"/>
  <c r="F261" i="17"/>
  <c r="M125" i="16"/>
  <c r="I290" i="17"/>
  <c r="H134" i="16"/>
  <c r="L135" i="16"/>
  <c r="I291" i="17"/>
  <c r="H136" i="16"/>
  <c r="I292" i="17"/>
  <c r="L139" i="16"/>
  <c r="F142" i="16"/>
  <c r="F294" i="17"/>
  <c r="I324" i="17"/>
  <c r="L147" i="16"/>
  <c r="F150" i="16"/>
  <c r="M151" i="16"/>
  <c r="I328" i="17"/>
  <c r="H154" i="16"/>
  <c r="L155" i="16"/>
  <c r="G168" i="16"/>
  <c r="S169" i="16"/>
  <c r="G170" i="16"/>
  <c r="S171" i="16"/>
  <c r="S173" i="16"/>
  <c r="G172" i="16"/>
  <c r="G174" i="16"/>
  <c r="S175" i="16"/>
  <c r="M175" i="16"/>
  <c r="S177" i="16"/>
  <c r="G176" i="16"/>
  <c r="H363" i="17"/>
  <c r="K363" i="17" s="1"/>
  <c r="S179" i="16"/>
  <c r="G178" i="16"/>
  <c r="G180" i="16"/>
  <c r="S181" i="16"/>
  <c r="S183" i="16"/>
  <c r="G182" i="16"/>
  <c r="H394" i="17"/>
  <c r="K394" i="17" s="1"/>
  <c r="G184" i="16"/>
  <c r="S185" i="16"/>
  <c r="M185" i="16"/>
  <c r="G186" i="16"/>
  <c r="S187" i="16"/>
  <c r="S189" i="16"/>
  <c r="G188" i="16"/>
  <c r="I426" i="17"/>
  <c r="L199" i="16"/>
  <c r="H198" i="16"/>
  <c r="G428" i="17"/>
  <c r="J202" i="16"/>
  <c r="H428" i="17"/>
  <c r="K428" i="17" s="1"/>
  <c r="S203" i="16"/>
  <c r="M203" i="16"/>
  <c r="I429" i="17"/>
  <c r="L205" i="16"/>
  <c r="H204" i="16"/>
  <c r="G430" i="17"/>
  <c r="J206" i="16"/>
  <c r="G206" i="16"/>
  <c r="M207" i="16"/>
  <c r="H430" i="17"/>
  <c r="K430" i="17" s="1"/>
  <c r="I431" i="17"/>
  <c r="H208" i="16"/>
  <c r="I461" i="17"/>
  <c r="H212" i="16"/>
  <c r="I463" i="17"/>
  <c r="H216" i="16"/>
  <c r="J463" i="17"/>
  <c r="I216" i="16"/>
  <c r="J465" i="17"/>
  <c r="I220" i="16"/>
  <c r="F230" i="16"/>
  <c r="F494" i="17"/>
  <c r="I528" i="17"/>
  <c r="H242" i="16"/>
  <c r="F528" i="17"/>
  <c r="F242" i="16"/>
  <c r="I242" i="16"/>
  <c r="J528" i="17"/>
  <c r="J244" i="16"/>
  <c r="G529" i="17"/>
  <c r="I248" i="16"/>
  <c r="J531" i="17"/>
  <c r="G252" i="16"/>
  <c r="S253" i="16"/>
  <c r="M253" i="16"/>
  <c r="G563" i="17"/>
  <c r="J264" i="16"/>
  <c r="I264" i="16"/>
  <c r="L265" i="16"/>
  <c r="J268" i="16"/>
  <c r="G565" i="17"/>
  <c r="J272" i="16"/>
  <c r="G567" i="17"/>
  <c r="G597" i="17"/>
  <c r="J276" i="16"/>
  <c r="G599" i="17"/>
  <c r="J280" i="16"/>
  <c r="G634" i="17"/>
  <c r="J302" i="16"/>
  <c r="J634" i="17"/>
  <c r="I302" i="16"/>
  <c r="G664" i="17"/>
  <c r="J306" i="16"/>
  <c r="J666" i="17"/>
  <c r="I310" i="16"/>
  <c r="G668" i="17"/>
  <c r="J314" i="16"/>
  <c r="J668" i="17"/>
  <c r="I314" i="16"/>
  <c r="F698" i="17"/>
  <c r="F326" i="16"/>
  <c r="M327" i="16"/>
  <c r="H767" i="17"/>
  <c r="K767" i="17" s="1"/>
  <c r="M361" i="16"/>
  <c r="G366" i="16"/>
  <c r="S367" i="16"/>
  <c r="F771" i="17"/>
  <c r="M369" i="16"/>
  <c r="H803" i="17"/>
  <c r="K803" i="17" s="1"/>
  <c r="M377" i="16"/>
  <c r="G805" i="17"/>
  <c r="J380" i="16"/>
  <c r="G839" i="17"/>
  <c r="J400" i="16"/>
  <c r="F434" i="16"/>
  <c r="F936" i="17"/>
  <c r="G971" i="17"/>
  <c r="J456" i="16"/>
  <c r="F1006" i="17"/>
  <c r="F470" i="16"/>
  <c r="J472" i="16"/>
  <c r="G1007" i="17"/>
  <c r="J474" i="16"/>
  <c r="G1008" i="17"/>
  <c r="H1039" i="17"/>
  <c r="K1039" i="17" s="1"/>
  <c r="G488" i="16"/>
  <c r="H1074" i="17"/>
  <c r="K1074" i="17" s="1"/>
  <c r="M503" i="16"/>
  <c r="F524" i="16"/>
  <c r="F1109" i="17"/>
  <c r="G1142" i="17"/>
  <c r="J534" i="16"/>
  <c r="L9" i="16"/>
  <c r="M45" i="16"/>
  <c r="M57" i="16"/>
  <c r="L119" i="16"/>
  <c r="M231" i="16"/>
  <c r="M249" i="16"/>
  <c r="L279" i="16"/>
  <c r="L281" i="16"/>
  <c r="L307" i="16"/>
  <c r="M307" i="16"/>
  <c r="L315" i="16"/>
  <c r="M329" i="16"/>
  <c r="L375" i="16"/>
  <c r="M715" i="16"/>
  <c r="M789" i="16"/>
  <c r="L797" i="16"/>
  <c r="L363" i="16"/>
  <c r="M365" i="16"/>
  <c r="L395" i="16"/>
  <c r="L409" i="16"/>
  <c r="L435" i="16"/>
  <c r="L533" i="16"/>
  <c r="L567" i="16"/>
  <c r="M619" i="16"/>
  <c r="L621" i="16"/>
  <c r="M631" i="16"/>
  <c r="L649" i="16"/>
  <c r="M649" i="16"/>
  <c r="L651" i="16"/>
  <c r="L657" i="16"/>
  <c r="M657" i="16"/>
  <c r="L683" i="16"/>
  <c r="L685" i="16"/>
  <c r="L691" i="16"/>
  <c r="L693" i="16"/>
  <c r="L699" i="16"/>
  <c r="L701" i="16"/>
  <c r="M505" i="16"/>
  <c r="M509" i="16"/>
  <c r="S37" i="11"/>
  <c r="L809" i="16"/>
  <c r="M845" i="16"/>
  <c r="M871" i="16"/>
  <c r="L967" i="16"/>
  <c r="E17" i="12"/>
  <c r="F4" i="12"/>
  <c r="F5" i="12"/>
  <c r="I5" i="12" s="1"/>
  <c r="O5" i="12" s="1"/>
  <c r="T37" i="11"/>
  <c r="F16" i="12"/>
  <c r="I16" i="12" s="1"/>
  <c r="O16" i="12" s="1"/>
  <c r="D36" i="12"/>
  <c r="O36" i="12"/>
  <c r="L36" i="12"/>
  <c r="C34" i="11"/>
  <c r="E36" i="11" s="1"/>
  <c r="D34" i="11"/>
  <c r="K28" i="12"/>
  <c r="M28" i="12" s="1"/>
  <c r="F38" i="11"/>
  <c r="F35" i="11"/>
  <c r="H17" i="12"/>
  <c r="L28" i="12"/>
  <c r="L32" i="12" s="1"/>
  <c r="D32" i="12"/>
  <c r="N3" i="11"/>
  <c r="B31" i="15" s="1"/>
  <c r="K3" i="15" s="1" a="1"/>
  <c r="K3" i="15" s="1"/>
  <c r="K12" i="15" s="1"/>
  <c r="N5" i="11"/>
  <c r="B33" i="15" s="1"/>
  <c r="K16" i="15" s="1" a="1"/>
  <c r="K16" i="15" s="1"/>
  <c r="K25" i="15" s="1"/>
  <c r="N29" i="11"/>
  <c r="B57" i="15" s="1"/>
  <c r="N21" i="11"/>
  <c r="B49" i="15" s="1"/>
  <c r="N22" i="11"/>
  <c r="B50" i="15" s="1"/>
  <c r="N14" i="11"/>
  <c r="B42" i="15" s="1"/>
  <c r="N10" i="11"/>
  <c r="B38" i="15" s="1"/>
  <c r="N12" i="11"/>
  <c r="B40" i="15" s="1"/>
  <c r="N20" i="11"/>
  <c r="B48" i="15" s="1"/>
  <c r="N26" i="11"/>
  <c r="B54" i="15" s="1"/>
  <c r="G17" i="12"/>
  <c r="K12" i="12" s="1"/>
  <c r="L12" i="12" s="1"/>
  <c r="N30" i="11"/>
  <c r="B58" i="15" s="1"/>
  <c r="N27" i="11"/>
  <c r="B55" i="15" s="1"/>
  <c r="N4" i="11"/>
  <c r="B32" i="15" s="1"/>
  <c r="C16" i="15" s="1" a="1"/>
  <c r="C16" i="15" s="1"/>
  <c r="C25" i="15" s="1"/>
  <c r="N11" i="11"/>
  <c r="B39" i="15" s="1"/>
  <c r="N28" i="11"/>
  <c r="B56" i="15" s="1"/>
  <c r="N17" i="11"/>
  <c r="B45" i="15" s="1"/>
  <c r="N25" i="11"/>
  <c r="B53" i="15" s="1"/>
  <c r="K31" i="12"/>
  <c r="M31" i="12" s="1"/>
  <c r="M32" i="12" s="1"/>
  <c r="G32" i="12"/>
  <c r="J227" i="17"/>
  <c r="I112" i="16"/>
  <c r="L113" i="16"/>
  <c r="J497" i="17"/>
  <c r="I236" i="16"/>
  <c r="H266" i="16"/>
  <c r="L267" i="16"/>
  <c r="L295" i="16"/>
  <c r="I630" i="17"/>
  <c r="M297" i="16"/>
  <c r="S297" i="16"/>
  <c r="G298" i="16"/>
  <c r="M299" i="16"/>
  <c r="G300" i="16"/>
  <c r="S301" i="16"/>
  <c r="M313" i="16"/>
  <c r="H667" i="17"/>
  <c r="K667" i="17" s="1"/>
  <c r="G342" i="16"/>
  <c r="M343" i="16"/>
  <c r="I366" i="16"/>
  <c r="L367" i="16"/>
  <c r="F800" i="17"/>
  <c r="M371" i="16"/>
  <c r="F370" i="16"/>
  <c r="I803" i="17"/>
  <c r="L377" i="16"/>
  <c r="I392" i="16"/>
  <c r="J835" i="17"/>
  <c r="G398" i="16"/>
  <c r="M399" i="16"/>
  <c r="I838" i="17"/>
  <c r="H398" i="16"/>
  <c r="L405" i="16"/>
  <c r="J869" i="17"/>
  <c r="F410" i="16"/>
  <c r="F872" i="17"/>
  <c r="L411" i="16"/>
  <c r="J872" i="17"/>
  <c r="J873" i="17"/>
  <c r="L413" i="16"/>
  <c r="M425" i="16"/>
  <c r="F903" i="17"/>
  <c r="F424" i="16"/>
  <c r="G428" i="16"/>
  <c r="M429" i="16"/>
  <c r="H905" i="17"/>
  <c r="K905" i="17" s="1"/>
  <c r="G432" i="16"/>
  <c r="M433" i="16"/>
  <c r="G436" i="16"/>
  <c r="S437" i="16"/>
  <c r="M445" i="16"/>
  <c r="F941" i="17"/>
  <c r="F444" i="16"/>
  <c r="F972" i="17"/>
  <c r="M459" i="16"/>
  <c r="S461" i="16"/>
  <c r="M461" i="16"/>
  <c r="I973" i="17"/>
  <c r="H460" i="16"/>
  <c r="L461" i="16"/>
  <c r="S463" i="16"/>
  <c r="G462" i="16"/>
  <c r="H462" i="16"/>
  <c r="L463" i="16"/>
  <c r="S465" i="16"/>
  <c r="G464" i="16"/>
  <c r="S467" i="16"/>
  <c r="G466" i="16"/>
  <c r="S469" i="16"/>
  <c r="H1005" i="17"/>
  <c r="K1005" i="17" s="1"/>
  <c r="M469" i="16"/>
  <c r="H470" i="16"/>
  <c r="I1006" i="17"/>
  <c r="L471" i="16"/>
  <c r="M495" i="16"/>
  <c r="H1042" i="17"/>
  <c r="K1042" i="17" s="1"/>
  <c r="G494" i="16"/>
  <c r="J1074" i="17"/>
  <c r="I502" i="16"/>
  <c r="J1077" i="17"/>
  <c r="I508" i="16"/>
  <c r="M519" i="16"/>
  <c r="F1106" i="17"/>
  <c r="M523" i="16"/>
  <c r="F1108" i="17"/>
  <c r="I1109" i="17"/>
  <c r="L525" i="16"/>
  <c r="I1111" i="17"/>
  <c r="H528" i="16"/>
  <c r="J530" i="16"/>
  <c r="G1140" i="17"/>
  <c r="F1141" i="17"/>
  <c r="F532" i="16"/>
  <c r="M535" i="16"/>
  <c r="F1142" i="17"/>
  <c r="J1145" i="17"/>
  <c r="L541" i="16"/>
  <c r="I540" i="16"/>
  <c r="I552" i="16"/>
  <c r="J1175" i="17"/>
  <c r="G558" i="16"/>
  <c r="S559" i="16"/>
  <c r="M559" i="16"/>
  <c r="I560" i="16"/>
  <c r="J1179" i="17"/>
  <c r="I568" i="16"/>
  <c r="J1211" i="17"/>
  <c r="F1245" i="17"/>
  <c r="F588" i="16"/>
  <c r="I588" i="16"/>
  <c r="J1245" i="17"/>
  <c r="L589" i="16"/>
  <c r="I1247" i="17"/>
  <c r="L593" i="16"/>
  <c r="H592" i="16"/>
  <c r="H594" i="16"/>
  <c r="I1276" i="17"/>
  <c r="F1277" i="17"/>
  <c r="F596" i="16"/>
  <c r="L597" i="16"/>
  <c r="I596" i="16"/>
  <c r="I598" i="16"/>
  <c r="L599" i="16"/>
  <c r="F1281" i="17"/>
  <c r="F604" i="16"/>
  <c r="L605" i="16"/>
  <c r="J1281" i="17"/>
  <c r="I604" i="16"/>
  <c r="J1312" i="17"/>
  <c r="L619" i="16"/>
  <c r="I618" i="16"/>
  <c r="J1315" i="17"/>
  <c r="I624" i="16"/>
  <c r="J1346" i="17"/>
  <c r="I630" i="16"/>
  <c r="L631" i="16"/>
  <c r="I1348" i="17"/>
  <c r="H634" i="16"/>
  <c r="M651" i="16"/>
  <c r="F1380" i="17"/>
  <c r="G1381" i="17"/>
  <c r="J652" i="16"/>
  <c r="M659" i="16"/>
  <c r="H1412" i="17"/>
  <c r="K1412" i="17" s="1"/>
  <c r="G658" i="16"/>
  <c r="S659" i="16"/>
  <c r="H1413" i="17"/>
  <c r="K1413" i="17" s="1"/>
  <c r="G660" i="16"/>
  <c r="S661" i="16"/>
  <c r="M661" i="16"/>
  <c r="M667" i="16"/>
  <c r="H1416" i="17"/>
  <c r="K1416" i="17" s="1"/>
  <c r="G666" i="16"/>
  <c r="H1417" i="17"/>
  <c r="K1417" i="17" s="1"/>
  <c r="G668" i="16"/>
  <c r="S669" i="16"/>
  <c r="L711" i="16"/>
  <c r="J1514" i="17"/>
  <c r="I710" i="16"/>
  <c r="J1517" i="17"/>
  <c r="I716" i="16"/>
  <c r="J1549" i="17"/>
  <c r="I724" i="16"/>
  <c r="J1553" i="17"/>
  <c r="I732" i="16"/>
  <c r="H744" i="16"/>
  <c r="L745" i="16"/>
  <c r="F1584" i="17"/>
  <c r="F746" i="16"/>
  <c r="L749" i="16"/>
  <c r="J1585" i="17"/>
  <c r="I1587" i="17"/>
  <c r="H752" i="16"/>
  <c r="I756" i="16"/>
  <c r="L757" i="16"/>
  <c r="M761" i="16"/>
  <c r="F760" i="16"/>
  <c r="G1619" i="17"/>
  <c r="J760" i="16"/>
  <c r="F1621" i="17"/>
  <c r="M765" i="16"/>
  <c r="G776" i="16"/>
  <c r="H1651" i="17"/>
  <c r="K1651" i="17" s="1"/>
  <c r="M777" i="16"/>
  <c r="G780" i="16"/>
  <c r="H1653" i="17"/>
  <c r="K1653" i="17" s="1"/>
  <c r="S781" i="16"/>
  <c r="S787" i="16"/>
  <c r="M787" i="16"/>
  <c r="G786" i="16"/>
  <c r="G1685" i="17"/>
  <c r="J788" i="16"/>
  <c r="J1687" i="17"/>
  <c r="I792" i="16"/>
  <c r="I1787" i="17"/>
  <c r="L841" i="16"/>
  <c r="J1789" i="17"/>
  <c r="L845" i="16"/>
  <c r="I844" i="16"/>
  <c r="L849" i="16"/>
  <c r="H848" i="16"/>
  <c r="I1820" i="17"/>
  <c r="L851" i="16"/>
  <c r="H870" i="16"/>
  <c r="I1854" i="17"/>
  <c r="J874" i="16"/>
  <c r="G1856" i="17"/>
  <c r="F1859" i="17"/>
  <c r="M881" i="16"/>
  <c r="F1893" i="17"/>
  <c r="F892" i="16"/>
  <c r="G2092" i="17"/>
  <c r="J978" i="16"/>
  <c r="I2095" i="17"/>
  <c r="H984" i="16"/>
  <c r="M43" i="16"/>
  <c r="F42" i="16"/>
  <c r="I189" i="17"/>
  <c r="L85" i="16"/>
  <c r="S123" i="16"/>
  <c r="M123" i="16"/>
  <c r="F290" i="17"/>
  <c r="F134" i="16"/>
  <c r="H166" i="16"/>
  <c r="L167" i="16"/>
  <c r="I494" i="17"/>
  <c r="H230" i="16"/>
  <c r="L231" i="16"/>
  <c r="J533" i="17"/>
  <c r="L253" i="16"/>
  <c r="F565" i="17"/>
  <c r="M269" i="16"/>
  <c r="I567" i="17"/>
  <c r="L273" i="16"/>
  <c r="F314" i="16"/>
  <c r="M315" i="16"/>
  <c r="G316" i="16"/>
  <c r="H669" i="17"/>
  <c r="K669" i="17" s="1"/>
  <c r="G394" i="16"/>
  <c r="M395" i="16"/>
  <c r="G836" i="17"/>
  <c r="J394" i="16"/>
  <c r="I400" i="16"/>
  <c r="J839" i="17"/>
  <c r="S849" i="16"/>
  <c r="S841" i="16"/>
  <c r="I808" i="16"/>
  <c r="M941" i="16"/>
  <c r="G860" i="16"/>
  <c r="M827" i="16"/>
  <c r="I822" i="16"/>
  <c r="G796" i="16"/>
  <c r="L733" i="16"/>
  <c r="L725" i="16"/>
  <c r="L717" i="16"/>
  <c r="H846" i="16"/>
  <c r="L843" i="16"/>
  <c r="F808" i="16"/>
  <c r="G788" i="16"/>
  <c r="H742" i="16"/>
  <c r="S729" i="16"/>
  <c r="M721" i="16"/>
  <c r="G698" i="16"/>
  <c r="M695" i="16"/>
  <c r="H1480" i="17"/>
  <c r="K1480" i="17" s="1"/>
  <c r="G682" i="16"/>
  <c r="F1383" i="17"/>
  <c r="F648" i="16"/>
  <c r="J790" i="16"/>
  <c r="S779" i="16"/>
  <c r="I758" i="16"/>
  <c r="H840" i="16"/>
  <c r="G1653" i="17"/>
  <c r="I748" i="16"/>
  <c r="S777" i="16"/>
  <c r="L521" i="16"/>
  <c r="L445" i="16"/>
  <c r="H520" i="16"/>
  <c r="H973" i="17"/>
  <c r="K973" i="17" s="1"/>
  <c r="S433" i="16"/>
  <c r="F518" i="16"/>
  <c r="F390" i="16"/>
  <c r="M243" i="16"/>
  <c r="G296" i="16"/>
  <c r="J294" i="16"/>
  <c r="J528" i="16"/>
  <c r="J70" i="16"/>
  <c r="G154" i="17"/>
  <c r="G86" i="16"/>
  <c r="S87" i="16"/>
  <c r="G227" i="17"/>
  <c r="J112" i="16"/>
  <c r="F293" i="17"/>
  <c r="F140" i="16"/>
  <c r="F295" i="17"/>
  <c r="F144" i="16"/>
  <c r="I244" i="16"/>
  <c r="L245" i="16"/>
  <c r="H282" i="16"/>
  <c r="I600" i="17"/>
  <c r="L283" i="16"/>
  <c r="F601" i="17"/>
  <c r="M285" i="16"/>
  <c r="H635" i="17"/>
  <c r="K635" i="17" s="1"/>
  <c r="S305" i="16"/>
  <c r="M305" i="16"/>
  <c r="F770" i="17"/>
  <c r="F366" i="16"/>
  <c r="H805" i="17"/>
  <c r="K805" i="17" s="1"/>
  <c r="G380" i="16"/>
  <c r="M813" i="16"/>
  <c r="J1719" i="17"/>
  <c r="M809" i="16"/>
  <c r="I786" i="16"/>
  <c r="I778" i="16"/>
  <c r="M797" i="16"/>
  <c r="S827" i="16"/>
  <c r="J1754" i="17"/>
  <c r="L815" i="16"/>
  <c r="H814" i="16"/>
  <c r="I762" i="16"/>
  <c r="M747" i="16"/>
  <c r="H1551" i="17"/>
  <c r="K1551" i="17" s="1"/>
  <c r="S721" i="16"/>
  <c r="M713" i="16"/>
  <c r="M699" i="16"/>
  <c r="H1482" i="17"/>
  <c r="K1482" i="17" s="1"/>
  <c r="G686" i="16"/>
  <c r="M683" i="16"/>
  <c r="M665" i="16"/>
  <c r="S663" i="16"/>
  <c r="F1379" i="17"/>
  <c r="M621" i="16"/>
  <c r="J1618" i="17"/>
  <c r="I1791" i="17"/>
  <c r="H1684" i="17"/>
  <c r="K1684" i="17" s="1"/>
  <c r="J1617" i="17"/>
  <c r="J742" i="16"/>
  <c r="J1956" i="17"/>
  <c r="F632" i="16"/>
  <c r="I1583" i="17"/>
  <c r="L105" i="16"/>
  <c r="J1174" i="17"/>
  <c r="L509" i="16"/>
  <c r="S429" i="16"/>
  <c r="I404" i="16"/>
  <c r="H665" i="17"/>
  <c r="K665" i="17" s="1"/>
  <c r="L625" i="16"/>
  <c r="H1313" i="17"/>
  <c r="K1313" i="17" s="1"/>
  <c r="M605" i="16"/>
  <c r="L553" i="16"/>
  <c r="S667" i="16"/>
  <c r="J1348" i="17"/>
  <c r="L635" i="16"/>
  <c r="M277" i="16"/>
  <c r="L121" i="16"/>
  <c r="J460" i="16"/>
  <c r="M463" i="16"/>
  <c r="I410" i="16"/>
  <c r="L423" i="16"/>
  <c r="L429" i="16"/>
  <c r="M431" i="16"/>
  <c r="M439" i="16"/>
  <c r="M655" i="16"/>
  <c r="AA33" i="11"/>
  <c r="I18" i="17"/>
  <c r="L7" i="16"/>
  <c r="F19" i="17"/>
  <c r="F8" i="16"/>
  <c r="F21" i="17"/>
  <c r="F12" i="16"/>
  <c r="F22" i="17"/>
  <c r="F14" i="16"/>
  <c r="G57" i="17"/>
  <c r="J28" i="16"/>
  <c r="I28" i="16"/>
  <c r="L29" i="16"/>
  <c r="J86" i="17"/>
  <c r="L39" i="16"/>
  <c r="F87" i="17"/>
  <c r="M41" i="16"/>
  <c r="F91" i="17"/>
  <c r="F48" i="16"/>
  <c r="G120" i="17"/>
  <c r="J50" i="16"/>
  <c r="S53" i="16"/>
  <c r="G52" i="16"/>
  <c r="G122" i="17"/>
  <c r="J54" i="16"/>
  <c r="S55" i="16"/>
  <c r="G54" i="16"/>
  <c r="S57" i="16"/>
  <c r="G56" i="16"/>
  <c r="G124" i="17"/>
  <c r="J58" i="16"/>
  <c r="S61" i="16"/>
  <c r="G60" i="16"/>
  <c r="M73" i="16"/>
  <c r="H155" i="17"/>
  <c r="K155" i="17" s="1"/>
  <c r="J155" i="17"/>
  <c r="L73" i="16"/>
  <c r="I191" i="17"/>
  <c r="L89" i="16"/>
  <c r="F191" i="17"/>
  <c r="F88" i="16"/>
  <c r="G102" i="16"/>
  <c r="S103" i="16"/>
  <c r="G106" i="16"/>
  <c r="H224" i="17"/>
  <c r="K224" i="17" s="1"/>
  <c r="G114" i="16"/>
  <c r="H256" i="17"/>
  <c r="K256" i="17" s="1"/>
  <c r="G138" i="16"/>
  <c r="M139" i="16"/>
  <c r="S139" i="16"/>
  <c r="G146" i="16"/>
  <c r="M147" i="16"/>
  <c r="M149" i="16"/>
  <c r="F148" i="16"/>
  <c r="G154" i="16"/>
  <c r="S155" i="16"/>
  <c r="M157" i="16"/>
  <c r="F329" i="17"/>
  <c r="J358" i="17"/>
  <c r="I166" i="16"/>
  <c r="G363" i="17"/>
  <c r="J176" i="16"/>
  <c r="G392" i="17"/>
  <c r="J178" i="16"/>
  <c r="F426" i="17"/>
  <c r="F198" i="16"/>
  <c r="M199" i="16"/>
  <c r="S199" i="16"/>
  <c r="F427" i="17"/>
  <c r="M201" i="16"/>
  <c r="J428" i="17"/>
  <c r="L203" i="16"/>
  <c r="F429" i="17"/>
  <c r="M205" i="16"/>
  <c r="J430" i="17"/>
  <c r="I206" i="16"/>
  <c r="F431" i="17"/>
  <c r="M209" i="16"/>
  <c r="G460" i="17"/>
  <c r="J210" i="16"/>
  <c r="M211" i="16"/>
  <c r="S211" i="16"/>
  <c r="F461" i="17"/>
  <c r="M213" i="16"/>
  <c r="G462" i="17"/>
  <c r="J214" i="16"/>
  <c r="M215" i="16"/>
  <c r="H462" i="17"/>
  <c r="K462" i="17" s="1"/>
  <c r="F463" i="17"/>
  <c r="F216" i="16"/>
  <c r="M217" i="16"/>
  <c r="G464" i="17"/>
  <c r="J218" i="16"/>
  <c r="M219" i="16"/>
  <c r="S219" i="16"/>
  <c r="F465" i="17"/>
  <c r="F220" i="16"/>
  <c r="M221" i="16"/>
  <c r="G230" i="16"/>
  <c r="H494" i="17"/>
  <c r="K494" i="17" s="1"/>
  <c r="S231" i="16"/>
  <c r="H495" i="17"/>
  <c r="K495" i="17" s="1"/>
  <c r="G232" i="16"/>
  <c r="I496" i="17"/>
  <c r="H234" i="16"/>
  <c r="S237" i="16"/>
  <c r="G236" i="16"/>
  <c r="H497" i="17"/>
  <c r="K497" i="17" s="1"/>
  <c r="H498" i="17"/>
  <c r="K498" i="17" s="1"/>
  <c r="S239" i="16"/>
  <c r="M239" i="16"/>
  <c r="S245" i="16"/>
  <c r="H529" i="17"/>
  <c r="K529" i="17" s="1"/>
  <c r="F529" i="17"/>
  <c r="F244" i="16"/>
  <c r="H530" i="17"/>
  <c r="K530" i="17" s="1"/>
  <c r="S247" i="16"/>
  <c r="G246" i="16"/>
  <c r="M247" i="16"/>
  <c r="I531" i="17"/>
  <c r="H248" i="16"/>
  <c r="F531" i="17"/>
  <c r="F248" i="16"/>
  <c r="H250" i="16"/>
  <c r="I532" i="17"/>
  <c r="G262" i="16"/>
  <c r="S263" i="16"/>
  <c r="I596" i="17"/>
  <c r="H274" i="16"/>
  <c r="I597" i="17"/>
  <c r="H276" i="16"/>
  <c r="I599" i="17"/>
  <c r="H280" i="16"/>
  <c r="I664" i="17"/>
  <c r="H306" i="16"/>
  <c r="I666" i="17"/>
  <c r="H310" i="16"/>
  <c r="M311" i="16"/>
  <c r="F666" i="17"/>
  <c r="I668" i="17"/>
  <c r="H314" i="16"/>
  <c r="G699" i="17"/>
  <c r="J328" i="16"/>
  <c r="G328" i="16"/>
  <c r="H699" i="17"/>
  <c r="K699" i="17" s="1"/>
  <c r="G700" i="17"/>
  <c r="J330" i="16"/>
  <c r="G330" i="16"/>
  <c r="S331" i="16"/>
  <c r="G332" i="16"/>
  <c r="M333" i="16"/>
  <c r="G702" i="17"/>
  <c r="J334" i="16"/>
  <c r="G703" i="17"/>
  <c r="J336" i="16"/>
  <c r="G336" i="16"/>
  <c r="H703" i="17"/>
  <c r="K703" i="17" s="1"/>
  <c r="G732" i="17"/>
  <c r="J338" i="16"/>
  <c r="G338" i="16"/>
  <c r="S339" i="16"/>
  <c r="G733" i="17"/>
  <c r="J340" i="16"/>
  <c r="G340" i="16"/>
  <c r="M341" i="16"/>
  <c r="G734" i="17"/>
  <c r="J342" i="16"/>
  <c r="G344" i="16"/>
  <c r="H735" i="17"/>
  <c r="K735" i="17" s="1"/>
  <c r="J736" i="17"/>
  <c r="L347" i="16"/>
  <c r="I768" i="17"/>
  <c r="H362" i="16"/>
  <c r="H769" i="17"/>
  <c r="K769" i="17" s="1"/>
  <c r="S365" i="16"/>
  <c r="G364" i="16"/>
  <c r="I802" i="17"/>
  <c r="H374" i="16"/>
  <c r="I804" i="17"/>
  <c r="H378" i="16"/>
  <c r="F835" i="17"/>
  <c r="F392" i="16"/>
  <c r="I836" i="17"/>
  <c r="H394" i="16"/>
  <c r="I839" i="17"/>
  <c r="L401" i="16"/>
  <c r="S405" i="16"/>
  <c r="G404" i="16"/>
  <c r="S411" i="16"/>
  <c r="G410" i="16"/>
  <c r="H872" i="17"/>
  <c r="K872" i="17" s="1"/>
  <c r="H873" i="17"/>
  <c r="K873" i="17" s="1"/>
  <c r="G412" i="16"/>
  <c r="F412" i="16"/>
  <c r="F873" i="17"/>
  <c r="F902" i="17"/>
  <c r="F422" i="16"/>
  <c r="G902" i="17"/>
  <c r="J422" i="16"/>
  <c r="I903" i="17"/>
  <c r="H424" i="16"/>
  <c r="J903" i="17"/>
  <c r="I424" i="16"/>
  <c r="G426" i="16"/>
  <c r="S427" i="16"/>
  <c r="I906" i="17"/>
  <c r="H430" i="16"/>
  <c r="I936" i="17"/>
  <c r="H434" i="16"/>
  <c r="I938" i="17"/>
  <c r="H438" i="16"/>
  <c r="G940" i="17"/>
  <c r="J442" i="16"/>
  <c r="J1004" i="17"/>
  <c r="I466" i="16"/>
  <c r="I1005" i="17"/>
  <c r="H468" i="16"/>
  <c r="I1039" i="17"/>
  <c r="H488" i="16"/>
  <c r="F1040" i="17"/>
  <c r="F490" i="16"/>
  <c r="M491" i="16"/>
  <c r="I1043" i="17"/>
  <c r="H496" i="16"/>
  <c r="F1072" i="17"/>
  <c r="F498" i="16"/>
  <c r="M499" i="16"/>
  <c r="G1074" i="17"/>
  <c r="J502" i="16"/>
  <c r="G1075" i="17"/>
  <c r="J504" i="16"/>
  <c r="G1076" i="17"/>
  <c r="J506" i="16"/>
  <c r="G1077" i="17"/>
  <c r="J508" i="16"/>
  <c r="J1141" i="17"/>
  <c r="I532" i="16"/>
  <c r="J1142" i="17"/>
  <c r="I534" i="16"/>
  <c r="G1177" i="17"/>
  <c r="J556" i="16"/>
  <c r="G1178" i="17"/>
  <c r="J558" i="16"/>
  <c r="I1179" i="17"/>
  <c r="H560" i="16"/>
  <c r="G1209" i="17"/>
  <c r="J564" i="16"/>
  <c r="G1210" i="17"/>
  <c r="J566" i="16"/>
  <c r="I1210" i="17"/>
  <c r="H566" i="16"/>
  <c r="I1211" i="17"/>
  <c r="H568" i="16"/>
  <c r="G1213" i="17"/>
  <c r="J572" i="16"/>
  <c r="G1243" i="17"/>
  <c r="J584" i="16"/>
  <c r="H1245" i="17"/>
  <c r="K1245" i="17" s="1"/>
  <c r="G588" i="16"/>
  <c r="S589" i="16"/>
  <c r="I1246" i="17"/>
  <c r="H590" i="16"/>
  <c r="H1277" i="17"/>
  <c r="K1277" i="17" s="1"/>
  <c r="S597" i="16"/>
  <c r="G596" i="16"/>
  <c r="G1279" i="17"/>
  <c r="J600" i="16"/>
  <c r="G606" i="16"/>
  <c r="M607" i="16"/>
  <c r="S607" i="16"/>
  <c r="F1312" i="17"/>
  <c r="F618" i="16"/>
  <c r="I1313" i="17"/>
  <c r="H620" i="16"/>
  <c r="I1345" i="17"/>
  <c r="H628" i="16"/>
  <c r="F1346" i="17"/>
  <c r="F630" i="16"/>
  <c r="G1349" i="17"/>
  <c r="J636" i="16"/>
  <c r="I1379" i="17"/>
  <c r="H648" i="16"/>
  <c r="I650" i="16"/>
  <c r="J1380" i="17"/>
  <c r="I1383" i="17"/>
  <c r="H656" i="16"/>
  <c r="J1448" i="17"/>
  <c r="I682" i="16"/>
  <c r="I1449" i="17"/>
  <c r="H684" i="16"/>
  <c r="J1450" i="17"/>
  <c r="I686" i="16"/>
  <c r="J1480" i="17"/>
  <c r="I690" i="16"/>
  <c r="I1481" i="17"/>
  <c r="H692" i="16"/>
  <c r="J1482" i="17"/>
  <c r="I694" i="16"/>
  <c r="J1484" i="17"/>
  <c r="I698" i="16"/>
  <c r="I1485" i="17"/>
  <c r="H700" i="16"/>
  <c r="I1515" i="17"/>
  <c r="H712" i="16"/>
  <c r="F1516" i="17"/>
  <c r="F714" i="16"/>
  <c r="I1519" i="17"/>
  <c r="H720" i="16"/>
  <c r="F1654" i="17"/>
  <c r="F782" i="16"/>
  <c r="H796" i="16"/>
  <c r="I1689" i="17"/>
  <c r="G1756" i="17"/>
  <c r="J826" i="16"/>
  <c r="J842" i="16"/>
  <c r="G1788" i="17"/>
  <c r="G1821" i="17"/>
  <c r="J852" i="16"/>
  <c r="J1857" i="17"/>
  <c r="I876" i="16"/>
  <c r="G1858" i="17"/>
  <c r="J878" i="16"/>
  <c r="F884" i="16"/>
  <c r="F1889" i="17"/>
  <c r="J890" i="16"/>
  <c r="G1892" i="17"/>
  <c r="I1995" i="17"/>
  <c r="H944" i="16"/>
  <c r="H956" i="16"/>
  <c r="I2029" i="17"/>
  <c r="I2060" i="17"/>
  <c r="H970" i="16"/>
  <c r="I2061" i="17"/>
  <c r="H972" i="16"/>
  <c r="I2092" i="17"/>
  <c r="H978" i="16"/>
  <c r="I2097" i="17"/>
  <c r="H988" i="16"/>
  <c r="L111" i="16"/>
  <c r="M245" i="16"/>
  <c r="M295" i="16"/>
  <c r="I120" i="16"/>
  <c r="S83" i="16"/>
  <c r="S299" i="16"/>
  <c r="F284" i="16"/>
  <c r="F276" i="16"/>
  <c r="F268" i="16"/>
  <c r="I252" i="16"/>
  <c r="G166" i="16"/>
  <c r="M87" i="16"/>
  <c r="S77" i="16"/>
  <c r="L71" i="16"/>
  <c r="M61" i="16"/>
  <c r="H121" i="17"/>
  <c r="K121" i="17" s="1"/>
  <c r="H26" i="16"/>
  <c r="F668" i="17"/>
  <c r="F306" i="16"/>
  <c r="H633" i="17"/>
  <c r="K633" i="17" s="1"/>
  <c r="I358" i="17"/>
  <c r="M135" i="16"/>
  <c r="H190" i="17"/>
  <c r="K190" i="17" s="1"/>
  <c r="I72" i="16"/>
  <c r="L59" i="16"/>
  <c r="S343" i="16"/>
  <c r="M339" i="16"/>
  <c r="M335" i="16"/>
  <c r="H701" i="17"/>
  <c r="K701" i="17" s="1"/>
  <c r="S329" i="16"/>
  <c r="F280" i="16"/>
  <c r="F272" i="16"/>
  <c r="F264" i="16"/>
  <c r="J495" i="17"/>
  <c r="G214" i="16"/>
  <c r="G210" i="16"/>
  <c r="H426" i="17"/>
  <c r="K426" i="17" s="1"/>
  <c r="F152" i="16"/>
  <c r="F291" i="17"/>
  <c r="G82" i="16"/>
  <c r="J76" i="16"/>
  <c r="S73" i="16"/>
  <c r="F88" i="17"/>
  <c r="M9" i="16"/>
  <c r="F46" i="16"/>
  <c r="J57" i="17"/>
  <c r="H278" i="16"/>
  <c r="G520" i="16"/>
  <c r="L529" i="16"/>
  <c r="H526" i="16"/>
  <c r="I506" i="16"/>
  <c r="L371" i="16"/>
  <c r="L361" i="16"/>
  <c r="L505" i="16"/>
  <c r="L467" i="16"/>
  <c r="H907" i="17"/>
  <c r="K907" i="17" s="1"/>
  <c r="M281" i="16"/>
  <c r="M273" i="16"/>
  <c r="M265" i="16"/>
  <c r="L251" i="16"/>
  <c r="L235" i="16"/>
  <c r="L125" i="16"/>
  <c r="L109" i="16"/>
  <c r="L503" i="16"/>
  <c r="M467" i="16"/>
  <c r="H838" i="17"/>
  <c r="K838" i="17" s="1"/>
  <c r="H836" i="17"/>
  <c r="K836" i="17" s="1"/>
  <c r="L285" i="16"/>
  <c r="L277" i="16"/>
  <c r="L269" i="16"/>
  <c r="I488" i="16"/>
  <c r="G486" i="16"/>
  <c r="M465" i="16"/>
  <c r="F458" i="16"/>
  <c r="I444" i="16"/>
  <c r="H937" i="17"/>
  <c r="K937" i="17" s="1"/>
  <c r="L311" i="16"/>
  <c r="L303" i="16"/>
  <c r="F534" i="16"/>
  <c r="M533" i="16"/>
  <c r="F522" i="16"/>
  <c r="M521" i="16"/>
  <c r="L507" i="16"/>
  <c r="H974" i="17"/>
  <c r="K974" i="17" s="1"/>
  <c r="M233" i="16"/>
  <c r="L207" i="16"/>
  <c r="M111" i="16"/>
  <c r="I974" i="17"/>
  <c r="F310" i="16"/>
  <c r="F302" i="16"/>
  <c r="H631" i="17"/>
  <c r="K631" i="17" s="1"/>
  <c r="F294" i="16"/>
  <c r="L477" i="16"/>
  <c r="H632" i="17"/>
  <c r="K632" i="17" s="1"/>
  <c r="G494" i="17"/>
  <c r="H358" i="17"/>
  <c r="K358" i="17" s="1"/>
  <c r="H122" i="17"/>
  <c r="K122" i="17" s="1"/>
  <c r="M53" i="16"/>
  <c r="M317" i="16"/>
  <c r="G308" i="16"/>
  <c r="F664" i="17"/>
  <c r="M103" i="16"/>
  <c r="M77" i="16"/>
  <c r="H70" i="16"/>
  <c r="L47" i="16"/>
  <c r="L43" i="16"/>
  <c r="L27" i="16"/>
  <c r="L469" i="16"/>
  <c r="H408" i="16"/>
  <c r="L407" i="16"/>
  <c r="J398" i="16"/>
  <c r="I370" i="16"/>
  <c r="M345" i="16"/>
  <c r="H734" i="17"/>
  <c r="K734" i="17" s="1"/>
  <c r="H732" i="17"/>
  <c r="K732" i="17" s="1"/>
  <c r="S335" i="16"/>
  <c r="M331" i="16"/>
  <c r="M303" i="16"/>
  <c r="H460" i="17"/>
  <c r="K460" i="17" s="1"/>
  <c r="F156" i="16"/>
  <c r="F325" i="17"/>
  <c r="S147" i="16"/>
  <c r="J104" i="16"/>
  <c r="I78" i="16"/>
  <c r="G72" i="16"/>
  <c r="I24" i="16"/>
  <c r="L927" i="16"/>
  <c r="F790" i="16"/>
  <c r="G604" i="16"/>
  <c r="S233" i="16"/>
  <c r="I598" i="17"/>
  <c r="H272" i="16"/>
  <c r="H376" i="16"/>
  <c r="I464" i="16"/>
  <c r="J494" i="16"/>
  <c r="H1107" i="17"/>
  <c r="K1107" i="17" s="1"/>
  <c r="J1277" i="17"/>
  <c r="L535" i="16"/>
  <c r="L527" i="16"/>
  <c r="L425" i="16"/>
  <c r="H524" i="16"/>
  <c r="I504" i="16"/>
  <c r="L497" i="16"/>
  <c r="L489" i="16"/>
  <c r="M411" i="16"/>
  <c r="L379" i="16"/>
  <c r="G468" i="16"/>
  <c r="G460" i="16"/>
  <c r="H400" i="16"/>
  <c r="L249" i="16"/>
  <c r="L241" i="16"/>
  <c r="L233" i="16"/>
  <c r="L595" i="16"/>
  <c r="H1004" i="17"/>
  <c r="K1004" i="17" s="1"/>
  <c r="M437" i="16"/>
  <c r="M423" i="16"/>
  <c r="S399" i="16"/>
  <c r="S395" i="16"/>
  <c r="L271" i="16"/>
  <c r="L551" i="16"/>
  <c r="I496" i="16"/>
  <c r="S495" i="16"/>
  <c r="H1038" i="17"/>
  <c r="K1038" i="17" s="1"/>
  <c r="J468" i="16"/>
  <c r="H975" i="17"/>
  <c r="K975" i="17" s="1"/>
  <c r="I412" i="16"/>
  <c r="M393" i="16"/>
  <c r="M381" i="16"/>
  <c r="J348" i="16"/>
  <c r="M241" i="16"/>
  <c r="L79" i="16"/>
  <c r="G312" i="16"/>
  <c r="G304" i="16"/>
  <c r="H294" i="16"/>
  <c r="I104" i="16"/>
  <c r="I1009" i="17"/>
  <c r="J529" i="17"/>
  <c r="M167" i="16"/>
  <c r="L103" i="16"/>
  <c r="H123" i="17"/>
  <c r="K123" i="17" s="1"/>
  <c r="M55" i="16"/>
  <c r="J770" i="17"/>
  <c r="S317" i="16"/>
  <c r="M309" i="16"/>
  <c r="M301" i="16"/>
  <c r="H222" i="17"/>
  <c r="K222" i="17" s="1"/>
  <c r="M81" i="16"/>
  <c r="G76" i="16"/>
  <c r="L25" i="16"/>
  <c r="I871" i="17"/>
  <c r="I870" i="17"/>
  <c r="S345" i="16"/>
  <c r="S341" i="16"/>
  <c r="M337" i="16"/>
  <c r="H702" i="17"/>
  <c r="K702" i="17" s="1"/>
  <c r="H700" i="17"/>
  <c r="K700" i="17" s="1"/>
  <c r="M263" i="16"/>
  <c r="G218" i="16"/>
  <c r="M155" i="16"/>
  <c r="M153" i="16"/>
  <c r="H324" i="17"/>
  <c r="K324" i="17" s="1"/>
  <c r="M49" i="16"/>
  <c r="F2026" i="17"/>
  <c r="H1281" i="17"/>
  <c r="K1281" i="17" s="1"/>
  <c r="J536" i="16"/>
  <c r="S381" i="16"/>
  <c r="H886" i="16"/>
  <c r="S107" i="16"/>
  <c r="S413" i="16"/>
  <c r="H869" i="17"/>
  <c r="K869" i="17" s="1"/>
  <c r="I564" i="17"/>
  <c r="F212" i="16"/>
  <c r="J856" i="16"/>
  <c r="K32" i="12"/>
  <c r="S115" i="16"/>
  <c r="I46" i="16"/>
  <c r="F232" i="16"/>
  <c r="J174" i="16"/>
  <c r="F236" i="16"/>
  <c r="G238" i="16"/>
  <c r="F208" i="16"/>
  <c r="F110" i="16"/>
  <c r="J172" i="16"/>
  <c r="J170" i="16"/>
  <c r="H124" i="16"/>
  <c r="H32" i="12"/>
  <c r="M91" i="16"/>
  <c r="H6" i="16"/>
  <c r="F20" i="16"/>
  <c r="F16" i="16"/>
  <c r="H108" i="16"/>
  <c r="J184" i="16"/>
  <c r="I102" i="16"/>
  <c r="H110" i="16"/>
  <c r="L437" i="16"/>
  <c r="S505" i="16"/>
  <c r="F904" i="17"/>
  <c r="G502" i="16"/>
  <c r="G458" i="16"/>
  <c r="J370" i="16"/>
  <c r="S347" i="16"/>
  <c r="S509" i="16"/>
  <c r="H766" i="17"/>
  <c r="K766" i="17" s="1"/>
  <c r="H736" i="17"/>
  <c r="K736" i="17" s="1"/>
  <c r="M525" i="16"/>
  <c r="M507" i="16"/>
  <c r="H1043" i="17"/>
  <c r="K1043" i="17" s="1"/>
  <c r="S489" i="16"/>
  <c r="M441" i="16"/>
  <c r="J412" i="16"/>
  <c r="J404" i="16"/>
  <c r="H839" i="17"/>
  <c r="K839" i="17" s="1"/>
  <c r="M397" i="16"/>
  <c r="L393" i="16"/>
  <c r="M373" i="16"/>
  <c r="M367" i="16"/>
  <c r="G769" i="17"/>
  <c r="G370" i="16"/>
  <c r="J834" i="17"/>
  <c r="H436" i="16"/>
  <c r="M349" i="16"/>
  <c r="F396" i="16"/>
  <c r="F1548" i="17"/>
  <c r="F722" i="16"/>
  <c r="I1551" i="17"/>
  <c r="H728" i="16"/>
  <c r="F1552" i="17"/>
  <c r="F730" i="16"/>
  <c r="H1582" i="17"/>
  <c r="K1582" i="17" s="1"/>
  <c r="G742" i="16"/>
  <c r="M743" i="16"/>
  <c r="I1584" i="17"/>
  <c r="H746" i="16"/>
  <c r="S749" i="16"/>
  <c r="G748" i="16"/>
  <c r="I1586" i="17"/>
  <c r="H750" i="16"/>
  <c r="I1616" i="17"/>
  <c r="H754" i="16"/>
  <c r="S757" i="16"/>
  <c r="H1617" i="17"/>
  <c r="K1617" i="17" s="1"/>
  <c r="G756" i="16"/>
  <c r="G758" i="16"/>
  <c r="H1618" i="17"/>
  <c r="K1618" i="17" s="1"/>
  <c r="I1619" i="17"/>
  <c r="H760" i="16"/>
  <c r="I1621" i="17"/>
  <c r="H764" i="16"/>
  <c r="G784" i="16"/>
  <c r="M785" i="16"/>
  <c r="I1688" i="17"/>
  <c r="H794" i="16"/>
  <c r="G1688" i="17"/>
  <c r="J794" i="16"/>
  <c r="G1720" i="17"/>
  <c r="J810" i="16"/>
  <c r="G1752" i="17"/>
  <c r="J818" i="16"/>
  <c r="G1822" i="17"/>
  <c r="J854" i="16"/>
  <c r="I1824" i="17"/>
  <c r="H858" i="16"/>
  <c r="F1854" i="17"/>
  <c r="F870" i="16"/>
  <c r="G1855" i="17"/>
  <c r="J872" i="16"/>
  <c r="F766" i="17"/>
  <c r="F358" i="16"/>
  <c r="I769" i="17"/>
  <c r="H364" i="16"/>
  <c r="I805" i="17"/>
  <c r="H380" i="16"/>
  <c r="I902" i="17"/>
  <c r="H422" i="16"/>
  <c r="G903" i="17"/>
  <c r="J424" i="16"/>
  <c r="I905" i="17"/>
  <c r="H428" i="16"/>
  <c r="J906" i="17"/>
  <c r="I430" i="16"/>
  <c r="I907" i="17"/>
  <c r="H432" i="16"/>
  <c r="J938" i="17"/>
  <c r="I438" i="16"/>
  <c r="M455" i="16"/>
  <c r="G454" i="16"/>
  <c r="J972" i="17"/>
  <c r="I458" i="16"/>
  <c r="I1040" i="17"/>
  <c r="H490" i="16"/>
  <c r="J1040" i="17"/>
  <c r="I490" i="16"/>
  <c r="F1041" i="17"/>
  <c r="F492" i="16"/>
  <c r="I1072" i="17"/>
  <c r="H498" i="16"/>
  <c r="J1072" i="17"/>
  <c r="I498" i="16"/>
  <c r="F1073" i="17"/>
  <c r="F500" i="16"/>
  <c r="G1107" i="17"/>
  <c r="J520" i="16"/>
  <c r="J1108" i="17"/>
  <c r="I522" i="16"/>
  <c r="J1109" i="17"/>
  <c r="I524" i="16"/>
  <c r="G1141" i="17"/>
  <c r="J532" i="16"/>
  <c r="G1145" i="17"/>
  <c r="J540" i="16"/>
  <c r="H1175" i="17"/>
  <c r="K1175" i="17" s="1"/>
  <c r="S553" i="16"/>
  <c r="F1176" i="17"/>
  <c r="F554" i="16"/>
  <c r="G1179" i="17"/>
  <c r="J560" i="16"/>
  <c r="F1208" i="17"/>
  <c r="F562" i="16"/>
  <c r="G1211" i="17"/>
  <c r="J568" i="16"/>
  <c r="F1212" i="17"/>
  <c r="F570" i="16"/>
  <c r="H1242" i="17"/>
  <c r="K1242" i="17" s="1"/>
  <c r="M583" i="16"/>
  <c r="G582" i="16"/>
  <c r="G1245" i="17"/>
  <c r="J588" i="16"/>
  <c r="G598" i="16"/>
  <c r="S599" i="16"/>
  <c r="I1310" i="17"/>
  <c r="L615" i="16"/>
  <c r="F1310" i="17"/>
  <c r="F614" i="16"/>
  <c r="I1347" i="17"/>
  <c r="H632" i="16"/>
  <c r="G1348" i="17"/>
  <c r="J634" i="16"/>
  <c r="J1378" i="17"/>
  <c r="I646" i="16"/>
  <c r="G1379" i="17"/>
  <c r="J648" i="16"/>
  <c r="J1379" i="17"/>
  <c r="I648" i="16"/>
  <c r="I1382" i="17"/>
  <c r="H654" i="16"/>
  <c r="G1383" i="17"/>
  <c r="J656" i="16"/>
  <c r="J1383" i="17"/>
  <c r="I656" i="16"/>
  <c r="I1413" i="17"/>
  <c r="H660" i="16"/>
  <c r="I1417" i="17"/>
  <c r="H668" i="16"/>
  <c r="I1447" i="17"/>
  <c r="H680" i="16"/>
  <c r="J1449" i="17"/>
  <c r="I684" i="16"/>
  <c r="I1450" i="17"/>
  <c r="H686" i="16"/>
  <c r="I1482" i="17"/>
  <c r="H694" i="16"/>
  <c r="I1483" i="17"/>
  <c r="H696" i="16"/>
  <c r="G1515" i="17"/>
  <c r="J712" i="16"/>
  <c r="I402" i="16"/>
  <c r="H392" i="16"/>
  <c r="S503" i="16"/>
  <c r="H972" i="17"/>
  <c r="K972" i="17" s="1"/>
  <c r="L403" i="16"/>
  <c r="G376" i="16"/>
  <c r="G360" i="16"/>
  <c r="G508" i="16"/>
  <c r="M497" i="16"/>
  <c r="M489" i="16"/>
  <c r="F938" i="17"/>
  <c r="F906" i="17"/>
  <c r="I396" i="16"/>
  <c r="S359" i="16"/>
  <c r="H737" i="17"/>
  <c r="K737" i="17" s="1"/>
  <c r="H1076" i="17"/>
  <c r="K1076" i="17" s="1"/>
  <c r="S497" i="16"/>
  <c r="I434" i="16"/>
  <c r="H835" i="17"/>
  <c r="K835" i="17" s="1"/>
  <c r="L391" i="16"/>
  <c r="I376" i="16"/>
  <c r="I360" i="16"/>
  <c r="H770" i="17"/>
  <c r="K770" i="17" s="1"/>
  <c r="H800" i="17"/>
  <c r="K800" i="17" s="1"/>
  <c r="H426" i="16"/>
  <c r="F368" i="16"/>
  <c r="M427" i="16"/>
  <c r="F486" i="16"/>
  <c r="J444" i="16"/>
  <c r="E30" i="15"/>
  <c r="D3" i="15" s="1" a="1"/>
  <c r="D3" i="15" s="1"/>
  <c r="D12" i="15" s="1"/>
  <c r="P33" i="11"/>
  <c r="M7" i="16"/>
  <c r="H18" i="17"/>
  <c r="K18" i="17" s="1"/>
  <c r="J19" i="17"/>
  <c r="I8" i="16"/>
  <c r="J22" i="17"/>
  <c r="I14" i="16"/>
  <c r="G56" i="17"/>
  <c r="J26" i="16"/>
  <c r="J89" i="17"/>
  <c r="I44" i="16"/>
  <c r="S47" i="16"/>
  <c r="M47" i="16"/>
  <c r="I155" i="17"/>
  <c r="H72" i="16"/>
  <c r="F157" i="17"/>
  <c r="F76" i="16"/>
  <c r="G159" i="17"/>
  <c r="J80" i="16"/>
  <c r="F188" i="17"/>
  <c r="F82" i="16"/>
  <c r="M83" i="16"/>
  <c r="G189" i="17"/>
  <c r="J84" i="16"/>
  <c r="F190" i="17"/>
  <c r="F86" i="16"/>
  <c r="J192" i="17"/>
  <c r="I90" i="16"/>
  <c r="I223" i="17"/>
  <c r="H104" i="16"/>
  <c r="F224" i="17"/>
  <c r="F106" i="16"/>
  <c r="G110" i="16"/>
  <c r="H226" i="17"/>
  <c r="K226" i="17" s="1"/>
  <c r="S111" i="16"/>
  <c r="I227" i="17"/>
  <c r="H112" i="16"/>
  <c r="I256" i="17"/>
  <c r="H114" i="16"/>
  <c r="G118" i="16"/>
  <c r="S119" i="16"/>
  <c r="F260" i="17"/>
  <c r="F122" i="16"/>
  <c r="G261" i="17"/>
  <c r="J124" i="16"/>
  <c r="G291" i="17"/>
  <c r="J136" i="16"/>
  <c r="G136" i="16"/>
  <c r="M137" i="16"/>
  <c r="G293" i="17"/>
  <c r="J140" i="16"/>
  <c r="G140" i="16"/>
  <c r="H293" i="17"/>
  <c r="K293" i="17" s="1"/>
  <c r="I294" i="17"/>
  <c r="H142" i="16"/>
  <c r="G295" i="17"/>
  <c r="J144" i="16"/>
  <c r="G144" i="16"/>
  <c r="M145" i="16"/>
  <c r="G325" i="17"/>
  <c r="J148" i="16"/>
  <c r="G148" i="16"/>
  <c r="H325" i="17"/>
  <c r="K325" i="17" s="1"/>
  <c r="I326" i="17"/>
  <c r="H150" i="16"/>
  <c r="G327" i="17"/>
  <c r="J152" i="16"/>
  <c r="I359" i="17"/>
  <c r="H168" i="16"/>
  <c r="I360" i="17"/>
  <c r="H170" i="16"/>
  <c r="I361" i="17"/>
  <c r="H172" i="16"/>
  <c r="I362" i="17"/>
  <c r="H174" i="16"/>
  <c r="I392" i="17"/>
  <c r="H178" i="16"/>
  <c r="I393" i="17"/>
  <c r="H180" i="16"/>
  <c r="I394" i="17"/>
  <c r="H182" i="16"/>
  <c r="I395" i="17"/>
  <c r="H184" i="16"/>
  <c r="I396" i="17"/>
  <c r="H186" i="16"/>
  <c r="F428" i="17"/>
  <c r="F202" i="16"/>
  <c r="G465" i="17"/>
  <c r="J220" i="16"/>
  <c r="H496" i="17"/>
  <c r="K496" i="17" s="1"/>
  <c r="G234" i="16"/>
  <c r="S235" i="16"/>
  <c r="F496" i="17"/>
  <c r="F234" i="16"/>
  <c r="I497" i="17"/>
  <c r="H236" i="16"/>
  <c r="I498" i="17"/>
  <c r="H238" i="16"/>
  <c r="H499" i="17"/>
  <c r="K499" i="17" s="1"/>
  <c r="S241" i="16"/>
  <c r="I529" i="17"/>
  <c r="H244" i="16"/>
  <c r="I530" i="17"/>
  <c r="H246" i="16"/>
  <c r="F530" i="17"/>
  <c r="F246" i="16"/>
  <c r="G248" i="16"/>
  <c r="H531" i="17"/>
  <c r="K531" i="17" s="1"/>
  <c r="H532" i="17"/>
  <c r="K532" i="17" s="1"/>
  <c r="G250" i="16"/>
  <c r="S251" i="16"/>
  <c r="F532" i="17"/>
  <c r="F250" i="16"/>
  <c r="I562" i="17"/>
  <c r="H262" i="16"/>
  <c r="H563" i="17"/>
  <c r="K563" i="17" s="1"/>
  <c r="G264" i="16"/>
  <c r="H564" i="17"/>
  <c r="K564" i="17" s="1"/>
  <c r="G266" i="16"/>
  <c r="H566" i="17"/>
  <c r="K566" i="17" s="1"/>
  <c r="G270" i="16"/>
  <c r="H567" i="17"/>
  <c r="K567" i="17" s="1"/>
  <c r="G272" i="16"/>
  <c r="G276" i="16"/>
  <c r="H597" i="17"/>
  <c r="K597" i="17" s="1"/>
  <c r="H600" i="17"/>
  <c r="K600" i="17" s="1"/>
  <c r="G282" i="16"/>
  <c r="H630" i="17"/>
  <c r="K630" i="17" s="1"/>
  <c r="G294" i="16"/>
  <c r="J630" i="17"/>
  <c r="I294" i="16"/>
  <c r="I631" i="17"/>
  <c r="H296" i="16"/>
  <c r="I633" i="17"/>
  <c r="H300" i="16"/>
  <c r="I635" i="17"/>
  <c r="H304" i="16"/>
  <c r="I665" i="17"/>
  <c r="H308" i="16"/>
  <c r="L523" i="16"/>
  <c r="L439" i="16"/>
  <c r="L431" i="16"/>
  <c r="H522" i="16"/>
  <c r="L381" i="16"/>
  <c r="L373" i="16"/>
  <c r="L365" i="16"/>
  <c r="L459" i="16"/>
  <c r="H939" i="17"/>
  <c r="K939" i="17" s="1"/>
  <c r="F402" i="16"/>
  <c r="S377" i="16"/>
  <c r="S361" i="16"/>
  <c r="G358" i="16"/>
  <c r="H458" i="16"/>
  <c r="M403" i="16"/>
  <c r="I372" i="16"/>
  <c r="M487" i="16"/>
  <c r="S455" i="16"/>
  <c r="J837" i="17"/>
  <c r="G346" i="16"/>
  <c r="J410" i="16"/>
  <c r="M401" i="16"/>
  <c r="S393" i="16"/>
  <c r="J366" i="16"/>
  <c r="J346" i="16"/>
  <c r="L935" i="16"/>
  <c r="J888" i="16"/>
  <c r="J882" i="16"/>
  <c r="F914" i="16"/>
  <c r="I892" i="16"/>
  <c r="J912" i="16"/>
  <c r="F946" i="16"/>
  <c r="H968" i="16"/>
  <c r="H910" i="16"/>
  <c r="I1990" i="17"/>
  <c r="F876" i="16"/>
  <c r="H940" i="16"/>
  <c r="H880" i="16"/>
  <c r="F906" i="16"/>
  <c r="J904" i="16"/>
  <c r="F880" i="16"/>
  <c r="F902" i="16"/>
  <c r="H976" i="16"/>
  <c r="H980" i="16"/>
  <c r="H986" i="16"/>
  <c r="M443" i="16"/>
  <c r="R34" i="11"/>
  <c r="R37" i="11" s="1"/>
  <c r="H34" i="11"/>
  <c r="H35" i="11" s="1"/>
  <c r="M93" i="16"/>
  <c r="D4" i="11"/>
  <c r="D3" i="11"/>
  <c r="I193" i="17"/>
  <c r="L93" i="16"/>
  <c r="H92" i="16"/>
  <c r="H84" i="16"/>
  <c r="J24" i="16"/>
  <c r="F80" i="16"/>
  <c r="G120" i="16"/>
  <c r="J6" i="16"/>
  <c r="F18" i="16"/>
  <c r="H78" i="16"/>
  <c r="H148" i="16"/>
  <c r="F10" i="16"/>
  <c r="F262" i="16"/>
  <c r="F210" i="16"/>
  <c r="H88" i="16"/>
  <c r="I208" i="16"/>
  <c r="F206" i="16"/>
  <c r="F214" i="16"/>
  <c r="F328" i="16"/>
  <c r="F200" i="16"/>
  <c r="I58" i="16"/>
  <c r="J154" i="16"/>
  <c r="J138" i="16"/>
  <c r="M23" i="16"/>
  <c r="M21" i="16"/>
  <c r="M19" i="16"/>
  <c r="M17" i="16"/>
  <c r="M15" i="16"/>
  <c r="M13" i="16"/>
  <c r="M11" i="16"/>
  <c r="O33" i="11"/>
  <c r="J166" i="16"/>
  <c r="I42" i="16"/>
  <c r="G497" i="17"/>
  <c r="G495" i="17"/>
  <c r="F124" i="16"/>
  <c r="H144" i="16"/>
  <c r="I344" i="16"/>
  <c r="H8" i="16"/>
  <c r="F372" i="16"/>
  <c r="H146" i="16"/>
  <c r="H344" i="16"/>
  <c r="J186" i="16"/>
  <c r="J212" i="16"/>
  <c r="J182" i="16"/>
  <c r="H140" i="16"/>
  <c r="H156" i="16"/>
  <c r="F90" i="16"/>
  <c r="F22" i="16"/>
  <c r="H202" i="16"/>
  <c r="J188" i="16"/>
  <c r="J90" i="16"/>
  <c r="F104" i="16"/>
  <c r="F116" i="16"/>
  <c r="F330" i="16"/>
  <c r="F114" i="16"/>
  <c r="H302" i="16"/>
  <c r="F342" i="16"/>
  <c r="I204" i="16"/>
  <c r="H138" i="16"/>
  <c r="J146" i="16"/>
  <c r="M141" i="16"/>
  <c r="U33" i="11"/>
  <c r="G34" i="11"/>
  <c r="M391" i="16"/>
  <c r="M501" i="16"/>
  <c r="W33" i="11"/>
  <c r="AB33" i="11"/>
  <c r="AF33" i="11"/>
  <c r="I157" i="17"/>
  <c r="H76" i="16"/>
  <c r="G190" i="17"/>
  <c r="J86" i="16"/>
  <c r="G193" i="17"/>
  <c r="J92" i="16"/>
  <c r="J193" i="17"/>
  <c r="I92" i="16"/>
  <c r="J360" i="17"/>
  <c r="I170" i="16"/>
  <c r="J362" i="17"/>
  <c r="I174" i="16"/>
  <c r="E34" i="11"/>
  <c r="E35" i="11" s="1" a="1"/>
  <c r="E35" i="11" s="1"/>
  <c r="C52" i="15"/>
  <c r="N24" i="11"/>
  <c r="B52" i="15" s="1"/>
  <c r="J120" i="17"/>
  <c r="I50" i="16"/>
  <c r="I123" i="17"/>
  <c r="H56" i="16"/>
  <c r="I125" i="17"/>
  <c r="H60" i="16"/>
  <c r="F154" i="17"/>
  <c r="F70" i="16"/>
  <c r="G108" i="16"/>
  <c r="H225" i="17"/>
  <c r="K225" i="17" s="1"/>
  <c r="F227" i="17"/>
  <c r="F112" i="16"/>
  <c r="I257" i="17"/>
  <c r="H116" i="16"/>
  <c r="I258" i="17"/>
  <c r="H118" i="16"/>
  <c r="F258" i="17"/>
  <c r="F118" i="16"/>
  <c r="G259" i="17"/>
  <c r="J120" i="16"/>
  <c r="H260" i="17"/>
  <c r="K260" i="17" s="1"/>
  <c r="G122" i="16"/>
  <c r="G290" i="17"/>
  <c r="J134" i="16"/>
  <c r="G359" i="17"/>
  <c r="J168" i="16"/>
  <c r="C36" i="15"/>
  <c r="N8" i="11"/>
  <c r="Q33" i="11"/>
  <c r="C37" i="15"/>
  <c r="N9" i="11"/>
  <c r="B37" i="15" s="1"/>
  <c r="C60" i="15"/>
  <c r="N32" i="11"/>
  <c r="B60" i="15" s="1"/>
  <c r="F18" i="17"/>
  <c r="F6" i="16"/>
  <c r="G19" i="17"/>
  <c r="J8" i="16"/>
  <c r="J20" i="17"/>
  <c r="I10" i="16"/>
  <c r="J21" i="17"/>
  <c r="I12" i="16"/>
  <c r="J23" i="17"/>
  <c r="I16" i="16"/>
  <c r="J52" i="17"/>
  <c r="I18" i="16"/>
  <c r="J53" i="17"/>
  <c r="I20" i="16"/>
  <c r="J54" i="17"/>
  <c r="I22" i="16"/>
  <c r="I89" i="17"/>
  <c r="H44" i="16"/>
  <c r="J394" i="17"/>
  <c r="I182" i="16"/>
  <c r="J395" i="17"/>
  <c r="I184" i="16"/>
  <c r="V33" i="11"/>
  <c r="G393" i="17"/>
  <c r="J180" i="16"/>
  <c r="G280" i="16"/>
  <c r="H270" i="16"/>
  <c r="S373" i="16"/>
  <c r="H370" i="16"/>
  <c r="G278" i="16"/>
  <c r="I462" i="16"/>
  <c r="J490" i="16"/>
  <c r="J440" i="16"/>
  <c r="H564" i="16"/>
  <c r="F572" i="16"/>
  <c r="H268" i="16"/>
  <c r="F364" i="16"/>
  <c r="F488" i="16"/>
  <c r="I298" i="16"/>
  <c r="J436" i="16"/>
  <c r="H616" i="16"/>
  <c r="I340" i="16"/>
  <c r="J598" i="16"/>
  <c r="I526" i="16"/>
  <c r="J296" i="16"/>
  <c r="H550" i="16"/>
  <c r="J562" i="16"/>
  <c r="G244" i="16"/>
  <c r="G390" i="16"/>
  <c r="H366" i="16"/>
  <c r="G274" i="16"/>
  <c r="H326" i="16"/>
  <c r="M493" i="16"/>
  <c r="F400" i="16"/>
  <c r="S243" i="16"/>
  <c r="M435" i="16"/>
  <c r="H284" i="16"/>
  <c r="I332" i="16"/>
  <c r="I202" i="16"/>
  <c r="F336" i="16"/>
  <c r="H206" i="16"/>
  <c r="F218" i="16"/>
  <c r="J426" i="16"/>
  <c r="H188" i="16"/>
  <c r="H316" i="16"/>
  <c r="F560" i="16"/>
  <c r="G242" i="16"/>
  <c r="F338" i="16"/>
  <c r="J204" i="16"/>
  <c r="H556" i="16"/>
  <c r="J500" i="16"/>
  <c r="J332" i="16"/>
  <c r="J300" i="16"/>
  <c r="J344" i="16"/>
  <c r="H360" i="16"/>
  <c r="J496" i="16"/>
  <c r="H264" i="16"/>
  <c r="J208" i="16"/>
  <c r="F240" i="16"/>
  <c r="F334" i="16"/>
  <c r="H342" i="16"/>
  <c r="H340" i="16"/>
  <c r="F204" i="16"/>
  <c r="J298" i="16"/>
  <c r="H220" i="16"/>
  <c r="I296" i="16"/>
  <c r="H240" i="16"/>
  <c r="J358" i="16"/>
  <c r="J216" i="16"/>
  <c r="I538" i="16"/>
  <c r="M12" i="15"/>
  <c r="O16" i="15"/>
  <c r="J17" i="15" s="1"/>
  <c r="O17" i="15" s="1"/>
  <c r="J18" i="15" s="1"/>
  <c r="O18" i="15" s="1"/>
  <c r="J19" i="15" s="1"/>
  <c r="O19" i="15" s="1"/>
  <c r="J20" i="15" s="1"/>
  <c r="O20" i="15" s="1"/>
  <c r="J21" i="15" s="1"/>
  <c r="O21" i="15" s="1"/>
  <c r="J22" i="15" s="1"/>
  <c r="O22" i="15" s="1"/>
  <c r="J23" i="15" s="1"/>
  <c r="O23" i="15" s="1"/>
  <c r="J24" i="15" s="1"/>
  <c r="Q5" i="15" s="1"/>
  <c r="M468" i="6"/>
  <c r="M820" i="6"/>
  <c r="M18" i="6"/>
  <c r="E27" i="6" s="1"/>
  <c r="M308" i="6"/>
  <c r="M436" i="6"/>
  <c r="M244" i="6"/>
  <c r="M980" i="6"/>
  <c r="M692" i="6"/>
  <c r="M340" i="6"/>
  <c r="M500" i="6"/>
  <c r="M180" i="6"/>
  <c r="M660" i="6"/>
  <c r="M596" i="6"/>
  <c r="M852" i="6"/>
  <c r="M84" i="6"/>
  <c r="M20" i="6"/>
  <c r="E31" i="6" s="1"/>
  <c r="M404" i="6"/>
  <c r="M532" i="6"/>
  <c r="M916" i="6"/>
  <c r="M756" i="6"/>
  <c r="M52" i="6"/>
  <c r="M276" i="6"/>
  <c r="M116" i="6"/>
  <c r="D1" i="5"/>
  <c r="S10" i="5" s="1"/>
  <c r="M564" i="6"/>
  <c r="M724" i="6"/>
  <c r="M148" i="6"/>
  <c r="M788" i="6"/>
  <c r="M884" i="6"/>
  <c r="M372" i="6"/>
  <c r="M628" i="6"/>
  <c r="M212" i="6"/>
  <c r="M948" i="6"/>
  <c r="O4" i="8"/>
  <c r="B9" i="8" s="1"/>
  <c r="D9" i="8" s="1"/>
  <c r="N10" i="8"/>
  <c r="B27" i="8" s="1"/>
  <c r="D27" i="8" s="1"/>
  <c r="K4" i="8"/>
  <c r="B29" i="8" s="1"/>
  <c r="D29" i="8" s="1"/>
  <c r="O948" i="6"/>
  <c r="O724" i="6"/>
  <c r="O212" i="6"/>
  <c r="O596" i="6"/>
  <c r="O468" i="6"/>
  <c r="O308" i="6"/>
  <c r="O84" i="6"/>
  <c r="O18" i="6"/>
  <c r="B27" i="6" s="1"/>
  <c r="O692" i="6"/>
  <c r="O852" i="6"/>
  <c r="O660" i="6"/>
  <c r="O148" i="6"/>
  <c r="O564" i="6"/>
  <c r="O436" i="6"/>
  <c r="O276" i="6"/>
  <c r="F1" i="5"/>
  <c r="S12" i="5" s="1"/>
  <c r="O20" i="6"/>
  <c r="B31" i="6" s="1"/>
  <c r="O820" i="6"/>
  <c r="O628" i="6"/>
  <c r="O916" i="6"/>
  <c r="O532" i="6"/>
  <c r="O372" i="6"/>
  <c r="O244" i="6"/>
  <c r="O52" i="6"/>
  <c r="O340" i="6"/>
  <c r="O788" i="6"/>
  <c r="O404" i="6"/>
  <c r="O756" i="6"/>
  <c r="O500" i="6"/>
  <c r="O980" i="6"/>
  <c r="O180" i="6"/>
  <c r="O116" i="6"/>
  <c r="O884" i="6"/>
  <c r="L10" i="8"/>
  <c r="B22" i="8" s="1"/>
  <c r="D22" i="8" s="1"/>
  <c r="Q10" i="8"/>
  <c r="B7" i="8" s="1"/>
  <c r="D7" i="8" s="1"/>
  <c r="M10" i="8"/>
  <c r="B24" i="8" s="1"/>
  <c r="D24" i="8" s="1"/>
  <c r="M4" i="8"/>
  <c r="B28" i="8" s="1"/>
  <c r="D28" i="8" s="1"/>
  <c r="K10" i="8"/>
  <c r="B21" i="8" s="1"/>
  <c r="D21" i="8" s="1"/>
  <c r="L4" i="8"/>
  <c r="B30" i="8" s="1"/>
  <c r="D30" i="8" s="1"/>
  <c r="O10" i="8"/>
  <c r="B8" i="8" s="1"/>
  <c r="D8" i="8" s="1"/>
  <c r="N4" i="8"/>
  <c r="Q4" i="8"/>
  <c r="B11" i="8" s="1"/>
  <c r="D11" i="8" s="1"/>
  <c r="P4" i="8"/>
  <c r="B10" i="8" s="1"/>
  <c r="D10" i="8" s="1"/>
  <c r="P10" i="8"/>
  <c r="B6" i="8" s="1"/>
  <c r="D6" i="8" s="1"/>
  <c r="R4" i="8"/>
  <c r="I1" i="5"/>
  <c r="R10" i="8"/>
  <c r="B5" i="8" s="1"/>
  <c r="D5" i="8" s="1"/>
  <c r="P724" i="6"/>
  <c r="P788" i="6"/>
  <c r="P404" i="6"/>
  <c r="P468" i="6"/>
  <c r="P148" i="6"/>
  <c r="P372" i="6"/>
  <c r="P596" i="6"/>
  <c r="P980" i="6"/>
  <c r="P18" i="6"/>
  <c r="F27" i="6" s="1"/>
  <c r="P948" i="6"/>
  <c r="P756" i="6"/>
  <c r="P340" i="6"/>
  <c r="H1" i="5"/>
  <c r="S13" i="5" s="1"/>
  <c r="P308" i="6"/>
  <c r="P820" i="6"/>
  <c r="P84" i="6"/>
  <c r="P532" i="6"/>
  <c r="P180" i="6"/>
  <c r="P692" i="6"/>
  <c r="P660" i="6"/>
  <c r="P212" i="6"/>
  <c r="P276" i="6"/>
  <c r="P52" i="6"/>
  <c r="P628" i="6"/>
  <c r="P20" i="6"/>
  <c r="F31" i="6" s="1"/>
  <c r="P884" i="6"/>
  <c r="P852" i="6"/>
  <c r="P436" i="6"/>
  <c r="P116" i="6"/>
  <c r="P564" i="6"/>
  <c r="P244" i="6"/>
  <c r="P916" i="6"/>
  <c r="P500" i="6"/>
  <c r="M82" i="6"/>
  <c r="K50" i="6"/>
  <c r="K4" i="5"/>
  <c r="L50" i="6"/>
  <c r="M114" i="6"/>
  <c r="M50" i="6"/>
  <c r="O114" i="6"/>
  <c r="O82" i="6"/>
  <c r="N50" i="6"/>
  <c r="P50" i="6"/>
  <c r="P82" i="6"/>
  <c r="O50" i="6"/>
  <c r="P114" i="6"/>
  <c r="G3" i="5"/>
  <c r="E3" i="5"/>
  <c r="N28" i="12" l="1"/>
  <c r="O30" i="12" s="1"/>
  <c r="G5" i="7"/>
  <c r="K13" i="12"/>
  <c r="L13" i="12" s="1"/>
  <c r="K15" i="12"/>
  <c r="L15" i="12" s="1"/>
  <c r="C24" i="12"/>
  <c r="X1012" i="8"/>
  <c r="N4" i="12"/>
  <c r="M4" i="12" s="1"/>
  <c r="X290" i="8"/>
  <c r="X130" i="8"/>
  <c r="X932" i="8"/>
  <c r="X1172" i="8"/>
  <c r="X212" i="8"/>
  <c r="X210" i="8"/>
  <c r="X1212" i="8"/>
  <c r="X572" i="8"/>
  <c r="X892" i="8"/>
  <c r="X1092" i="8"/>
  <c r="X692" i="8"/>
  <c r="X490" i="8"/>
  <c r="X1050" i="8"/>
  <c r="X730" i="8"/>
  <c r="X250" i="8"/>
  <c r="X410" i="8"/>
  <c r="X1010" i="8"/>
  <c r="X650" i="8"/>
  <c r="X170" i="8"/>
  <c r="X850" i="8"/>
  <c r="X610" i="8"/>
  <c r="X770" i="8"/>
  <c r="X810" i="8"/>
  <c r="X52" i="8"/>
  <c r="X412" i="8"/>
  <c r="X492" i="8"/>
  <c r="X132" i="8"/>
  <c r="R30" i="1"/>
  <c r="AF11" i="16"/>
  <c r="AM17" i="3"/>
  <c r="AD23" i="16"/>
  <c r="E23" i="16" s="1"/>
  <c r="AB6" i="3"/>
  <c r="U6" i="4" s="1"/>
  <c r="U18" i="3"/>
  <c r="T4" i="4"/>
  <c r="AB9" i="3"/>
  <c r="AB18" i="3" s="1"/>
  <c r="AD21" i="16"/>
  <c r="N52" i="6"/>
  <c r="N20" i="6"/>
  <c r="N18" i="6"/>
  <c r="AD25" i="16"/>
  <c r="AE25" i="16" s="1"/>
  <c r="E55" i="17" s="1"/>
  <c r="O31" i="1"/>
  <c r="S31" i="1" s="1"/>
  <c r="R31" i="1"/>
  <c r="I18" i="6"/>
  <c r="AA15" i="6" s="1"/>
  <c r="AA18" i="6" s="1"/>
  <c r="U4" i="4"/>
  <c r="AD7" i="16"/>
  <c r="U7" i="4"/>
  <c r="AD13" i="16"/>
  <c r="S18" i="4"/>
  <c r="AE9" i="16"/>
  <c r="E19" i="17" s="1"/>
  <c r="E9" i="16"/>
  <c r="E33" i="1"/>
  <c r="U14" i="4"/>
  <c r="AD27" i="16"/>
  <c r="E21" i="16"/>
  <c r="AE21" i="16"/>
  <c r="E53" i="17" s="1"/>
  <c r="C33" i="1"/>
  <c r="T18" i="4"/>
  <c r="AE23" i="16"/>
  <c r="E54" i="17" s="1"/>
  <c r="N101" i="8"/>
  <c r="N5" i="12"/>
  <c r="M5" i="12" s="1"/>
  <c r="X1130" i="8"/>
  <c r="X570" i="8"/>
  <c r="X50" i="8"/>
  <c r="X530" i="8"/>
  <c r="X970" i="8"/>
  <c r="X930" i="8"/>
  <c r="X890" i="8"/>
  <c r="X372" i="8"/>
  <c r="X532" i="8"/>
  <c r="X172" i="8"/>
  <c r="X292" i="8"/>
  <c r="X452" i="8"/>
  <c r="X92" i="8"/>
  <c r="X852" i="8"/>
  <c r="X1052" i="8"/>
  <c r="X330" i="8"/>
  <c r="X10" i="8"/>
  <c r="X370" i="8"/>
  <c r="X1210" i="8"/>
  <c r="X1090" i="8"/>
  <c r="X1170" i="8"/>
  <c r="X450" i="8"/>
  <c r="X812" i="8"/>
  <c r="X1132" i="8"/>
  <c r="X12" i="8"/>
  <c r="X332" i="8"/>
  <c r="X972" i="8"/>
  <c r="X732" i="8"/>
  <c r="X252" i="8"/>
  <c r="X612" i="8"/>
  <c r="X652" i="8"/>
  <c r="N73" i="8"/>
  <c r="F29" i="8"/>
  <c r="N32" i="8"/>
  <c r="M27" i="1"/>
  <c r="M26" i="1"/>
  <c r="N31" i="8"/>
  <c r="N33" i="8"/>
  <c r="M28" i="1"/>
  <c r="M33" i="1"/>
  <c r="L25" i="1"/>
  <c r="N25" i="1" s="1"/>
  <c r="Q25" i="1"/>
  <c r="L72" i="6"/>
  <c r="L46" i="6"/>
  <c r="AL53" i="3"/>
  <c r="L80" i="6"/>
  <c r="AM35" i="3"/>
  <c r="H9" i="7"/>
  <c r="G9" i="7"/>
  <c r="J10" i="7"/>
  <c r="J13" i="7" s="1"/>
  <c r="AF121" i="16"/>
  <c r="AF117" i="16"/>
  <c r="AF113" i="16"/>
  <c r="AF109" i="16"/>
  <c r="AF103" i="16"/>
  <c r="G3" i="15"/>
  <c r="B4" i="15" s="1"/>
  <c r="G4" i="15" s="1"/>
  <c r="B5" i="15" s="1"/>
  <c r="G5" i="15" s="1"/>
  <c r="B6" i="15" s="1"/>
  <c r="G6" i="15" s="1"/>
  <c r="B7" i="15" s="1"/>
  <c r="G7" i="15" s="1"/>
  <c r="B8" i="15" s="1"/>
  <c r="G8" i="15" s="1"/>
  <c r="B9" i="15" s="1"/>
  <c r="G9" i="15" s="1"/>
  <c r="B10" i="15" s="1"/>
  <c r="G10" i="15" s="1"/>
  <c r="B11" i="15" s="1"/>
  <c r="Q2" i="15" s="1"/>
  <c r="G16" i="15"/>
  <c r="B17" i="15" s="1"/>
  <c r="G17" i="15" s="1"/>
  <c r="B18" i="15" s="1"/>
  <c r="G18" i="15" s="1"/>
  <c r="B19" i="15" s="1"/>
  <c r="G19" i="15" s="1"/>
  <c r="B20" i="15" s="1"/>
  <c r="G20" i="15" s="1"/>
  <c r="B21" i="15" s="1"/>
  <c r="G21" i="15" s="1"/>
  <c r="B22" i="15" s="1"/>
  <c r="G22" i="15" s="1"/>
  <c r="B23" i="15" s="1"/>
  <c r="G23" i="15" s="1"/>
  <c r="B24" i="15" s="1"/>
  <c r="Q4" i="15" s="1"/>
  <c r="D11" i="7"/>
  <c r="O3" i="15"/>
  <c r="J4" i="15" s="1"/>
  <c r="O4" i="15" s="1"/>
  <c r="J5" i="15" s="1"/>
  <c r="O5" i="15" s="1"/>
  <c r="J6" i="15" s="1"/>
  <c r="O6" i="15" s="1"/>
  <c r="J7" i="15" s="1"/>
  <c r="O7" i="15" s="1"/>
  <c r="J8" i="15" s="1"/>
  <c r="O8" i="15" s="1"/>
  <c r="J9" i="15" s="1"/>
  <c r="O9" i="15" s="1"/>
  <c r="J10" i="15" s="1"/>
  <c r="O10" i="15" s="1"/>
  <c r="J11" i="15" s="1"/>
  <c r="Q3" i="15" s="1"/>
  <c r="K10" i="12"/>
  <c r="L10" i="12" s="1"/>
  <c r="K7" i="12"/>
  <c r="L7" i="12" s="1"/>
  <c r="K4" i="12"/>
  <c r="K11" i="12"/>
  <c r="L11" i="12" s="1"/>
  <c r="K5" i="12"/>
  <c r="L5" i="12" s="1"/>
  <c r="K16" i="12"/>
  <c r="L16" i="12" s="1"/>
  <c r="K14" i="12"/>
  <c r="L14" i="12" s="1"/>
  <c r="K9" i="12"/>
  <c r="L9" i="12" s="1"/>
  <c r="K6" i="12"/>
  <c r="L6" i="12" s="1"/>
  <c r="I4" i="12"/>
  <c r="F17" i="12"/>
  <c r="K8" i="12"/>
  <c r="L8" i="12" s="1"/>
  <c r="K36" i="12"/>
  <c r="J36" i="12"/>
  <c r="P36" i="11"/>
  <c r="P35" i="11"/>
  <c r="O35" i="11"/>
  <c r="O36" i="11"/>
  <c r="F36" i="11"/>
  <c r="G35" i="11"/>
  <c r="V36" i="11"/>
  <c r="V37" i="11"/>
  <c r="Q36" i="11"/>
  <c r="Q35" i="11"/>
  <c r="B36" i="15"/>
  <c r="N33" i="11"/>
  <c r="N34" i="11" s="1"/>
  <c r="W36" i="11"/>
  <c r="W37" i="11"/>
  <c r="D13" i="8"/>
  <c r="G1" i="5"/>
  <c r="D31" i="8"/>
  <c r="AF93" i="16"/>
  <c r="B3" i="5"/>
  <c r="C3" i="5"/>
  <c r="M23" i="12" l="1"/>
  <c r="E21" i="12"/>
  <c r="U25" i="12"/>
  <c r="E22" i="12"/>
  <c r="G22" i="12" s="1"/>
  <c r="T22" i="12"/>
  <c r="N21" i="12"/>
  <c r="S22" i="12"/>
  <c r="U22" i="12" s="1"/>
  <c r="L52" i="6"/>
  <c r="L20" i="6"/>
  <c r="D31" i="6" s="1"/>
  <c r="D32" i="6" s="1"/>
  <c r="K3" i="5"/>
  <c r="L18" i="6"/>
  <c r="D27" i="6" s="1"/>
  <c r="D28" i="6" s="1"/>
  <c r="U9" i="4"/>
  <c r="AD17" i="16"/>
  <c r="AD11" i="16"/>
  <c r="E25" i="16"/>
  <c r="AE7" i="16"/>
  <c r="E18" i="17" s="1"/>
  <c r="E7" i="16"/>
  <c r="K20" i="6"/>
  <c r="C31" i="6" s="1"/>
  <c r="G31" i="6" s="1"/>
  <c r="K52" i="6"/>
  <c r="K18" i="6"/>
  <c r="C27" i="6" s="1"/>
  <c r="AE13" i="16"/>
  <c r="E21" i="17" s="1"/>
  <c r="E27" i="17" s="1"/>
  <c r="E13" i="16"/>
  <c r="E27" i="16"/>
  <c r="AE27" i="16"/>
  <c r="E56" i="17" s="1"/>
  <c r="E61" i="17" s="1"/>
  <c r="U18" i="4"/>
  <c r="Q26" i="1"/>
  <c r="L26" i="1"/>
  <c r="N26" i="1" s="1"/>
  <c r="O25" i="1"/>
  <c r="L28" i="1"/>
  <c r="N28" i="1" s="1"/>
  <c r="Q28" i="1"/>
  <c r="L27" i="1"/>
  <c r="N27" i="1" s="1"/>
  <c r="Q27" i="1"/>
  <c r="L9" i="6"/>
  <c r="H12" i="6" s="1"/>
  <c r="P25" i="1"/>
  <c r="V25" i="1" s="1"/>
  <c r="U87" i="6"/>
  <c r="T87" i="6" s="1"/>
  <c r="L78" i="6"/>
  <c r="U89" i="6" s="1"/>
  <c r="T89" i="6" s="1"/>
  <c r="L70" i="6"/>
  <c r="L112" i="6"/>
  <c r="L104" i="6"/>
  <c r="N114" i="6"/>
  <c r="Q14" i="15"/>
  <c r="Q11" i="15"/>
  <c r="AD121" i="16"/>
  <c r="AD119" i="16"/>
  <c r="AD117" i="16"/>
  <c r="AD115" i="16"/>
  <c r="AD113" i="16"/>
  <c r="AD111" i="16"/>
  <c r="AD109" i="16"/>
  <c r="AD107" i="16"/>
  <c r="AD105" i="16"/>
  <c r="AD103" i="16"/>
  <c r="L114" i="6"/>
  <c r="K6" i="5"/>
  <c r="J11" i="7"/>
  <c r="D9" i="7"/>
  <c r="J9" i="7" s="1"/>
  <c r="D7" i="7"/>
  <c r="L4" i="12"/>
  <c r="L17" i="12" s="1"/>
  <c r="K17" i="12"/>
  <c r="O4" i="12"/>
  <c r="I17" i="12"/>
  <c r="B3" i="8"/>
  <c r="N35" i="11"/>
  <c r="N36" i="11"/>
  <c r="N532" i="6"/>
  <c r="N276" i="6"/>
  <c r="N852" i="6"/>
  <c r="N884" i="6"/>
  <c r="N564" i="6"/>
  <c r="N84" i="6"/>
  <c r="N404" i="6"/>
  <c r="N372" i="6"/>
  <c r="N500" i="6"/>
  <c r="N244" i="6"/>
  <c r="N820" i="6"/>
  <c r="N660" i="6"/>
  <c r="N468" i="6"/>
  <c r="N340" i="6"/>
  <c r="E1" i="5"/>
  <c r="S11" i="5" s="1"/>
  <c r="N916" i="6"/>
  <c r="N436" i="6"/>
  <c r="N116" i="6"/>
  <c r="N788" i="6"/>
  <c r="N628" i="6"/>
  <c r="N180" i="6"/>
  <c r="N212" i="6"/>
  <c r="N596" i="6"/>
  <c r="N308" i="6"/>
  <c r="N980" i="6"/>
  <c r="N692" i="6"/>
  <c r="N948" i="6"/>
  <c r="N148" i="6"/>
  <c r="N724" i="6"/>
  <c r="N756" i="6"/>
  <c r="N82" i="6"/>
  <c r="K5" i="5"/>
  <c r="L82" i="6"/>
  <c r="L180" i="6"/>
  <c r="L116" i="6"/>
  <c r="L148" i="6"/>
  <c r="L84" i="6"/>
  <c r="L660" i="6"/>
  <c r="L532" i="6"/>
  <c r="L852" i="6"/>
  <c r="L724" i="6"/>
  <c r="L340" i="6"/>
  <c r="L244" i="6"/>
  <c r="L308" i="6"/>
  <c r="L628" i="6"/>
  <c r="L500" i="6"/>
  <c r="L820" i="6"/>
  <c r="L884" i="6"/>
  <c r="L212" i="6"/>
  <c r="L276" i="6"/>
  <c r="L980" i="6"/>
  <c r="C1" i="5"/>
  <c r="L596" i="6"/>
  <c r="L468" i="6"/>
  <c r="L788" i="6"/>
  <c r="L692" i="6"/>
  <c r="L948" i="6"/>
  <c r="L756" i="6"/>
  <c r="L564" i="6"/>
  <c r="L916" i="6"/>
  <c r="L404" i="6"/>
  <c r="L372" i="6"/>
  <c r="L436" i="6"/>
  <c r="AD93" i="16"/>
  <c r="E23" i="12" l="1"/>
  <c r="G21" i="12"/>
  <c r="G23" i="12" s="1"/>
  <c r="AE11" i="16"/>
  <c r="E20" i="17" s="1"/>
  <c r="E11" i="16"/>
  <c r="E32" i="16" s="1"/>
  <c r="E17" i="16"/>
  <c r="AE17" i="16"/>
  <c r="E23" i="17" s="1"/>
  <c r="G27" i="6"/>
  <c r="Q33" i="1"/>
  <c r="K11" i="5"/>
  <c r="L79" i="6"/>
  <c r="U85" i="6" s="1"/>
  <c r="T85" i="6" s="1"/>
  <c r="U11" i="6"/>
  <c r="E12" i="6"/>
  <c r="G12" i="6" s="1"/>
  <c r="L12" i="6"/>
  <c r="H11" i="6" s="1"/>
  <c r="P28" i="1"/>
  <c r="V28" i="1" s="1"/>
  <c r="R25" i="1"/>
  <c r="L10" i="6"/>
  <c r="H13" i="6" s="1"/>
  <c r="E13" i="6" s="1"/>
  <c r="G13" i="6" s="1"/>
  <c r="U17" i="6" s="1"/>
  <c r="T17" i="6" s="1"/>
  <c r="P26" i="1"/>
  <c r="V26" i="1" s="1"/>
  <c r="L41" i="6"/>
  <c r="O28" i="1"/>
  <c r="S28" i="1" s="1"/>
  <c r="O26" i="1"/>
  <c r="S26" i="1" s="1"/>
  <c r="L11" i="6"/>
  <c r="H14" i="6" s="1"/>
  <c r="E14" i="6" s="1"/>
  <c r="G14" i="6" s="1"/>
  <c r="U13" i="6" s="1"/>
  <c r="T13" i="6" s="1"/>
  <c r="P27" i="1"/>
  <c r="V27" i="1" s="1"/>
  <c r="O27" i="1"/>
  <c r="S27" i="1" s="1"/>
  <c r="S25" i="1"/>
  <c r="L102" i="6"/>
  <c r="L110" i="6"/>
  <c r="U121" i="6" s="1"/>
  <c r="T121" i="6" s="1"/>
  <c r="U57" i="6"/>
  <c r="U119" i="6"/>
  <c r="T119" i="6" s="1"/>
  <c r="Q16" i="15"/>
  <c r="K114" i="6"/>
  <c r="AE121" i="16"/>
  <c r="E259" i="17" s="1"/>
  <c r="E121" i="16"/>
  <c r="AE119" i="16"/>
  <c r="E258" i="17" s="1"/>
  <c r="E119" i="16"/>
  <c r="AE117" i="16"/>
  <c r="E257" i="17" s="1"/>
  <c r="E117" i="16"/>
  <c r="AE115" i="16"/>
  <c r="E256" i="17" s="1"/>
  <c r="E115" i="16"/>
  <c r="AE113" i="16"/>
  <c r="E227" i="17" s="1"/>
  <c r="E113" i="16"/>
  <c r="AE111" i="16"/>
  <c r="E226" i="17" s="1"/>
  <c r="E111" i="16"/>
  <c r="AE109" i="16"/>
  <c r="E225" i="17" s="1"/>
  <c r="E109" i="16"/>
  <c r="AE107" i="16"/>
  <c r="E224" i="17" s="1"/>
  <c r="E107" i="16"/>
  <c r="AE105" i="16"/>
  <c r="E223" i="17" s="1"/>
  <c r="E105" i="16"/>
  <c r="E103" i="16"/>
  <c r="AE103" i="16"/>
  <c r="E222" i="17" s="1"/>
  <c r="J7" i="7"/>
  <c r="J15" i="7"/>
  <c r="D5" i="7"/>
  <c r="J5" i="7" s="1"/>
  <c r="AE93" i="16"/>
  <c r="E193" i="17" s="1"/>
  <c r="E197" i="17" s="1"/>
  <c r="E93" i="16"/>
  <c r="E96" i="16" s="1"/>
  <c r="K82" i="6"/>
  <c r="K948" i="6"/>
  <c r="K852" i="6"/>
  <c r="K820" i="6"/>
  <c r="K788" i="6"/>
  <c r="K724" i="6"/>
  <c r="K660" i="6"/>
  <c r="K628" i="6"/>
  <c r="K404" i="6"/>
  <c r="K212" i="6"/>
  <c r="K148" i="6"/>
  <c r="K884" i="6"/>
  <c r="K980" i="6"/>
  <c r="K692" i="6"/>
  <c r="K500" i="6"/>
  <c r="K372" i="6"/>
  <c r="K340" i="6"/>
  <c r="K116" i="6"/>
  <c r="B1" i="5"/>
  <c r="K916" i="6"/>
  <c r="K596" i="6"/>
  <c r="K532" i="6"/>
  <c r="K436" i="6"/>
  <c r="K308" i="6"/>
  <c r="K276" i="6"/>
  <c r="K244" i="6"/>
  <c r="K564" i="6"/>
  <c r="K180" i="6"/>
  <c r="K756" i="6"/>
  <c r="K468" i="6"/>
  <c r="K84" i="6"/>
  <c r="Q9" i="5"/>
  <c r="S9" i="5"/>
  <c r="P29" i="12"/>
  <c r="R28" i="1" l="1"/>
  <c r="L111" i="6"/>
  <c r="U117" i="6" s="1"/>
  <c r="T117" i="6" s="1"/>
  <c r="L44" i="6"/>
  <c r="T11" i="6"/>
  <c r="R27" i="1"/>
  <c r="O33" i="1"/>
  <c r="L73" i="6"/>
  <c r="L42" i="6"/>
  <c r="U49" i="6" s="1"/>
  <c r="T49" i="6" s="1"/>
  <c r="H24" i="6"/>
  <c r="I11" i="6"/>
  <c r="Z15" i="6" s="1"/>
  <c r="Z18" i="6" s="1"/>
  <c r="E11" i="6"/>
  <c r="G11" i="6" s="1"/>
  <c r="S33" i="1"/>
  <c r="L43" i="6"/>
  <c r="U45" i="6" s="1"/>
  <c r="T45" i="6" s="1"/>
  <c r="R26" i="1"/>
  <c r="U43" i="6"/>
  <c r="T43" i="6" s="1"/>
  <c r="E231" i="17"/>
  <c r="E128" i="16"/>
  <c r="E265" i="17"/>
  <c r="T57" i="6"/>
  <c r="J14" i="7"/>
  <c r="J17" i="7" s="1"/>
  <c r="R1" i="5"/>
  <c r="S8" i="5"/>
  <c r="Q1" i="5"/>
  <c r="S2" i="5" s="1"/>
  <c r="T2" i="5" s="1"/>
  <c r="U2" i="5" s="1"/>
  <c r="V2" i="5" s="1"/>
  <c r="W2" i="5" s="1"/>
  <c r="R5" i="5"/>
  <c r="P28" i="12"/>
  <c r="L105" i="6" l="1"/>
  <c r="L75" i="6"/>
  <c r="U77" i="6" s="1"/>
  <c r="T77" i="6" s="1"/>
  <c r="U15" i="6"/>
  <c r="G24" i="6"/>
  <c r="I24" i="6" s="1"/>
  <c r="L74" i="6"/>
  <c r="U81" i="6" s="1"/>
  <c r="T81" i="6" s="1"/>
  <c r="U75" i="6"/>
  <c r="T75" i="6" s="1"/>
  <c r="L76" i="6"/>
  <c r="O32" i="12"/>
  <c r="P30" i="12"/>
  <c r="L107" i="6" l="1"/>
  <c r="U109" i="6" s="1"/>
  <c r="T109" i="6" s="1"/>
  <c r="U47" i="6"/>
  <c r="T15" i="6"/>
  <c r="T29" i="6" s="1"/>
  <c r="U29" i="6"/>
  <c r="L108" i="6"/>
  <c r="L106" i="6"/>
  <c r="U113" i="6" s="1"/>
  <c r="T113" i="6" s="1"/>
  <c r="U107" i="6"/>
  <c r="U79" i="6" l="1"/>
  <c r="T47" i="6"/>
  <c r="T61" i="6" s="1"/>
  <c r="U61" i="6"/>
  <c r="T107" i="6"/>
  <c r="U111" i="6" l="1"/>
  <c r="U93" i="6"/>
  <c r="T79" i="6"/>
  <c r="T93" i="6" s="1"/>
  <c r="T111" i="6" l="1"/>
  <c r="T125" i="6" s="1"/>
  <c r="U1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DURGESH M SMS QAD</author>
  </authors>
  <commentList>
    <comment ref="R33" authorId="0" shapeId="0" xr:uid="{00000000-0006-0000-0A00-000002000000}">
      <text>
        <r>
          <rPr>
            <sz val="10"/>
            <rFont val="Arial"/>
            <family val="2"/>
          </rPr>
          <t>DURGESH M SMS QAD:
Over Size Mag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<sst xmlns="http://schemas.openxmlformats.org/spreadsheetml/2006/main" count="8937" uniqueCount="888">
  <si>
    <t>30/9/2026</t>
  </si>
  <si>
    <t>SIZE</t>
  </si>
  <si>
    <t>TOTAL PROD</t>
  </si>
  <si>
    <t>HOT ROLLED</t>
  </si>
  <si>
    <t>RHF</t>
  </si>
  <si>
    <t>DISPATCH</t>
  </si>
  <si>
    <t>BYPASS</t>
  </si>
  <si>
    <t>HOTOUT</t>
  </si>
  <si>
    <t>MANUAL STOCK</t>
  </si>
  <si>
    <t>ERP STOCK</t>
  </si>
  <si>
    <t>DIFFERENCE</t>
  </si>
  <si>
    <t>PCS</t>
  </si>
  <si>
    <t>WEIGHT</t>
  </si>
  <si>
    <t>MANUAL</t>
  </si>
  <si>
    <t>110 X   6</t>
  </si>
  <si>
    <t>110X 5.25</t>
  </si>
  <si>
    <t>RAN 110</t>
  </si>
  <si>
    <t>130 X   6</t>
  </si>
  <si>
    <t>130 X   5</t>
  </si>
  <si>
    <t>130 X   4</t>
  </si>
  <si>
    <t>130 X   3</t>
  </si>
  <si>
    <t>RAN 160</t>
  </si>
  <si>
    <t>160 X   5</t>
  </si>
  <si>
    <t>160 X   4</t>
  </si>
  <si>
    <t>160 X   3</t>
  </si>
  <si>
    <t>TOTAL PROD SHEET</t>
  </si>
  <si>
    <t>DATE</t>
  </si>
  <si>
    <t>H.No.</t>
  </si>
  <si>
    <t>Analysis Report</t>
  </si>
  <si>
    <t>WEIGHT/MTR</t>
  </si>
  <si>
    <t>130 X 130</t>
  </si>
  <si>
    <t>TOTAL MTR</t>
  </si>
  <si>
    <t>Quantity
(MT)</t>
  </si>
  <si>
    <t>HOT CHARGING</t>
  </si>
  <si>
    <t>TOTAL
MTR</t>
  </si>
  <si>
    <t>Total
Prod</t>
  </si>
  <si>
    <t>HOT OUT</t>
  </si>
  <si>
    <t>HEAT WISE TRANSFER</t>
  </si>
  <si>
    <t>F&amp;L BYPASS</t>
  </si>
  <si>
    <t>MTR</t>
  </si>
  <si>
    <t>%C</t>
  </si>
  <si>
    <t>% Mn</t>
  </si>
  <si>
    <t>%Si</t>
  </si>
  <si>
    <t>%S</t>
  </si>
  <si>
    <t>% P</t>
  </si>
  <si>
    <t>3M</t>
  </si>
  <si>
    <t>4M</t>
  </si>
  <si>
    <t>5M</t>
  </si>
  <si>
    <t>6M</t>
  </si>
  <si>
    <t>3MTR</t>
  </si>
  <si>
    <t>4MTR</t>
  </si>
  <si>
    <t>5MTR</t>
  </si>
  <si>
    <t>6MTR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</si>
  <si>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</si>
  <si>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</si>
  <si>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</si>
  <si>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</si>
  <si>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</si>
  <si>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</si>
  <si>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</si>
  <si>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</si>
  <si>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1.10.9</t>
  </si>
  <si>
    <t>1.10.10</t>
  </si>
  <si>
    <t>1.10.11</t>
  </si>
  <si>
    <t>1.10.12</t>
  </si>
  <si>
    <t>MIN</t>
  </si>
  <si>
    <t xml:space="preserve"> </t>
  </si>
  <si>
    <t>MAX</t>
  </si>
  <si>
    <t xml:space="preserve"> COLD BILLET CHARGING SMS TO STRIP MILL</t>
  </si>
  <si>
    <t>TOTAL    MTR</t>
  </si>
  <si>
    <t>Quantity    (MT)</t>
  </si>
  <si>
    <t>Total 
Prod. (in Heat)</t>
  </si>
  <si>
    <t>% C</t>
  </si>
  <si>
    <t>% Si</t>
  </si>
  <si>
    <t>% S</t>
  </si>
  <si>
    <t>3 M</t>
  </si>
  <si>
    <t>160 × 160</t>
  </si>
  <si>
    <t>130 × 130</t>
  </si>
  <si>
    <t>Date</t>
  </si>
  <si>
    <t>Total Prod</t>
  </si>
  <si>
    <t>Hot Charging</t>
  </si>
  <si>
    <t>Bypass</t>
  </si>
  <si>
    <t>Hotout Net Weight</t>
  </si>
  <si>
    <t>Hotout Calculated Weight</t>
  </si>
  <si>
    <t>Dispatch</t>
  </si>
  <si>
    <t>HEAT</t>
  </si>
  <si>
    <t>OPENING</t>
  </si>
  <si>
    <t>M2M</t>
  </si>
  <si>
    <t>CONSUMPTION IN STRIP MILL</t>
  </si>
  <si>
    <t>COIL</t>
  </si>
  <si>
    <t>MISSROLL</t>
  </si>
  <si>
    <t>MILL SCALE</t>
  </si>
  <si>
    <t>TOTAL</t>
  </si>
  <si>
    <t>MT/DAY</t>
  </si>
  <si>
    <t>MT/HEAT</t>
  </si>
  <si>
    <t>STOCK</t>
  </si>
  <si>
    <t>OFFGRADE HEAT</t>
  </si>
  <si>
    <t>Calculation of physical verification of finished goods</t>
  </si>
  <si>
    <t>Sl No.</t>
  </si>
  <si>
    <t>Particular</t>
  </si>
  <si>
    <t>Size</t>
  </si>
  <si>
    <t>Length (In Mtr)</t>
  </si>
  <si>
    <t>As per physical verification</t>
  </si>
  <si>
    <t>Quantity as per ERP (In Mt)</t>
  </si>
  <si>
    <t>Remarks</t>
  </si>
  <si>
    <t>No of Pieces/   Meter</t>
  </si>
  <si>
    <t>Standard Weight (Mt / piece)</t>
  </si>
  <si>
    <t>Quantity (In Mt)</t>
  </si>
  <si>
    <t>MS BILLET</t>
  </si>
  <si>
    <t>100*100</t>
  </si>
  <si>
    <t>As on 01.10.2026</t>
  </si>
  <si>
    <t>short length</t>
  </si>
  <si>
    <t>110 X   5.25</t>
  </si>
  <si>
    <t>Dispatchable</t>
  </si>
  <si>
    <t>Remark</t>
  </si>
  <si>
    <t>SWADESH</t>
  </si>
  <si>
    <t>160*160</t>
  </si>
  <si>
    <t>110 X R</t>
  </si>
  <si>
    <t>110x110</t>
  </si>
  <si>
    <t>Normal</t>
  </si>
  <si>
    <t>110*110</t>
  </si>
  <si>
    <t>Random</t>
  </si>
  <si>
    <t>130*130</t>
  </si>
  <si>
    <t>130x130</t>
  </si>
  <si>
    <t>160 X R</t>
  </si>
  <si>
    <t>Current Stock</t>
  </si>
  <si>
    <t>110 x 110</t>
  </si>
  <si>
    <t>130 x 130</t>
  </si>
  <si>
    <t>160 x 160</t>
  </si>
  <si>
    <t>Internal Billets</t>
  </si>
  <si>
    <t>AKASH</t>
  </si>
  <si>
    <t>.</t>
  </si>
  <si>
    <t>Inward Billets</t>
  </si>
  <si>
    <t>SHYAM</t>
  </si>
  <si>
    <t>DAILY</t>
  </si>
  <si>
    <t>Total-</t>
  </si>
  <si>
    <t>TP</t>
  </si>
  <si>
    <t>HC</t>
  </si>
  <si>
    <t>BP</t>
  </si>
  <si>
    <t>HO</t>
  </si>
  <si>
    <t>DISP</t>
  </si>
  <si>
    <t>160x160</t>
  </si>
  <si>
    <t>MONTHLY</t>
  </si>
  <si>
    <t>Pending As Per PO</t>
  </si>
  <si>
    <t>AR ISPAT</t>
  </si>
  <si>
    <t>Akash Sales</t>
  </si>
  <si>
    <t xml:space="preserve"> -   </t>
  </si>
  <si>
    <t>MASHIVA</t>
  </si>
  <si>
    <t>VRKP</t>
  </si>
  <si>
    <t>Total</t>
  </si>
  <si>
    <t>AR Ispat</t>
  </si>
  <si>
    <t>Opening Stock</t>
  </si>
  <si>
    <t>Hot Out receive</t>
  </si>
  <si>
    <t>Production</t>
  </si>
  <si>
    <t>Cold Charging</t>
  </si>
  <si>
    <t>Closing Stock</t>
  </si>
  <si>
    <t>VRKP Cold Charging Pcs</t>
  </si>
  <si>
    <t>Hot Out received</t>
  </si>
  <si>
    <t>Mashiva</t>
  </si>
  <si>
    <t>HOLD DETAILS</t>
  </si>
  <si>
    <t>TEST PENDING</t>
  </si>
  <si>
    <t>160 x 160 x 6MTR</t>
  </si>
  <si>
    <t>Monthly production</t>
  </si>
  <si>
    <t>Opening stock of September</t>
  </si>
  <si>
    <t>Hot Out Receive</t>
  </si>
  <si>
    <t>Total Hotcharging</t>
  </si>
  <si>
    <t>dispatch</t>
  </si>
  <si>
    <t>closing</t>
  </si>
  <si>
    <t>As on 02.10.2026</t>
  </si>
  <si>
    <t>As on 03.10.2026</t>
  </si>
  <si>
    <t>As on 04.10.2026</t>
  </si>
  <si>
    <t>As on 05.10.2026</t>
  </si>
  <si>
    <t>As on 06.10.2026</t>
  </si>
  <si>
    <t>As on 07.10.2026</t>
  </si>
  <si>
    <t>As on 08.10.2026</t>
  </si>
  <si>
    <t>As on 09.10.2026</t>
  </si>
  <si>
    <t>As on 10.10.2026</t>
  </si>
  <si>
    <t>Swadesh metallics Newada</t>
  </si>
  <si>
    <t>As on 11.10.2026</t>
  </si>
  <si>
    <t>As on 12.10.2026</t>
  </si>
  <si>
    <t>As on 13.10.2026</t>
  </si>
  <si>
    <t>As on 14.10.2026</t>
  </si>
  <si>
    <t>As on 15.10.2026</t>
  </si>
  <si>
    <t>As on 16.10.2026</t>
  </si>
  <si>
    <t>As on 17.10.2026</t>
  </si>
  <si>
    <t>As on 18.10.2026</t>
  </si>
  <si>
    <t>As on 19.10.2026</t>
  </si>
  <si>
    <t>As on 20.10.2026</t>
  </si>
  <si>
    <t>As on 21.10.2026</t>
  </si>
  <si>
    <t>As on 22.10.2026</t>
  </si>
  <si>
    <t>As on 23.10.2026</t>
  </si>
  <si>
    <t>As on 24.09.2026</t>
  </si>
  <si>
    <t>As on 24.10.2026</t>
  </si>
  <si>
    <t>As on 25.09.2026</t>
  </si>
  <si>
    <t>As on 25.10.2026</t>
  </si>
  <si>
    <t>As on 26.09.2026</t>
  </si>
  <si>
    <t>Shyam Metalics</t>
  </si>
  <si>
    <t>As on 26.10.2026</t>
  </si>
  <si>
    <t>As on 27.09.2026</t>
  </si>
  <si>
    <t>As on 27.10.2026</t>
  </si>
  <si>
    <t>As on 28.09.2026</t>
  </si>
  <si>
    <t>As on 28.10.2026</t>
  </si>
  <si>
    <t>130 X R</t>
  </si>
  <si>
    <t>As on 29.09.2026</t>
  </si>
  <si>
    <t>As on 29.10.2026</t>
  </si>
  <si>
    <t>As on 30.09.2026</t>
  </si>
  <si>
    <t>As on 30.10.2026</t>
  </si>
  <si>
    <t>As on 31.10.2026</t>
  </si>
  <si>
    <t>Supplier</t>
  </si>
  <si>
    <t>Section</t>
  </si>
  <si>
    <t>Quality Status</t>
  </si>
  <si>
    <t>MIPPL</t>
  </si>
  <si>
    <t>MAHASHIVA</t>
  </si>
  <si>
    <t>OK</t>
  </si>
  <si>
    <t>HOLD</t>
  </si>
  <si>
    <t>NOT OK</t>
  </si>
  <si>
    <t>OK INWARD</t>
  </si>
  <si>
    <t>OK MIPPL</t>
  </si>
  <si>
    <t>PELLETS</t>
  </si>
  <si>
    <t>FINES.</t>
  </si>
  <si>
    <t>LUMPS.</t>
  </si>
  <si>
    <t>PELLET</t>
  </si>
  <si>
    <t>LUMPS</t>
  </si>
  <si>
    <t>FINES</t>
  </si>
  <si>
    <t xml:space="preserve">TOTAL HEAT </t>
  </si>
  <si>
    <t>DATE-01-10-2026</t>
  </si>
  <si>
    <t xml:space="preserve">PRODUCTION </t>
  </si>
  <si>
    <t>SIZE (F/L)</t>
  </si>
  <si>
    <t>QUANTITY(MT)</t>
  </si>
  <si>
    <t>Raw Slag</t>
  </si>
  <si>
    <t>RAW MATERIAL</t>
  </si>
  <si>
    <t>(130X130)MMX6M</t>
  </si>
  <si>
    <t>Slag Jam</t>
  </si>
  <si>
    <t>DAILY AVG</t>
  </si>
  <si>
    <t>MONTHLY AVG</t>
  </si>
  <si>
    <t>(130X130)MMX4M</t>
  </si>
  <si>
    <t>Mag. Material</t>
  </si>
  <si>
    <t>(130X130)MMX5M</t>
  </si>
  <si>
    <t>BILLET END CUT</t>
  </si>
  <si>
    <t>(130X130)MMX3M</t>
  </si>
  <si>
    <t>(160X160)MMX3M</t>
  </si>
  <si>
    <t>(160X160)MMX4M</t>
  </si>
  <si>
    <t>(160X160)MMX5M</t>
  </si>
  <si>
    <t>OUT SIDE FINES</t>
  </si>
  <si>
    <t>(110X110)MMX6M</t>
  </si>
  <si>
    <t>OUT SIDE LUMPS</t>
  </si>
  <si>
    <t>SCRAP</t>
  </si>
  <si>
    <t>SHORT LENGTH</t>
  </si>
  <si>
    <t>MS SCRAP</t>
  </si>
  <si>
    <t>160X160XR</t>
  </si>
  <si>
    <t>MS SCRAP-ROLLING MILL</t>
  </si>
  <si>
    <t>110X110XR</t>
  </si>
  <si>
    <t>SUPER HEAVY</t>
  </si>
  <si>
    <t>130X130XR</t>
  </si>
  <si>
    <t>HEAVY</t>
  </si>
  <si>
    <t>TOTAL WEIGHT</t>
  </si>
  <si>
    <t>COMMERCIAL</t>
  </si>
  <si>
    <t xml:space="preserve">TOTAL </t>
  </si>
  <si>
    <t>LIGHT COMMERCIAL</t>
  </si>
  <si>
    <t>S. MILL:-</t>
  </si>
  <si>
    <t xml:space="preserve">C I SCRAP </t>
  </si>
  <si>
    <t>TOTAL RM</t>
  </si>
  <si>
    <t>130X130X3</t>
  </si>
  <si>
    <t>DUST</t>
  </si>
  <si>
    <t>130X130X4</t>
  </si>
  <si>
    <t>STRIP MILL TO SMS HOT OUT BILLET</t>
  </si>
  <si>
    <t>130X6</t>
  </si>
  <si>
    <t>130X130X5</t>
  </si>
  <si>
    <t>130X5</t>
  </si>
  <si>
    <t>130X4</t>
  </si>
  <si>
    <t>160X4</t>
  </si>
  <si>
    <t>130X130X6</t>
  </si>
  <si>
    <t>160X3</t>
  </si>
  <si>
    <t>160X160X5</t>
  </si>
  <si>
    <t>130X3</t>
  </si>
  <si>
    <t>160X160X3</t>
  </si>
  <si>
    <t>TOTAL  WEIGHT</t>
  </si>
  <si>
    <t>160X160X4</t>
  </si>
  <si>
    <t>BILLET DISPATCH</t>
  </si>
  <si>
    <t>130 X 5</t>
  </si>
  <si>
    <t>130 X 4</t>
  </si>
  <si>
    <t>160 X 5</t>
  </si>
  <si>
    <t>CHEMICAL COMPOSITION REPORT:-</t>
  </si>
  <si>
    <t>160 X 3</t>
  </si>
  <si>
    <t>ELEMENTS</t>
  </si>
  <si>
    <t>MIN.</t>
  </si>
  <si>
    <t>MAX.</t>
  </si>
  <si>
    <t xml:space="preserve">SMS TO R.H.F BILLET </t>
  </si>
  <si>
    <t>130 X 3</t>
  </si>
  <si>
    <t>160 X 4</t>
  </si>
  <si>
    <t>130 X 6</t>
  </si>
  <si>
    <t>DATE-02-10-2026</t>
  </si>
  <si>
    <t>DATE-03-10-2026</t>
  </si>
  <si>
    <t>DATE-04-10-2026</t>
  </si>
  <si>
    <t>DATE-05-10-2026</t>
  </si>
  <si>
    <t>DATE-06-10-2026</t>
  </si>
  <si>
    <t>DATE-07-10-2026</t>
  </si>
  <si>
    <t>DATE-08-10-2026</t>
  </si>
  <si>
    <t>DATE-10-09-2026</t>
  </si>
  <si>
    <t>DATE-10-10-2026</t>
  </si>
  <si>
    <t>DATE-11-10-2026</t>
  </si>
  <si>
    <t>DATE-12-10-2026</t>
  </si>
  <si>
    <t>DATE-13-10-2026</t>
  </si>
  <si>
    <t>DATE-14-10-2026</t>
  </si>
  <si>
    <t>DATE-15-10-2026</t>
  </si>
  <si>
    <t>DATE-16-10-2026</t>
  </si>
  <si>
    <t>DATE-17-10-2026</t>
  </si>
  <si>
    <t>DATE-18-10-2026</t>
  </si>
  <si>
    <t>DATE-19-10-2026</t>
  </si>
  <si>
    <t>DATE-20-10-2026</t>
  </si>
  <si>
    <t>DATE-21-10-2026</t>
  </si>
  <si>
    <t>DATE-22-10-2026</t>
  </si>
  <si>
    <t>DATE-23-10-2026</t>
  </si>
  <si>
    <t>DATE-24-10-2026</t>
  </si>
  <si>
    <t>DATE-25-10-2026</t>
  </si>
  <si>
    <t>DATE-26-10-2026</t>
  </si>
  <si>
    <t>DATE-27-10-2026</t>
  </si>
  <si>
    <t>DATE-28-10-2026</t>
  </si>
  <si>
    <t>DATE-29-10-2026</t>
  </si>
  <si>
    <t>DATE-30-10-2026</t>
  </si>
  <si>
    <t>DATE-31-10-2026</t>
  </si>
  <si>
    <t>FURNACE MAKE</t>
  </si>
  <si>
    <t>MEGATHERM</t>
  </si>
  <si>
    <t>→</t>
  </si>
  <si>
    <t>CALCULATION OF PRODUCTION BY FORMER MEASUREMENT</t>
  </si>
  <si>
    <t>CAPACITY</t>
  </si>
  <si>
    <t>POWER</t>
  </si>
  <si>
    <t>12.MW</t>
  </si>
  <si>
    <t>RAMMING MASS</t>
  </si>
  <si>
    <t>50Kg × 190 BAGS</t>
  </si>
  <si>
    <t xml:space="preserve"> ↕</t>
  </si>
  <si>
    <t>a)</t>
  </si>
  <si>
    <t>×</t>
  </si>
  <si>
    <t>b)</t>
  </si>
  <si>
    <t>PRODUCTION</t>
  </si>
  <si>
    <t>RAW SLAG TRANSFER TO (S.C)</t>
  </si>
  <si>
    <t>CONSUMPTION</t>
  </si>
  <si>
    <t>SLAG IRON (MAG MATERIAL)</t>
  </si>
  <si>
    <t>SLAG JAM RECEIVED</t>
  </si>
  <si>
    <t>FE(T)</t>
  </si>
  <si>
    <t>MAG %</t>
  </si>
  <si>
    <t>NON-MAG %</t>
  </si>
  <si>
    <t>MS SCRAP R.M</t>
  </si>
  <si>
    <t>CI MIX SCRAP</t>
  </si>
  <si>
    <t>PIG IRON</t>
  </si>
  <si>
    <t>Lumps</t>
  </si>
  <si>
    <t>Fines</t>
  </si>
  <si>
    <t>Pellets</t>
  </si>
  <si>
    <t>Steel Melting Scrap</t>
  </si>
  <si>
    <t>Mag Material</t>
  </si>
  <si>
    <t>M.S Scrap R.M</t>
  </si>
  <si>
    <t>M.S Scrap</t>
  </si>
  <si>
    <t>Over Size Mag</t>
  </si>
  <si>
    <t>SMS Stock and Consumption reports.</t>
  </si>
  <si>
    <t>Approved Charge Mix %</t>
  </si>
  <si>
    <t>Sl no</t>
  </si>
  <si>
    <t>Opening</t>
  </si>
  <si>
    <t>Received</t>
  </si>
  <si>
    <t>Issue</t>
  </si>
  <si>
    <t>M to M 
Transfer</t>
  </si>
  <si>
    <t>Closing</t>
  </si>
  <si>
    <t>% Target Consp.</t>
  </si>
  <si>
    <t>% Actual cons.</t>
  </si>
  <si>
    <t>Metal conv.</t>
  </si>
  <si>
    <t>Assumed yield %</t>
  </si>
  <si>
    <t>%Fe(M)</t>
  </si>
  <si>
    <t>Item</t>
  </si>
  <si>
    <t>CM1</t>
  </si>
  <si>
    <t>CM2</t>
  </si>
  <si>
    <t>CM3</t>
  </si>
  <si>
    <t>CM4</t>
  </si>
  <si>
    <t>CM5</t>
  </si>
  <si>
    <t>CM6</t>
  </si>
  <si>
    <t>Avg</t>
  </si>
  <si>
    <t>SPONGE IRON LUMPS.</t>
  </si>
  <si>
    <t>SPONGE IRON LUMPS</t>
  </si>
  <si>
    <t>SPONGE IRON FINES</t>
  </si>
  <si>
    <t>SPONGE IRON FINES.</t>
  </si>
  <si>
    <t>SPONGE IRON PELLETS</t>
  </si>
  <si>
    <t xml:space="preserve">SCRAP </t>
  </si>
  <si>
    <t>STEEL MELTING SCRAP</t>
  </si>
  <si>
    <t>Cast Iron</t>
  </si>
  <si>
    <t>PIG IRON (GRANULATED)</t>
  </si>
  <si>
    <t>MS SCRAP- ROLLING MILL</t>
  </si>
  <si>
    <t>MS Scrap -Rolling Mill</t>
  </si>
  <si>
    <t>PCM JAM</t>
  </si>
  <si>
    <t>CI SKULL</t>
  </si>
  <si>
    <t>MS SKULL</t>
  </si>
  <si>
    <t>OVER SIZE MAG</t>
  </si>
  <si>
    <t>Mag Material Slag</t>
  </si>
  <si>
    <t>SLAG METAL</t>
  </si>
  <si>
    <t>SLAGE JAAM</t>
  </si>
  <si>
    <t>Slag Iron (Jam)</t>
  </si>
  <si>
    <t>Power Consumption reports .</t>
  </si>
  <si>
    <t>Days</t>
  </si>
  <si>
    <t>Area</t>
  </si>
  <si>
    <t>Units (KW)</t>
  </si>
  <si>
    <t>Avg PF</t>
  </si>
  <si>
    <t>Per MT (KW)</t>
  </si>
  <si>
    <t>Target MT (KW)</t>
  </si>
  <si>
    <t>Diff</t>
  </si>
  <si>
    <t>Consumed MWH</t>
  </si>
  <si>
    <t>PP Available MWH</t>
  </si>
  <si>
    <t>Target PLF
(13 MW)</t>
  </si>
  <si>
    <t>Actual PLF</t>
  </si>
  <si>
    <t>Target Prodn</t>
  </si>
  <si>
    <t>Avg. Prodn/day</t>
  </si>
  <si>
    <t>Actual Yield</t>
  </si>
  <si>
    <t>Lounder Loss &amp; End cuts .</t>
  </si>
  <si>
    <t>Furnace</t>
  </si>
  <si>
    <t>Total Heat</t>
  </si>
  <si>
    <t>Target (MT)</t>
  </si>
  <si>
    <t>Actual (MT)</t>
  </si>
  <si>
    <t>Diff (MT)</t>
  </si>
  <si>
    <t>Auxiliary</t>
  </si>
  <si>
    <t>Silico Manganese consp.</t>
  </si>
  <si>
    <t>issue</t>
  </si>
  <si>
    <t>cons/MT</t>
  </si>
  <si>
    <t>MS Billet Stock .</t>
  </si>
  <si>
    <t>Size (MM)</t>
  </si>
  <si>
    <t>Opening Stock (MT)</t>
  </si>
  <si>
    <t>Production (MT)</t>
  </si>
  <si>
    <t>Hot Rolled (MT)</t>
  </si>
  <si>
    <t>Sales (MT)</t>
  </si>
  <si>
    <t>Pieces (Nos)</t>
  </si>
  <si>
    <t>Full Length</t>
  </si>
  <si>
    <t>Short Length</t>
  </si>
  <si>
    <t>Hotout</t>
  </si>
  <si>
    <t>Total (MT)</t>
  </si>
  <si>
    <t xml:space="preserve">SCRAPE SHEARING REPORTS </t>
  </si>
  <si>
    <t>PROD</t>
  </si>
  <si>
    <t>ROLLED</t>
  </si>
  <si>
    <t xml:space="preserve">Total runing hours </t>
  </si>
  <si>
    <t>Total scrape cutting (MT)</t>
  </si>
  <si>
    <t>Power consumption unit</t>
  </si>
  <si>
    <t>spc production mt /Hrs</t>
  </si>
  <si>
    <t>RAW SLAG</t>
  </si>
  <si>
    <t>spc.Power /MT</t>
  </si>
  <si>
    <t>Opening (MT)</t>
  </si>
  <si>
    <t>Receipt (MT)</t>
  </si>
  <si>
    <t>Issue (MT)</t>
  </si>
  <si>
    <t>Finished Product</t>
  </si>
  <si>
    <t>Target</t>
  </si>
  <si>
    <t>Actual</t>
  </si>
  <si>
    <t>Output %</t>
  </si>
  <si>
    <t>Waste (MT)</t>
  </si>
  <si>
    <t>Un-processed Slag Closing (MT)</t>
  </si>
  <si>
    <t>(MT)</t>
  </si>
  <si>
    <t>N.Mag %</t>
  </si>
  <si>
    <t>Fe %</t>
  </si>
  <si>
    <t>N.Mag%</t>
  </si>
  <si>
    <t>Slag Waste</t>
  </si>
  <si>
    <t>Product Name</t>
  </si>
  <si>
    <t>Internal use (MT)</t>
  </si>
  <si>
    <t>Sale (MT)</t>
  </si>
  <si>
    <t>Closing (MT)</t>
  </si>
  <si>
    <t>SILICO MANGANESE</t>
  </si>
  <si>
    <t>OVER SIZE SPONGE</t>
  </si>
  <si>
    <t>BAG FILTER DUST</t>
  </si>
  <si>
    <t>MILL SCALE-SMS</t>
  </si>
  <si>
    <t>SLAG METAL FINES, SIZE : 1 MM  TO 3 MM</t>
  </si>
  <si>
    <t>Durgesh stock report -(R9280) as on 04-Oct-2026</t>
  </si>
  <si>
    <t>Period :- 01-Oct-2026 to 03-Oct-2026</t>
  </si>
  <si>
    <t>Tnature Group</t>
  </si>
  <si>
    <t>1-OPENING</t>
  </si>
  <si>
    <t>2-RECIEPT</t>
  </si>
  <si>
    <t>3-ISSUE</t>
  </si>
  <si>
    <t>4-CLOSING</t>
  </si>
  <si>
    <t>Tnature</t>
  </si>
  <si>
    <t>GOODS RECEPIET NOTE</t>
  </si>
  <si>
    <t>INTER DIV STOCK TRANSFER</t>
  </si>
  <si>
    <t>INTER STOCK TRANSFER</t>
  </si>
  <si>
    <t>MATERIAL TO MATERIAL TRANSFER</t>
  </si>
  <si>
    <t>ISSUE</t>
  </si>
  <si>
    <t>SALE</t>
  </si>
  <si>
    <t>Division  Code</t>
  </si>
  <si>
    <t>Item Code</t>
  </si>
  <si>
    <t>Item Name</t>
  </si>
  <si>
    <t xml:space="preserve">   Qty</t>
  </si>
  <si>
    <t>SM</t>
  </si>
  <si>
    <t>F01010002</t>
  </si>
  <si>
    <t>F01010003</t>
  </si>
  <si>
    <t>F01010007</t>
  </si>
  <si>
    <t>F01010009</t>
  </si>
  <si>
    <t>Low grade mag Lumps</t>
  </si>
  <si>
    <t>F02040004</t>
  </si>
  <si>
    <t>F02060001</t>
  </si>
  <si>
    <t>F03010001</t>
  </si>
  <si>
    <t>M S BILLET (100MM X 100MM) 3 Mtr</t>
  </si>
  <si>
    <t>F03010002</t>
  </si>
  <si>
    <t>M S BILLET (110MM X 110MM) 3 Mtr</t>
  </si>
  <si>
    <t>F03010003</t>
  </si>
  <si>
    <t>M S BILLET (100MM X 100MM) 6 Mtr</t>
  </si>
  <si>
    <t>F03010004</t>
  </si>
  <si>
    <t>M S BILLET (110MM X 110MM) 6 Mtr</t>
  </si>
  <si>
    <t>F03010005</t>
  </si>
  <si>
    <t>M S BILLET (110MM X 110MM) RANDOM</t>
  </si>
  <si>
    <t>F03010006</t>
  </si>
  <si>
    <t>M S BILLET (100MM X 100MM) RANDOM</t>
  </si>
  <si>
    <t>F03010007</t>
  </si>
  <si>
    <t>M S BILLET (110MM X 110mm) 5.250 Mtr</t>
  </si>
  <si>
    <t>F03010008</t>
  </si>
  <si>
    <t>M S BILLET (100MM X 100MM) 5.250 MTR</t>
  </si>
  <si>
    <t>F03010009</t>
  </si>
  <si>
    <t>M S BILLET (160MM X 160MM) 6 Mtr</t>
  </si>
  <si>
    <t>F03010010</t>
  </si>
  <si>
    <t>M S BILLET (160MM X 160MM) 4.8 Mtr</t>
  </si>
  <si>
    <t>F03010011</t>
  </si>
  <si>
    <t>M S BILLET (160MM X 160MM) RANDOM</t>
  </si>
  <si>
    <t>F03010012</t>
  </si>
  <si>
    <t>M S BILLET (130MM X 130MM) 6 Mtr</t>
  </si>
  <si>
    <t>F03010013</t>
  </si>
  <si>
    <t>M S BILLET (130MM X 130MM) RANDOM</t>
  </si>
  <si>
    <t>F03010014</t>
  </si>
  <si>
    <t>M S BILLET (100MM X 100MM) 6.2 MTR</t>
  </si>
  <si>
    <t>F03010015</t>
  </si>
  <si>
    <t>M S BILLET (160MM X 160MM) 4.7 Mtr</t>
  </si>
  <si>
    <t>F03010017</t>
  </si>
  <si>
    <t>M S BILLET (130MM X 130MM) 3 Mtr</t>
  </si>
  <si>
    <t>F03010018</t>
  </si>
  <si>
    <t>M S BILLET (160MM X 160MM) 3 Mtr</t>
  </si>
  <si>
    <t>F03010019</t>
  </si>
  <si>
    <t>M S BILLET (130MM X 130MM) 4 MTR</t>
  </si>
  <si>
    <t>F03010020</t>
  </si>
  <si>
    <t>M S BILLET (130MM X 130MM) 4.5 MTR</t>
  </si>
  <si>
    <t>F03010021</t>
  </si>
  <si>
    <t>M S BILLET (130MM X 130MM) 2 MTR</t>
  </si>
  <si>
    <t>F03010022</t>
  </si>
  <si>
    <t>M S BILLET (130MM X 130MM) 2.5 MTR</t>
  </si>
  <si>
    <t>F03010023</t>
  </si>
  <si>
    <t>M S BILLET (130MM X 130MM) 5 MTR</t>
  </si>
  <si>
    <t>F03010024</t>
  </si>
  <si>
    <t>M S BILLET (160MM X 160MM) 2 Mtr</t>
  </si>
  <si>
    <t>F03010025</t>
  </si>
  <si>
    <t>M S BILLET (160MM X 160MM) 2.5 Mtr</t>
  </si>
  <si>
    <t>F03010026</t>
  </si>
  <si>
    <t>M S BILLET (160MM X 160MM) 4 Mtr</t>
  </si>
  <si>
    <t>F03010027</t>
  </si>
  <si>
    <t>M S BILLET (160MM X 160MM) 5 Mtr</t>
  </si>
  <si>
    <t>F03020001</t>
  </si>
  <si>
    <t>F03040001</t>
  </si>
  <si>
    <t>F04010001</t>
  </si>
  <si>
    <t>F04010002</t>
  </si>
  <si>
    <t>F04010004</t>
  </si>
  <si>
    <t>F04010007</t>
  </si>
  <si>
    <t>F04010009</t>
  </si>
  <si>
    <t>Billet End Cut</t>
  </si>
  <si>
    <t>F04010021</t>
  </si>
  <si>
    <t>SCRAP DUST (MIX)</t>
  </si>
  <si>
    <t>F04020001</t>
  </si>
  <si>
    <t>OVER SIZE WASTE</t>
  </si>
  <si>
    <t>F05010149</t>
  </si>
  <si>
    <t>Hot Roll Coil Random</t>
  </si>
  <si>
    <t>F05030004</t>
  </si>
  <si>
    <t>MS-CHS 15 NB X 2 MM X 6000 MM</t>
  </si>
  <si>
    <t>F05030020</t>
  </si>
  <si>
    <t>MS-CHS 32 NB X 2.5 MM X 6000 MM</t>
  </si>
  <si>
    <t>F05030028</t>
  </si>
  <si>
    <t>MS-CHS 40 NB X 3.2 MM X 6000 MM</t>
  </si>
  <si>
    <t>F05030029</t>
  </si>
  <si>
    <t>MS-CHS 40 NB X 3.5 MM X 6000 MM</t>
  </si>
  <si>
    <t>F05030037</t>
  </si>
  <si>
    <t>MS-CHS 50 NB X 3.2 MM X 6000 MM</t>
  </si>
  <si>
    <t>F05030038</t>
  </si>
  <si>
    <t>MS-CHS 50 NB X 3.5 MM X 6000 MM</t>
  </si>
  <si>
    <t>F05030044</t>
  </si>
  <si>
    <t>MS-CHS 65 NB X 2.9 MM X 6000 MM</t>
  </si>
  <si>
    <t>F05030054</t>
  </si>
  <si>
    <t>MS-CHS 80 NB X 3.5 MM X 6000 MM</t>
  </si>
  <si>
    <t>F05030055</t>
  </si>
  <si>
    <t>MS-CHS 80 NB X 4 MM X 6000 MM</t>
  </si>
  <si>
    <t>F05030112</t>
  </si>
  <si>
    <t>MS-SHS 25 X 25 X 1.2 MM X 6000 MM</t>
  </si>
  <si>
    <t>F05030139</t>
  </si>
  <si>
    <t>MS-SHS 50 X 50 X 3.2 MM X 6000 MM</t>
  </si>
  <si>
    <t>F05030203</t>
  </si>
  <si>
    <t>MS-CHS 40 NB X 2.9 MM X 6000 MM</t>
  </si>
  <si>
    <t>F05030219</t>
  </si>
  <si>
    <t>MS-CHS 32 NB X 2.9 MM X 6000 MM</t>
  </si>
  <si>
    <t>F05030220</t>
  </si>
  <si>
    <t>MS-CHS 25 NB X 2.9 MM X 6000 MM</t>
  </si>
  <si>
    <t>F05030232</t>
  </si>
  <si>
    <t>MS-SHS 38 X 38 X 3.2 MM X 6000 MM</t>
  </si>
  <si>
    <t>F05030266</t>
  </si>
  <si>
    <t>MS-CHS 20 NB X 2.90 MM X 6000 MM</t>
  </si>
  <si>
    <t>F06010005</t>
  </si>
  <si>
    <t>MISS ROLL ROUGHING = &lt; 70 MM</t>
  </si>
  <si>
    <t>F06010107</t>
  </si>
  <si>
    <t>Straight FINISHING MISS ROLL</t>
  </si>
  <si>
    <t>F06020001</t>
  </si>
  <si>
    <t>Slitting Side Cut</t>
  </si>
  <si>
    <t>F06030001</t>
  </si>
  <si>
    <t>Bead Scrap</t>
  </si>
  <si>
    <t>F06030004</t>
  </si>
  <si>
    <t>Unsegregated Rejected Pipes RHS,SHS,CHS</t>
  </si>
  <si>
    <t>F06030005</t>
  </si>
  <si>
    <t>Open PIPE</t>
  </si>
  <si>
    <t>F06030218</t>
  </si>
  <si>
    <t>JT MS-CHS 25 NB X 2 MM X 6000 MM</t>
  </si>
  <si>
    <t>F06030220</t>
  </si>
  <si>
    <t>JT MS-CHS 25 NB X 2.5 MM X 6000 MM</t>
  </si>
  <si>
    <t>F06030227</t>
  </si>
  <si>
    <t>JT MS-CHS 32 NB X 3 MM X 6000 MM</t>
  </si>
  <si>
    <t>F06030239</t>
  </si>
  <si>
    <t>JT MS-CHS 50 NB X 2 MM X 6000 MM</t>
  </si>
  <si>
    <t>F06030243</t>
  </si>
  <si>
    <t>JT MS-CHS 50 NB X 3.2 MM X 6000 MM</t>
  </si>
  <si>
    <t>F06030281</t>
  </si>
  <si>
    <t>JT MS-RHS 50 X 25 X 3 MM X 6000 MM</t>
  </si>
  <si>
    <t>F06030305</t>
  </si>
  <si>
    <t>JT MS-RHS 80 X 40 X 2.5 MM X 6000 MM</t>
  </si>
  <si>
    <t>F06030323</t>
  </si>
  <si>
    <t>JT MS-SHS 25 X 25 X 3 MM X 6000 MM</t>
  </si>
  <si>
    <t>F06030326</t>
  </si>
  <si>
    <t>JT MS-SHS 30 X 30 X 2 MM X 6000 MM</t>
  </si>
  <si>
    <t>F06030343</t>
  </si>
  <si>
    <t>JT MS-SHS 50 X 50 X 2.5 MM X 6000 MM</t>
  </si>
  <si>
    <t>F06030363</t>
  </si>
  <si>
    <t>JT MS-SHS 72 X 72 X 4 MM X 6000 MM</t>
  </si>
  <si>
    <t>F06030387</t>
  </si>
  <si>
    <t>JT MS-RHS 96 x 48 X 3.5 MM X 6000 MM</t>
  </si>
  <si>
    <t>F06030388</t>
  </si>
  <si>
    <t>JT MS-RHS 96 x 48 X 4 MM X 6000 MM</t>
  </si>
  <si>
    <t>F06030399</t>
  </si>
  <si>
    <t>JT MS-RHS 96 x 48 X 2.9 MM X 6000 MM</t>
  </si>
  <si>
    <t>F06030405</t>
  </si>
  <si>
    <t>JT MS-SHS 38 X 38 X 2.9 MM X 6000 MM</t>
  </si>
  <si>
    <t>F06030412</t>
  </si>
  <si>
    <t>JT MS-CHS 40 NB X 2.90 MM X 6000 MM</t>
  </si>
  <si>
    <t>F06030422</t>
  </si>
  <si>
    <t>RANDOM PIPE 2MTR-5MTR</t>
  </si>
  <si>
    <t>F06030423</t>
  </si>
  <si>
    <t>Rejected RH &amp; SHS Pipes</t>
  </si>
  <si>
    <t>F06030426</t>
  </si>
  <si>
    <t>Rejected Round Pipes</t>
  </si>
  <si>
    <t>R05010001</t>
  </si>
  <si>
    <t>R05020001</t>
  </si>
  <si>
    <t>R05020002</t>
  </si>
  <si>
    <t>POOLED IRON</t>
  </si>
  <si>
    <t>R05020003</t>
  </si>
  <si>
    <t>CAST IRON</t>
  </si>
  <si>
    <t>R05020005</t>
  </si>
  <si>
    <t>R05020006</t>
  </si>
  <si>
    <t>CI RUNNER SCRAP</t>
  </si>
  <si>
    <t>R05020007</t>
  </si>
  <si>
    <t>POOLED IRON CHUNK</t>
  </si>
  <si>
    <t>R05030002</t>
  </si>
  <si>
    <t>R05030006</t>
  </si>
  <si>
    <t>R05030007</t>
  </si>
  <si>
    <t>R05030008</t>
  </si>
  <si>
    <t>R05030009</t>
  </si>
  <si>
    <t>R05030010</t>
  </si>
  <si>
    <t>TMT END CUT</t>
  </si>
  <si>
    <t>R05030011</t>
  </si>
  <si>
    <t>R05030012</t>
  </si>
  <si>
    <t>PIG IRON SPLASHES</t>
  </si>
  <si>
    <t>R05030013</t>
  </si>
  <si>
    <t>R05030014</t>
  </si>
  <si>
    <t>SCRAP CRC (COATED)</t>
  </si>
  <si>
    <t>R05030016</t>
  </si>
  <si>
    <t>SCRAP CRC (MIX)</t>
  </si>
  <si>
    <t>R05030017</t>
  </si>
  <si>
    <t>SCRAP (CY)</t>
  </si>
  <si>
    <t>R05060001</t>
  </si>
  <si>
    <t>R05060002</t>
  </si>
  <si>
    <t>SPONGE IRON PELLETS.</t>
  </si>
  <si>
    <t>R05060003</t>
  </si>
  <si>
    <t>R06010001</t>
  </si>
  <si>
    <t>MS BILLET 110X110 MM, 6MTR LENGTH</t>
  </si>
  <si>
    <t>R06010002</t>
  </si>
  <si>
    <t>MS BILLET 110X110 MM, 3MTR LENGTH</t>
  </si>
  <si>
    <t>R06010003</t>
  </si>
  <si>
    <t>MS BILLET 100X100 MM, 6MTR LENGTH</t>
  </si>
  <si>
    <t>R06010004</t>
  </si>
  <si>
    <t>MS BILLET 130X130 MM, 6MTR LENGTH</t>
  </si>
  <si>
    <t>R06010007</t>
  </si>
  <si>
    <t>MS BILLET 130X130 MM, 4MTR LENGTH</t>
  </si>
  <si>
    <t>R06010016</t>
  </si>
  <si>
    <t>MS BILLET 160X160 MM, 3MTR LENGTH</t>
  </si>
  <si>
    <t>R06010017</t>
  </si>
  <si>
    <t>MS BILLET 160X160 MM, 4MTR LENGTH</t>
  </si>
  <si>
    <t>W01010001</t>
  </si>
  <si>
    <t>MS Scrap</t>
  </si>
  <si>
    <t>W01010021</t>
  </si>
  <si>
    <t>OLD &amp; USED SLIDE GATE PLATE 2QC</t>
  </si>
  <si>
    <t>W01010022</t>
  </si>
  <si>
    <t>OLD &amp; USED LADDLE NOZZLE</t>
  </si>
  <si>
    <t>W01010028</t>
  </si>
  <si>
    <t>W01010037</t>
  </si>
  <si>
    <t>OLD AND USED BATTERY 150 AH</t>
  </si>
  <si>
    <t>W01010044</t>
  </si>
  <si>
    <t>OLD &amp; USED UPS</t>
  </si>
  <si>
    <t>M2M - ENGINE_x000D_
Period From 01-OCT-26  To  03-OCT-26</t>
  </si>
  <si>
    <t>General Filter Data</t>
  </si>
  <si>
    <t>Entity Code</t>
  </si>
  <si>
    <t>MI  -  MARUTI ISPAT AND PIPES PRIVATE LIMITED</t>
  </si>
  <si>
    <t>Division</t>
  </si>
  <si>
    <t>SM  -  STEEL MELTING SHOP (SMS)</t>
  </si>
  <si>
    <t>Period Type</t>
  </si>
  <si>
    <t>VRDATE</t>
  </si>
  <si>
    <t>Division Name</t>
  </si>
  <si>
    <t>Item Group</t>
  </si>
  <si>
    <t>Unit_x000D_
Of_x000D_
Measurement</t>
  </si>
  <si>
    <t>Item_x000D_
Name</t>
  </si>
  <si>
    <t>Received_x000D_
Quantity</t>
  </si>
  <si>
    <t>Issue_x000D_
Quantity</t>
  </si>
  <si>
    <t>Received_x000D_
Rate</t>
  </si>
  <si>
    <t>No_x000D_
of_x000D_
Pcs'_x000D_
Issued</t>
  </si>
  <si>
    <t>Issue_x000D_
Value</t>
  </si>
  <si>
    <t>Issue_x000D_
Rate</t>
  </si>
  <si>
    <t>No_x000D_
of_x000D_
Pcs'_x000D_
Recd</t>
  </si>
  <si>
    <t>Received_x000D_
Value</t>
  </si>
  <si>
    <t>SM STEEL MELTING SHOP (SMS)</t>
  </si>
  <si>
    <t>BL BILLETS</t>
  </si>
  <si>
    <t>MT</t>
  </si>
  <si>
    <t>M S BILLET (130MM X 130MM) 3 Mtr(F03010017)</t>
  </si>
  <si>
    <t>27,61,831.42</t>
  </si>
  <si>
    <t>M S BILLET (130MM X 130MM) 4 MTR(F03010019)</t>
  </si>
  <si>
    <t>6,75,940.87</t>
  </si>
  <si>
    <t>M S BILLET (130MM X 130MM) 5 MTR(F03010023)</t>
  </si>
  <si>
    <t>58,29,961.21</t>
  </si>
  <si>
    <t>M S BILLET (130MM X 130MM) 6 Mtr(F03010012)</t>
  </si>
  <si>
    <t>1,35,60,062.20</t>
  </si>
  <si>
    <t>M S BILLET (160MM X 160MM) 3 Mtr(F03010018)</t>
  </si>
  <si>
    <t>M S BILLET (160MM X 160MM) 4 Mtr(F03010026)</t>
  </si>
  <si>
    <t>M S BILLET (160MM X 160MM) 5 Mtr(F03010027)</t>
  </si>
  <si>
    <t>SM STEEL MELTING SHOP (SMS) - Total</t>
  </si>
  <si>
    <t>2,28,27,795.70</t>
  </si>
  <si>
    <t>1,34,748.63</t>
  </si>
  <si>
    <t>1,69,909.99</t>
  </si>
  <si>
    <t>Grand Total</t>
  </si>
  <si>
    <t>LOT 01</t>
  </si>
  <si>
    <t>LOT 02</t>
  </si>
  <si>
    <t>MELTING</t>
  </si>
  <si>
    <t xml:space="preserve">RMD </t>
  </si>
  <si>
    <t>CI MIX</t>
  </si>
  <si>
    <t>TOTAL QTY</t>
  </si>
  <si>
    <t>LOT 03</t>
  </si>
  <si>
    <t>LOT 04</t>
  </si>
  <si>
    <t>Physical Stock Scrap (MT)</t>
  </si>
  <si>
    <t>BAL-</t>
  </si>
  <si>
    <t>ERP Stock Scrap (MT)</t>
  </si>
  <si>
    <t>Difference</t>
  </si>
  <si>
    <t>INCOMING STEEL SCRAP</t>
  </si>
  <si>
    <t>RMD</t>
  </si>
  <si>
    <t>LOT</t>
  </si>
  <si>
    <t>Maruti Ispat &amp; Pipes Pvt Ltd</t>
  </si>
  <si>
    <t xml:space="preserve"> SY NO 167,CDE,Madhavaram, Rachumarri, Andhra Pradesh 518349</t>
  </si>
  <si>
    <t>Format no : MIPPL/SMS/QAD/01</t>
  </si>
  <si>
    <t>Sl No</t>
  </si>
  <si>
    <t>Batch / Heat No</t>
  </si>
  <si>
    <t>Section    (MM)</t>
  </si>
  <si>
    <t>Quantity (MT)</t>
  </si>
  <si>
    <t xml:space="preserve">Chemical Analysis report </t>
  </si>
  <si>
    <t>Physical Analysis report</t>
  </si>
  <si>
    <t>Freedom From Defects</t>
  </si>
  <si>
    <t xml:space="preserve">Grade </t>
  </si>
  <si>
    <t>%Mn</t>
  </si>
  <si>
    <t>%P</t>
  </si>
  <si>
    <t>%N</t>
  </si>
  <si>
    <t xml:space="preserve">%(S+P) </t>
  </si>
  <si>
    <t>% CE</t>
  </si>
  <si>
    <t>Bend                      MM/ Meter            ( Max  5 MM/Meter)</t>
  </si>
  <si>
    <t>Camber MM/ Meter( Max 3 MM/Meter)</t>
  </si>
  <si>
    <t>Width                 ( MM)</t>
  </si>
  <si>
    <t xml:space="preserve">Ladle </t>
  </si>
  <si>
    <t>Prod.</t>
  </si>
  <si>
    <t>Rolled</t>
  </si>
  <si>
    <t>Final</t>
  </si>
  <si>
    <t>satisfactory</t>
  </si>
  <si>
    <t>Total production :</t>
  </si>
  <si>
    <t>Cracks</t>
  </si>
  <si>
    <t>Camber                 MM/ Meter           ( Max 3 MM/Meter)</t>
  </si>
  <si>
    <t>Length (Meter)</t>
  </si>
  <si>
    <t>MARUTI ISPAT &amp; PIPES PVT LTD</t>
  </si>
  <si>
    <t xml:space="preserve"> IS 14650:2023</t>
  </si>
  <si>
    <t>167, Madhavaram Village, Mantralayam Mandal, Kurnool, Andhra Pradesh 518349</t>
  </si>
  <si>
    <t xml:space="preserve">                                    CM/L- 6600069813</t>
  </si>
  <si>
    <t xml:space="preserve">TEST CERTIFICATE FOR CARBON STEEL CAST BILLET INGOTS, BILLETS, BLOOMS AND SLABS FOR </t>
  </si>
  <si>
    <t>RE-ROLLING INTO STEEL FOR GENERAL STRUCTURAL PURPOSES</t>
  </si>
  <si>
    <t>TEST CERTIFICATE No.:</t>
  </si>
  <si>
    <t>DATE:-</t>
  </si>
  <si>
    <t>To M/s.         MIPPL- ROLLING MILL</t>
  </si>
  <si>
    <t xml:space="preserve">We certified that the material described below fully confirms to 14650:2023 Chemical Composiition &amp; Physical properties of the product, as tested in accordance with the Scheme of Inspection and Testing contained in the BIS Certification marks license no. CM/L- 6600069813 are as indicated below against each order No.  </t>
  </si>
  <si>
    <t>(PLEASE REFER TO IS 14650:2023 FOR DETAILS OF SPECIFICATION REQUIREMENTS)</t>
  </si>
  <si>
    <t>Test Results</t>
  </si>
  <si>
    <t>Order No.   Date</t>
  </si>
  <si>
    <t xml:space="preserve">Billet  Size                                                                         </t>
  </si>
  <si>
    <t>Heat/Batch No.</t>
  </si>
  <si>
    <t>Grade &amp; Quality</t>
  </si>
  <si>
    <t>Quantity in M.T</t>
  </si>
  <si>
    <t>CHEMICAL COMPOSITION</t>
  </si>
  <si>
    <t>C %</t>
  </si>
  <si>
    <t>Si%</t>
  </si>
  <si>
    <t>Mn%</t>
  </si>
  <si>
    <t>P%</t>
  </si>
  <si>
    <t>S%</t>
  </si>
  <si>
    <t>Product Designation</t>
  </si>
  <si>
    <t>Freedom from defects</t>
  </si>
  <si>
    <t>Sulphur print test</t>
  </si>
  <si>
    <t>macro- examination</t>
  </si>
  <si>
    <t>inclusion content</t>
  </si>
  <si>
    <t>Si Killed</t>
  </si>
  <si>
    <t>GRADE2</t>
  </si>
  <si>
    <t>For        MARUTI ISPAT &amp; PIPES PVT LTD</t>
  </si>
  <si>
    <t>Invoice No.</t>
  </si>
  <si>
    <t>Date .</t>
  </si>
  <si>
    <t>Manager (QAD)</t>
  </si>
  <si>
    <t>SIO2</t>
  </si>
  <si>
    <t>SI</t>
  </si>
  <si>
    <t>O2</t>
  </si>
  <si>
    <t>Al</t>
  </si>
  <si>
    <t>AL2O3</t>
  </si>
  <si>
    <t>PRODUCTION OF LAST 8 MONTHS</t>
  </si>
  <si>
    <t>SPONGE</t>
  </si>
  <si>
    <t>FeM</t>
  </si>
  <si>
    <t>QTY</t>
  </si>
  <si>
    <t>PELLETS-</t>
  </si>
  <si>
    <t>79+</t>
  </si>
  <si>
    <t>100 MT</t>
  </si>
  <si>
    <t>FINES-</t>
  </si>
  <si>
    <t>50 MT</t>
  </si>
  <si>
    <t>C+(MN/6)+((CR+MO+V)/5)+((NI+CU)/15)</t>
  </si>
  <si>
    <t>SMS Monthly Report - OCT'26</t>
  </si>
  <si>
    <t>MIPPL/2026-27/OCT-0001</t>
  </si>
  <si>
    <t>MIPPL/2026-27/OCT-0002</t>
  </si>
  <si>
    <t>MIPPL/2026-27/OCT-0003</t>
  </si>
  <si>
    <t>MIPPL/2026-27/OCT-0004</t>
  </si>
  <si>
    <t>MIPPL/2026-27/OCT-0005</t>
  </si>
  <si>
    <t>MIPPL/2026-27/OCT-0006</t>
  </si>
  <si>
    <t>MIPPL/2026-27/OCT-0007</t>
  </si>
  <si>
    <t>MIPPL/2026-27/OCT-0008</t>
  </si>
  <si>
    <t>MIPPL/2026-27/OCT-0009</t>
  </si>
  <si>
    <t>MIPPL/2026-27/OCT-0010</t>
  </si>
  <si>
    <t>MIPPL/2026-27/OCT-0011</t>
  </si>
  <si>
    <t>MIPPL/2026-27/OCT-0012</t>
  </si>
  <si>
    <t>MIPPL/2026-27/OCT-0013</t>
  </si>
  <si>
    <t>MIPPL/2026-27/OCT-0014</t>
  </si>
  <si>
    <t>MIPPL/2026-27/OCT-0015</t>
  </si>
  <si>
    <t>MIPPL/2026-27/OCT-0016</t>
  </si>
  <si>
    <t>MIPPL/2026-27/OCT-0017</t>
  </si>
  <si>
    <t>MIPPL/2026-27/OCT-0018</t>
  </si>
  <si>
    <t>MIPPL/2026-27/OCT-0019</t>
  </si>
  <si>
    <t>MIPPL/2026-27/OCT-0020</t>
  </si>
  <si>
    <t>MIPPL/2026-27/OCT-0021</t>
  </si>
  <si>
    <t>MIPPL/2026-27/OCT-0022</t>
  </si>
  <si>
    <t>MIPPL/2026-27/OCT-0023</t>
  </si>
  <si>
    <t>MIPPL/2026-27/OCT-0024</t>
  </si>
  <si>
    <t>MIPPL/2026-27/OCT-0025</t>
  </si>
  <si>
    <t>MIPPL/2026-27/OCT-0026</t>
  </si>
  <si>
    <t>MIPPL/2026-27/OCT-0027</t>
  </si>
  <si>
    <t>MIPPL/2026-27/OCT-0028</t>
  </si>
  <si>
    <t>MIPPL/2026-27/OCT-0029</t>
  </si>
  <si>
    <t>MIPPL/2026-27/OCT-0030</t>
  </si>
  <si>
    <t>MIPPL/2026-27/OCT-0031</t>
  </si>
  <si>
    <t>MIPPL/2026-27/OCT-0032</t>
  </si>
  <si>
    <t>MIPPL/2026-27/OCT-0033</t>
  </si>
  <si>
    <t>MIPPL/2026-27/OCT-0034</t>
  </si>
  <si>
    <t>MIPPL/2026-27/OCT-0035</t>
  </si>
  <si>
    <t>MIPPL/2026-27/OCT-0036</t>
  </si>
  <si>
    <t>MIPPL/2026-27/OCT-0037</t>
  </si>
  <si>
    <t>MIPPL/2026-27/OCT-0038</t>
  </si>
  <si>
    <t>MIPPL/2026-27/OCT-0039</t>
  </si>
  <si>
    <t>MIPPL/2026-27/OCT-0040</t>
  </si>
  <si>
    <t>MIPPL/2026-27/OCT-0041</t>
  </si>
  <si>
    <t>MIPPL/2026-27/OCT-0042</t>
  </si>
  <si>
    <t>MIPPL/2026-27/OCT-0043</t>
  </si>
  <si>
    <t>MIPPL/2026-27/OCT-0044</t>
  </si>
  <si>
    <t>MIPPL/2026-27/OCT-0045</t>
  </si>
  <si>
    <t>MIPPL/2026-27/OCT-0046</t>
  </si>
  <si>
    <t>MIPPL/2026-27/OCT-0047</t>
  </si>
  <si>
    <t>MIPPL/2026-27/OCT-0048</t>
  </si>
  <si>
    <t>MIPPL/2026-27/OCT-0049</t>
  </si>
  <si>
    <t>MIPPL/2026-27/OCT-0050</t>
  </si>
  <si>
    <t>MIPPL/2026-27/OCT-0051</t>
  </si>
  <si>
    <t>MIPPL/2026-27/OCT-0052</t>
  </si>
  <si>
    <t>MIPPL/2026-27/OCT-0053</t>
  </si>
  <si>
    <t>MIPPL/2026-27/OCT-0054</t>
  </si>
  <si>
    <t>MIPPL/2026-27/OCT-0055</t>
  </si>
  <si>
    <t>MIPPL/2026-27/OCT-0056</t>
  </si>
  <si>
    <t>MIPPL/2026-27/OCT-0057</t>
  </si>
  <si>
    <t>MIPPL/2026-27/OCT-0058</t>
  </si>
  <si>
    <t>MIPPL/2026-27/OCT-0059</t>
  </si>
  <si>
    <t>MIPPL/2026-27/OCT-0060</t>
  </si>
  <si>
    <t>MIPPL/2026-27/OCT-0061</t>
  </si>
  <si>
    <t>MIPPL/2026-27/OCT-0062</t>
  </si>
  <si>
    <t>10/110/2026</t>
  </si>
  <si>
    <t>10/210/2026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</si>
</sst>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(* #,##0.00_);_(* \(#,##0.00\);_(* &quot;-&quot;??_);_(@_)"/>
    <numFmt numFmtId="164" formatCode="_ * #,##0.00_ ;_ * \-#,##0.00_ ;_ * \-??_ ;_ @_ "/>
    <numFmt numFmtId="165" formatCode="dd\.m\.yyyy;@"/>
    <numFmt numFmtId="166" formatCode="0.000"/>
    <numFmt numFmtId="167" formatCode="0.000000"/>
    <numFmt numFmtId="168" formatCode="###0;###0"/>
    <numFmt numFmtId="169" formatCode="###0.000;###0.000"/>
    <numFmt numFmtId="170" formatCode="###0.00;###0.00"/>
    <numFmt numFmtId="171" formatCode="0.0000"/>
    <numFmt numFmtId="172" formatCode="dd\.mm\.yyyy;@"/>
    <numFmt numFmtId="173" formatCode="&quot;₹ &quot;#,##0.00"/>
    <numFmt numFmtId="174" formatCode="_ * #,##0_ ;_ * \-#,##0_ ;_ * \-??_ ;_ @_ "/>
    <numFmt numFmtId="175" formatCode="_ * #,##0.000_ ;_ * \-#,##0.000_ ;_ * \-??_ ;_ @_ "/>
    <numFmt numFmtId="176" formatCode="_ &quot;₹ &quot;* #,##0_ ;_ &quot;₹ &quot;* \-#,##0_ ;_ &quot;₹ &quot;* \-_ ;_ @_ "/>
    <numFmt numFmtId="177" formatCode="#,##0_ ;\-#,##0\ "/>
    <numFmt numFmtId="178" formatCode="_(* #,##0.00_);_(* \(#,##0.00\);_(* \-??_);_(@_)"/>
    <numFmt numFmtId="179" formatCode="_(* #,##0.000_);_(* \(#,##0.000\);_(* \-??_);_(@_)"/>
    <numFmt numFmtId="180" formatCode="_(* #,##0_);_(* \(#,##0\);_(* \-??_);_(@_)"/>
    <numFmt numFmtId="181" formatCode="[$-409]d\-mmm\-yyyy;@"/>
    <numFmt numFmtId="182" formatCode="0.000%"/>
    <numFmt numFmtId="183" formatCode="#,##0.000"/>
    <numFmt numFmtId="184" formatCode="##,###,###,###.000"/>
    <numFmt numFmtId="185" formatCode="###,###,###,###.00"/>
    <numFmt numFmtId="186" formatCode="d\-mm\-yy"/>
    <numFmt numFmtId="187" formatCode="[$-409]dd\-mm\-yyyy;@"/>
    <numFmt numFmtId="188" formatCode="_(\$* #,##0.00_);_(\$* \(#,##0.00\);_(\$* \-??_);_(@_)"/>
    <numFmt numFmtId="189" formatCode="dd\-mm\-yy"/>
    <numFmt numFmtId="190" formatCode="[$-409]d\-mmm\-yy;@"/>
  </numFmts>
  <fonts count="124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b/>
      <sz val="14"/>
      <color rgb="FF110F08"/>
      <name val="Times New Roman"/>
      <family val="1"/>
      <charset val="1"/>
    </font>
    <font>
      <b/>
      <sz val="14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20"/>
      <color rgb="FF000000"/>
      <name val="Times New Roman"/>
      <family val="1"/>
      <charset val="1"/>
    </font>
    <font>
      <sz val="10"/>
      <color rgb="FF2A282B"/>
      <name val="Times New Roman"/>
      <family val="1"/>
      <charset val="1"/>
    </font>
    <font>
      <b/>
      <sz val="14"/>
      <color theme="1"/>
      <name val="Calibri"/>
      <family val="2"/>
      <charset val="1"/>
    </font>
    <font>
      <b/>
      <sz val="11"/>
      <color rgb="FF3A3A3B"/>
      <name val="Times New Roman"/>
      <family val="1"/>
      <charset val="1"/>
    </font>
    <font>
      <sz val="10"/>
      <color rgb="FF3A3A3B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2F2D03"/>
      <name val="Times New Roman"/>
      <family val="1"/>
      <charset val="1"/>
    </font>
    <font>
      <sz val="10"/>
      <color rgb="FF494905"/>
      <name val="Times New Roman"/>
      <family val="1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0"/>
      <name val="Times New Roman"/>
      <family val="1"/>
      <charset val="1"/>
    </font>
    <font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4"/>
      <color rgb="FF3A3A3B"/>
      <name val="Times New Roman"/>
      <family val="1"/>
      <charset val="1"/>
    </font>
    <font>
      <b/>
      <sz val="1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16"/>
      <name val="Calibri"/>
      <family val="2"/>
      <charset val="1"/>
    </font>
    <font>
      <sz val="14"/>
      <name val="Times New Roman"/>
      <family val="1"/>
      <charset val="1"/>
    </font>
    <font>
      <sz val="18"/>
      <color theme="0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b/>
      <sz val="14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u/>
      <sz val="12"/>
      <color theme="1"/>
      <name val="Times New Roman"/>
      <family val="1"/>
      <charset val="1"/>
    </font>
    <font>
      <b/>
      <u/>
      <sz val="10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b/>
      <sz val="10"/>
      <color rgb="FFFF000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u/>
      <sz val="10"/>
      <name val="Times New Roman"/>
      <family val="1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b/>
      <i/>
      <sz val="14"/>
      <color theme="1"/>
      <name val="Calibri"/>
      <family val="2"/>
      <charset val="1"/>
    </font>
    <font>
      <b/>
      <i/>
      <sz val="11"/>
      <name val="Calibri"/>
      <family val="2"/>
      <charset val="1"/>
    </font>
    <font>
      <b/>
      <sz val="12"/>
      <color theme="1"/>
      <name val="Courier New"/>
      <family val="3"/>
      <charset val="1"/>
    </font>
    <font>
      <sz val="12"/>
      <color theme="1"/>
      <name val="Calibri"/>
      <family val="2"/>
      <charset val="1"/>
    </font>
    <font>
      <sz val="12"/>
      <color rgb="FF7030A0"/>
      <name val="Calibri"/>
      <family val="2"/>
      <charset val="1"/>
    </font>
    <font>
      <sz val="16"/>
      <color theme="0"/>
      <name val="Calibri"/>
      <family val="2"/>
      <charset val="1"/>
    </font>
    <font>
      <sz val="10"/>
      <name val="Arial"/>
      <family val="2"/>
    </font>
    <font>
      <b/>
      <sz val="20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2"/>
      <name val="Calibri"/>
      <family val="2"/>
      <charset val="1"/>
    </font>
    <font>
      <sz val="10"/>
      <color rgb="FF002060"/>
      <name val="Calibri"/>
      <family val="2"/>
      <charset val="1"/>
    </font>
    <font>
      <b/>
      <i/>
      <sz val="12"/>
      <color theme="1"/>
      <name val="Calibri"/>
      <family val="2"/>
      <charset val="1"/>
    </font>
    <font>
      <b/>
      <i/>
      <sz val="10"/>
      <color theme="1"/>
      <name val="Calibri"/>
      <family val="2"/>
      <charset val="1"/>
    </font>
    <font>
      <b/>
      <sz val="12"/>
      <color theme="1" tint="4.9897762993255407E-2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4"/>
      <color theme="4"/>
      <name val="Calibri"/>
      <family val="2"/>
      <charset val="1"/>
    </font>
    <font>
      <b/>
      <sz val="11"/>
      <color theme="5"/>
      <name val="Calibri"/>
      <family val="2"/>
      <charset val="1"/>
    </font>
    <font>
      <b/>
      <sz val="12"/>
      <color theme="9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22"/>
      <name val="Calibri"/>
      <family val="2"/>
      <charset val="1"/>
    </font>
    <font>
      <b/>
      <sz val="14"/>
      <color theme="0"/>
      <name val="Calibri"/>
      <family val="2"/>
      <charset val="1"/>
    </font>
    <font>
      <sz val="11"/>
      <name val="Arial"/>
      <family val="2"/>
      <charset val="1"/>
    </font>
    <font>
      <sz val="11"/>
      <color rgb="FF202124"/>
      <name val="Calibri"/>
      <family val="2"/>
      <charset val="1"/>
    </font>
    <font>
      <sz val="11"/>
      <color rgb="FF202124"/>
      <name val="Arial"/>
      <family val="2"/>
      <charset val="1"/>
    </font>
    <font>
      <b/>
      <sz val="12"/>
      <name val="Times New Roman"/>
      <family val="1"/>
      <charset val="1"/>
    </font>
    <font>
      <b/>
      <sz val="6"/>
      <name val="Times New Roman"/>
      <family val="1"/>
      <charset val="1"/>
    </font>
    <font>
      <b/>
      <sz val="9"/>
      <name val="Times New Roman"/>
      <family val="1"/>
      <charset val="1"/>
    </font>
    <font>
      <b/>
      <sz val="36"/>
      <color theme="1"/>
      <name val="Bodoni MT"/>
      <family val="1"/>
      <charset val="1"/>
    </font>
    <font>
      <b/>
      <sz val="14"/>
      <color theme="1"/>
      <name val="Calibri Light"/>
      <family val="2"/>
      <charset val="1"/>
    </font>
    <font>
      <sz val="9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b/>
      <u/>
      <sz val="12"/>
      <color theme="1"/>
      <name val="Calibri"/>
      <family val="2"/>
      <charset val="1"/>
    </font>
    <font>
      <b/>
      <u/>
      <sz val="18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sz val="9"/>
      <color theme="1"/>
      <name val="Arial"/>
      <family val="2"/>
      <charset val="1"/>
    </font>
    <font>
      <sz val="12"/>
      <color theme="1"/>
      <name val="BankGothic Md BT"/>
      <charset val="1"/>
    </font>
    <font>
      <sz val="14"/>
      <color theme="1"/>
      <name val="BankGothic Md BT"/>
      <charset val="1"/>
    </font>
    <font>
      <b/>
      <u/>
      <sz val="16"/>
      <color theme="1"/>
      <name val="Calibri"/>
      <family val="2"/>
      <charset val="1"/>
    </font>
    <font>
      <sz val="12"/>
      <color theme="1" tint="4.9897762993255407E-2"/>
      <name val="Calibri"/>
      <family val="2"/>
      <charset val="1"/>
    </font>
    <font>
      <sz val="12"/>
      <name val="Calibri"/>
      <family val="2"/>
      <charset val="1"/>
    </font>
    <font>
      <sz val="10"/>
      <color theme="1" tint="4.9897762993255407E-2"/>
      <name val="Calibri"/>
      <family val="2"/>
      <charset val="1"/>
    </font>
    <font>
      <sz val="11"/>
      <color theme="1"/>
      <name val="Calibri"/>
      <family val="2"/>
      <charset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6"/>
      <color theme="1"/>
      <name val="Calibri"/>
      <family val="2"/>
    </font>
    <font>
      <sz val="8"/>
      <name val="Calibri"/>
      <family val="2"/>
      <charset val="1"/>
    </font>
    <font>
      <b/>
      <sz val="11"/>
      <color theme="1"/>
      <name val="Times New Roman"/>
      <family val="1"/>
    </font>
    <font>
      <b/>
      <u/>
      <sz val="12"/>
      <color rgb="FF000000"/>
      <name val="Times New Roman"/>
      <family val="1"/>
      <charset val="1"/>
    </font>
    <font>
      <b/>
      <u/>
      <sz val="10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4"/>
      <color rgb="FF000000"/>
      <name val="Times New Roman"/>
      <family val="1"/>
      <charset val="1"/>
    </font>
    <font>
      <sz val="10"/>
      <color rgb="FFFFFFFF"/>
      <name val="Times New Roman"/>
      <family val="1"/>
      <charset val="1"/>
    </font>
    <font>
      <sz val="16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41">
    <fill>
      <patternFill patternType="none"/>
    </fill>
    <fill>
      <patternFill patternType="gray125"/>
    </fill>
    <fill>
      <patternFill patternType="solid">
        <fgColor theme="5" tint="0.39988402966399123"/>
        <bgColor rgb="FFFFCC99"/>
      </patternFill>
    </fill>
    <fill>
      <patternFill patternType="solid">
        <fgColor theme="0" tint="-0.249977111117893"/>
        <bgColor rgb="FFC9C9C9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7" tint="0.59987182226020086"/>
        <bgColor rgb="FFFFFF99"/>
      </patternFill>
    </fill>
    <fill>
      <patternFill patternType="solid">
        <fgColor theme="3" tint="0.59987182226020086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theme="4" tint="-0.249977111117893"/>
        <bgColor rgb="FF44546A"/>
      </patternFill>
    </fill>
    <fill>
      <patternFill patternType="solid">
        <fgColor rgb="FFFFFF00"/>
        <bgColor rgb="FFFFD966"/>
      </patternFill>
    </fill>
    <fill>
      <patternFill patternType="solid">
        <fgColor rgb="FF00B0F0"/>
        <bgColor rgb="FF00CCFF"/>
      </patternFill>
    </fill>
    <fill>
      <patternFill patternType="solid">
        <fgColor theme="4" tint="0.59987182226020086"/>
        <bgColor rgb="FF9DC3E6"/>
      </patternFill>
    </fill>
    <fill>
      <patternFill patternType="solid">
        <fgColor theme="4" tint="0.79989013336588644"/>
        <bgColor rgb="FFD6DCE5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2" tint="-0.499984740745262"/>
        <bgColor rgb="FF44546A"/>
      </patternFill>
    </fill>
    <fill>
      <patternFill patternType="solid">
        <fgColor theme="4" tint="0.39988402966399123"/>
        <bgColor rgb="FF9DC3E6"/>
      </patternFill>
    </fill>
    <fill>
      <patternFill patternType="solid">
        <fgColor theme="8" tint="0.39988402966399123"/>
        <bgColor rgb="FF99CCFF"/>
      </patternFill>
    </fill>
    <fill>
      <patternFill patternType="solid">
        <fgColor rgb="FF92D050"/>
        <bgColor rgb="FFA9D18E"/>
      </patternFill>
    </fill>
    <fill>
      <patternFill patternType="solid">
        <fgColor theme="2"/>
        <bgColor rgb="FFDAE3F3"/>
      </patternFill>
    </fill>
    <fill>
      <patternFill patternType="solid">
        <fgColor theme="7"/>
        <bgColor rgb="FFFFD966"/>
      </patternFill>
    </fill>
    <fill>
      <patternFill patternType="solid">
        <fgColor theme="6" tint="0.39988402966399123"/>
        <bgColor rgb="FFD0CECE"/>
      </patternFill>
    </fill>
    <fill>
      <patternFill patternType="solid">
        <fgColor theme="8" tint="-0.249977111117893"/>
        <bgColor rgb="FF4472C4"/>
      </patternFill>
    </fill>
    <fill>
      <patternFill patternType="solid">
        <fgColor theme="5" tint="0.79989013336588644"/>
        <bgColor rgb="FFE7E6E6"/>
      </patternFill>
    </fill>
    <fill>
      <patternFill patternType="solid">
        <fgColor theme="9" tint="0.79989013336588644"/>
        <bgColor rgb="FFE7E6E6"/>
      </patternFill>
    </fill>
    <fill>
      <patternFill patternType="solid">
        <fgColor theme="4"/>
        <bgColor rgb="FF2E75B6"/>
      </patternFill>
    </fill>
    <fill>
      <patternFill patternType="solid">
        <fgColor theme="3"/>
        <bgColor rgb="FF2F5597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theme="2" tint="-9.9978637043366805E-2"/>
        <bgColor rgb="FFC9C9C9"/>
      </patternFill>
    </fill>
    <fill>
      <patternFill patternType="solid">
        <fgColor theme="4" tint="-0.499984740745262"/>
        <bgColor rgb="FF3A3A3B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2" tint="-0.749992370372631"/>
        <bgColor rgb="FF3A3A3B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rgb="FF000300"/>
      </right>
      <top style="thin">
        <color auto="1"/>
      </top>
      <bottom style="thin">
        <color auto="1"/>
      </bottom>
      <diagonal/>
    </border>
    <border>
      <left style="thin">
        <color rgb="FF0003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1F1E22"/>
      </top>
      <bottom style="thin">
        <color auto="1"/>
      </bottom>
      <diagonal/>
    </border>
    <border>
      <left style="thin">
        <color auto="1"/>
      </left>
      <right/>
      <top style="thin">
        <color rgb="FF1F1E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rgb="FF00030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5">
    <xf numFmtId="0" fontId="0" fillId="0" borderId="0"/>
    <xf numFmtId="164" fontId="105" fillId="0" borderId="0"/>
    <xf numFmtId="164" fontId="105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74">
    <xf numFmtId="0" fontId="0" fillId="0" borderId="0" xfId="0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1" fontId="13" fillId="3" borderId="6" xfId="0" applyNumberFormat="1" applyFont="1" applyFill="1" applyBorder="1"/>
    <xf numFmtId="166" fontId="13" fillId="3" borderId="6" xfId="0" applyNumberFormat="1" applyFont="1" applyFill="1" applyBorder="1"/>
    <xf numFmtId="0" fontId="13" fillId="0" borderId="6" xfId="0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166" fontId="13" fillId="0" borderId="6" xfId="0" applyNumberFormat="1" applyFont="1" applyBorder="1" applyAlignment="1">
      <alignment horizontal="right"/>
    </xf>
    <xf numFmtId="1" fontId="13" fillId="0" borderId="6" xfId="0" applyNumberFormat="1" applyFont="1" applyBorder="1"/>
    <xf numFmtId="0" fontId="13" fillId="0" borderId="6" xfId="0" applyFont="1" applyBorder="1" applyAlignment="1">
      <alignment horizontal="right" vertical="center"/>
    </xf>
    <xf numFmtId="166" fontId="13" fillId="0" borderId="6" xfId="0" applyNumberFormat="1" applyFont="1" applyBorder="1"/>
    <xf numFmtId="166" fontId="13" fillId="0" borderId="7" xfId="0" applyNumberFormat="1" applyFont="1" applyBorder="1"/>
    <xf numFmtId="166" fontId="16" fillId="0" borderId="0" xfId="0" applyNumberFormat="1" applyFont="1"/>
    <xf numFmtId="1" fontId="13" fillId="0" borderId="0" xfId="0" applyNumberFormat="1" applyFont="1" applyAlignment="1">
      <alignment horizontal="center" vertical="center"/>
    </xf>
    <xf numFmtId="0" fontId="13" fillId="4" borderId="8" xfId="0" applyFont="1" applyFill="1" applyBorder="1" applyAlignment="1">
      <alignment horizontal="left" vertical="center"/>
    </xf>
    <xf numFmtId="166" fontId="13" fillId="0" borderId="0" xfId="0" applyNumberFormat="1" applyFont="1"/>
    <xf numFmtId="0" fontId="13" fillId="0" borderId="8" xfId="0" applyFont="1" applyBorder="1"/>
    <xf numFmtId="1" fontId="13" fillId="2" borderId="6" xfId="0" applyNumberFormat="1" applyFont="1" applyFill="1" applyBorder="1"/>
    <xf numFmtId="1" fontId="13" fillId="0" borderId="0" xfId="0" applyNumberFormat="1" applyFont="1"/>
    <xf numFmtId="0" fontId="13" fillId="0" borderId="9" xfId="0" applyFont="1" applyBorder="1"/>
    <xf numFmtId="1" fontId="13" fillId="3" borderId="10" xfId="0" applyNumberFormat="1" applyFont="1" applyFill="1" applyBorder="1"/>
    <xf numFmtId="166" fontId="13" fillId="3" borderId="10" xfId="0" applyNumberFormat="1" applyFont="1" applyFill="1" applyBorder="1"/>
    <xf numFmtId="1" fontId="13" fillId="0" borderId="10" xfId="0" applyNumberFormat="1" applyFont="1" applyBorder="1"/>
    <xf numFmtId="1" fontId="13" fillId="2" borderId="10" xfId="0" applyNumberFormat="1" applyFont="1" applyFill="1" applyBorder="1"/>
    <xf numFmtId="166" fontId="13" fillId="0" borderId="10" xfId="0" applyNumberFormat="1" applyFont="1" applyBorder="1" applyAlignment="1">
      <alignment horizontal="right"/>
    </xf>
    <xf numFmtId="166" fontId="13" fillId="0" borderId="10" xfId="0" applyNumberFormat="1" applyFont="1" applyBorder="1"/>
    <xf numFmtId="166" fontId="13" fillId="0" borderId="11" xfId="0" applyNumberFormat="1" applyFont="1" applyBorder="1"/>
    <xf numFmtId="0" fontId="13" fillId="0" borderId="0" xfId="0" applyFont="1" applyAlignment="1">
      <alignment horizontal="center"/>
    </xf>
    <xf numFmtId="0" fontId="13" fillId="0" borderId="12" xfId="0" applyFont="1" applyBorder="1"/>
    <xf numFmtId="0" fontId="13" fillId="0" borderId="13" xfId="0" applyFont="1" applyBorder="1"/>
    <xf numFmtId="166" fontId="13" fillId="0" borderId="14" xfId="0" applyNumberFormat="1" applyFont="1" applyBorder="1"/>
    <xf numFmtId="0" fontId="13" fillId="0" borderId="14" xfId="0" applyFont="1" applyBorder="1"/>
    <xf numFmtId="0" fontId="13" fillId="5" borderId="12" xfId="0" applyFont="1" applyFill="1" applyBorder="1"/>
    <xf numFmtId="0" fontId="13" fillId="5" borderId="0" xfId="0" applyFont="1" applyFill="1"/>
    <xf numFmtId="0" fontId="13" fillId="5" borderId="14" xfId="0" applyFont="1" applyFill="1" applyBorder="1"/>
    <xf numFmtId="0" fontId="13" fillId="5" borderId="15" xfId="0" applyFont="1" applyFill="1" applyBorder="1"/>
    <xf numFmtId="0" fontId="13" fillId="5" borderId="16" xfId="0" applyFont="1" applyFill="1" applyBorder="1"/>
    <xf numFmtId="0" fontId="13" fillId="5" borderId="17" xfId="0" applyFont="1" applyFill="1" applyBorder="1"/>
    <xf numFmtId="167" fontId="13" fillId="0" borderId="0" xfId="0" applyNumberFormat="1" applyFont="1" applyAlignment="1">
      <alignment horizontal="center" vertical="center"/>
    </xf>
    <xf numFmtId="1" fontId="16" fillId="0" borderId="0" xfId="0" applyNumberFormat="1" applyFont="1"/>
    <xf numFmtId="0" fontId="16" fillId="0" borderId="0" xfId="0" applyFont="1"/>
    <xf numFmtId="166" fontId="16" fillId="0" borderId="0" xfId="0" applyNumberFormat="1" applyFont="1" applyAlignment="1">
      <alignment horizontal="right"/>
    </xf>
    <xf numFmtId="0" fontId="12" fillId="0" borderId="0" xfId="0" applyFont="1" applyAlignment="1">
      <alignment horizontal="left" vertical="top"/>
    </xf>
    <xf numFmtId="166" fontId="12" fillId="0" borderId="0" xfId="0" applyNumberFormat="1" applyFont="1" applyAlignment="1">
      <alignment horizontal="left" vertical="top"/>
    </xf>
    <xf numFmtId="0" fontId="19" fillId="0" borderId="21" xfId="0" applyFont="1" applyBorder="1" applyAlignment="1" applyProtection="1">
      <alignment vertical="center"/>
      <protection locked="0"/>
    </xf>
    <xf numFmtId="0" fontId="19" fillId="0" borderId="22" xfId="0" applyFont="1" applyBorder="1" applyAlignment="1" applyProtection="1">
      <alignment vertical="center"/>
      <protection locked="0"/>
    </xf>
    <xf numFmtId="0" fontId="12" fillId="0" borderId="22" xfId="0" applyFont="1" applyBorder="1" applyAlignment="1" applyProtection="1">
      <alignment horizontal="left" vertical="top"/>
      <protection locked="0"/>
    </xf>
    <xf numFmtId="0" fontId="12" fillId="0" borderId="23" xfId="0" applyFont="1" applyBorder="1" applyAlignment="1" applyProtection="1">
      <alignment horizontal="left" vertical="top"/>
      <protection locked="0"/>
    </xf>
    <xf numFmtId="0" fontId="12" fillId="0" borderId="0" xfId="0" applyFont="1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166" fontId="12" fillId="0" borderId="0" xfId="0" applyNumberFormat="1" applyFont="1" applyAlignment="1" applyProtection="1">
      <alignment horizontal="left" vertical="top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top" wrapText="1"/>
      <protection locked="0"/>
    </xf>
    <xf numFmtId="0" fontId="12" fillId="0" borderId="6" xfId="0" applyFont="1" applyBorder="1" applyAlignment="1" applyProtection="1">
      <alignment horizontal="left" vertical="top" wrapText="1"/>
      <protection locked="0"/>
    </xf>
    <xf numFmtId="0" fontId="20" fillId="0" borderId="19" xfId="0" applyFont="1" applyBorder="1" applyAlignment="1" applyProtection="1">
      <alignment horizontal="center" vertical="top" wrapText="1"/>
      <protection locked="0"/>
    </xf>
    <xf numFmtId="0" fontId="12" fillId="0" borderId="6" xfId="0" applyFont="1" applyBorder="1" applyAlignment="1" applyProtection="1">
      <alignment horizontal="left" vertical="top"/>
      <protection locked="0"/>
    </xf>
    <xf numFmtId="166" fontId="12" fillId="0" borderId="6" xfId="0" applyNumberFormat="1" applyFont="1" applyBorder="1" applyAlignment="1" applyProtection="1">
      <alignment horizontal="left" vertical="top"/>
      <protection locked="0"/>
    </xf>
    <xf numFmtId="0" fontId="20" fillId="0" borderId="28" xfId="0" applyFont="1" applyBorder="1" applyAlignment="1" applyProtection="1">
      <alignment horizontal="left" vertical="top" wrapText="1"/>
      <protection locked="0"/>
    </xf>
    <xf numFmtId="0" fontId="20" fillId="0" borderId="29" xfId="0" applyFont="1" applyBorder="1" applyAlignment="1" applyProtection="1">
      <alignment horizontal="left" vertical="top" wrapText="1"/>
      <protection locked="0"/>
    </xf>
    <xf numFmtId="0" fontId="20" fillId="0" borderId="6" xfId="0" applyFont="1" applyBorder="1" applyAlignment="1" applyProtection="1">
      <alignment horizontal="left" vertical="top" wrapText="1"/>
      <protection locked="0"/>
    </xf>
    <xf numFmtId="0" fontId="20" fillId="6" borderId="6" xfId="0" applyFont="1" applyFill="1" applyBorder="1" applyAlignment="1" applyProtection="1">
      <alignment horizontal="center" vertical="top" wrapText="1"/>
      <protection locked="0"/>
    </xf>
    <xf numFmtId="0" fontId="20" fillId="6" borderId="25" xfId="0" applyFont="1" applyFill="1" applyBorder="1" applyAlignment="1" applyProtection="1">
      <alignment horizontal="center" vertical="top" wrapText="1"/>
      <protection locked="0"/>
    </xf>
    <xf numFmtId="0" fontId="23" fillId="0" borderId="6" xfId="0" applyFont="1" applyBorder="1" applyAlignment="1" applyProtection="1">
      <alignment horizontal="center" vertical="top" wrapText="1"/>
      <protection locked="0"/>
    </xf>
    <xf numFmtId="0" fontId="20" fillId="7" borderId="27" xfId="0" applyFont="1" applyFill="1" applyBorder="1" applyAlignment="1" applyProtection="1">
      <alignment horizontal="left" vertical="top" wrapText="1"/>
      <protection locked="0"/>
    </xf>
    <xf numFmtId="0" fontId="20" fillId="7" borderId="30" xfId="0" applyFont="1" applyFill="1" applyBorder="1" applyAlignment="1" applyProtection="1">
      <alignment horizontal="center" vertical="top" wrapText="1"/>
      <protection locked="0"/>
    </xf>
    <xf numFmtId="0" fontId="23" fillId="7" borderId="30" xfId="0" applyFont="1" applyFill="1" applyBorder="1" applyAlignment="1" applyProtection="1">
      <alignment horizontal="center" vertical="top" wrapText="1"/>
      <protection locked="0"/>
    </xf>
    <xf numFmtId="0" fontId="13" fillId="0" borderId="6" xfId="0" applyFont="1" applyBorder="1" applyProtection="1">
      <protection locked="0"/>
    </xf>
    <xf numFmtId="0" fontId="24" fillId="0" borderId="0" xfId="0" applyFont="1" applyProtection="1">
      <protection locked="0"/>
    </xf>
    <xf numFmtId="0" fontId="26" fillId="0" borderId="6" xfId="0" applyFont="1" applyBorder="1" applyAlignment="1" applyProtection="1">
      <alignment horizontal="left" vertical="top" wrapText="1"/>
      <protection locked="0"/>
    </xf>
    <xf numFmtId="2" fontId="27" fillId="0" borderId="6" xfId="0" applyNumberFormat="1" applyFont="1" applyBorder="1" applyAlignment="1" applyProtection="1">
      <alignment horizontal="center" vertical="center"/>
      <protection locked="0"/>
    </xf>
    <xf numFmtId="166" fontId="27" fillId="8" borderId="19" xfId="0" applyNumberFormat="1" applyFont="1" applyFill="1" applyBorder="1" applyAlignment="1" applyProtection="1">
      <alignment horizontal="center" vertical="center"/>
      <protection locked="0"/>
    </xf>
    <xf numFmtId="166" fontId="27" fillId="8" borderId="6" xfId="0" applyNumberFormat="1" applyFont="1" applyFill="1" applyBorder="1" applyAlignment="1" applyProtection="1">
      <alignment horizontal="center" vertical="center"/>
      <protection locked="0"/>
    </xf>
    <xf numFmtId="0" fontId="20" fillId="0" borderId="20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/>
    <xf numFmtId="0" fontId="12" fillId="6" borderId="6" xfId="0" applyFont="1" applyFill="1" applyBorder="1" applyAlignment="1" applyProtection="1">
      <alignment horizontal="left" vertical="top" wrapText="1"/>
      <protection locked="0"/>
    </xf>
    <xf numFmtId="0" fontId="20" fillId="6" borderId="6" xfId="0" applyFont="1" applyFill="1" applyBorder="1" applyAlignment="1" applyProtection="1">
      <alignment horizontal="left" vertical="top" wrapText="1"/>
      <protection locked="0"/>
    </xf>
    <xf numFmtId="0" fontId="12" fillId="6" borderId="25" xfId="0" applyFont="1" applyFill="1" applyBorder="1" applyAlignment="1" applyProtection="1">
      <alignment horizontal="left" vertical="top" wrapText="1"/>
      <protection locked="0"/>
    </xf>
    <xf numFmtId="168" fontId="23" fillId="6" borderId="6" xfId="0" applyNumberFormat="1" applyFont="1" applyFill="1" applyBorder="1" applyAlignment="1">
      <alignment horizontal="left" vertical="top" wrapText="1"/>
    </xf>
    <xf numFmtId="169" fontId="20" fillId="6" borderId="6" xfId="0" applyNumberFormat="1" applyFont="1" applyFill="1" applyBorder="1" applyAlignment="1">
      <alignment horizontal="left" vertical="top" wrapText="1"/>
    </xf>
    <xf numFmtId="168" fontId="23" fillId="0" borderId="6" xfId="0" applyNumberFormat="1" applyFont="1" applyBorder="1" applyAlignment="1" applyProtection="1">
      <alignment horizontal="center" vertical="top" wrapText="1"/>
      <protection locked="0"/>
    </xf>
    <xf numFmtId="168" fontId="23" fillId="0" borderId="6" xfId="0" applyNumberFormat="1" applyFont="1" applyBorder="1" applyAlignment="1">
      <alignment horizontal="left" vertical="top" wrapText="1"/>
    </xf>
    <xf numFmtId="169" fontId="28" fillId="9" borderId="6" xfId="0" applyNumberFormat="1" applyFont="1" applyFill="1" applyBorder="1" applyAlignment="1">
      <alignment horizontal="left" vertical="top" wrapText="1"/>
    </xf>
    <xf numFmtId="169" fontId="28" fillId="9" borderId="19" xfId="0" applyNumberFormat="1" applyFont="1" applyFill="1" applyBorder="1" applyAlignment="1">
      <alignment horizontal="left" vertical="top" wrapText="1"/>
    </xf>
    <xf numFmtId="1" fontId="20" fillId="7" borderId="8" xfId="0" applyNumberFormat="1" applyFont="1" applyFill="1" applyBorder="1" applyAlignment="1">
      <alignment horizontal="center" vertical="center" wrapText="1"/>
    </xf>
    <xf numFmtId="1" fontId="20" fillId="7" borderId="6" xfId="0" applyNumberFormat="1" applyFont="1" applyFill="1" applyBorder="1" applyAlignment="1">
      <alignment horizontal="center" vertical="center" wrapText="1"/>
    </xf>
    <xf numFmtId="168" fontId="23" fillId="7" borderId="5" xfId="0" applyNumberFormat="1" applyFont="1" applyFill="1" applyBorder="1" applyAlignment="1">
      <alignment horizontal="left" vertical="top" wrapText="1"/>
    </xf>
    <xf numFmtId="169" fontId="28" fillId="9" borderId="7" xfId="0" applyNumberFormat="1" applyFont="1" applyFill="1" applyBorder="1" applyAlignment="1">
      <alignment horizontal="left" vertical="top" wrapText="1"/>
    </xf>
    <xf numFmtId="168" fontId="23" fillId="0" borderId="19" xfId="0" applyNumberFormat="1" applyFont="1" applyBorder="1" applyAlignment="1" applyProtection="1">
      <alignment horizontal="center" vertical="top" wrapText="1"/>
      <protection locked="0"/>
    </xf>
    <xf numFmtId="0" fontId="12" fillId="0" borderId="6" xfId="0" applyFont="1" applyBorder="1" applyAlignment="1">
      <alignment horizontal="left" vertical="top"/>
    </xf>
    <xf numFmtId="166" fontId="12" fillId="0" borderId="6" xfId="0" applyNumberFormat="1" applyFont="1" applyBorder="1" applyAlignment="1">
      <alignment horizontal="left" vertical="top"/>
    </xf>
    <xf numFmtId="2" fontId="27" fillId="0" borderId="30" xfId="0" applyNumberFormat="1" applyFont="1" applyBorder="1" applyAlignment="1" applyProtection="1">
      <alignment horizontal="center" vertical="center"/>
      <protection locked="0"/>
    </xf>
    <xf numFmtId="166" fontId="27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12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6" fontId="12" fillId="0" borderId="14" xfId="0" applyNumberFormat="1" applyFont="1" applyBorder="1" applyAlignment="1">
      <alignment horizontal="center" vertical="center"/>
    </xf>
    <xf numFmtId="2" fontId="27" fillId="0" borderId="6" xfId="0" applyNumberFormat="1" applyFont="1" applyBorder="1" applyAlignment="1" applyProtection="1">
      <alignment horizontal="center" vertical="center" wrapText="1"/>
      <protection locked="0"/>
    </xf>
    <xf numFmtId="166" fontId="27" fillId="0" borderId="19" xfId="0" applyNumberFormat="1" applyFont="1" applyBorder="1" applyAlignment="1" applyProtection="1">
      <alignment horizontal="center" vertical="center" wrapText="1"/>
      <protection locked="0"/>
    </xf>
    <xf numFmtId="166" fontId="27" fillId="0" borderId="6" xfId="0" applyNumberFormat="1" applyFont="1" applyBorder="1" applyAlignment="1" applyProtection="1">
      <alignment horizontal="center" vertical="center" wrapText="1"/>
      <protection locked="0"/>
    </xf>
    <xf numFmtId="166" fontId="0" fillId="0" borderId="0" xfId="0" applyNumberFormat="1" applyProtection="1">
      <protection locked="0"/>
    </xf>
    <xf numFmtId="2" fontId="27" fillId="0" borderId="31" xfId="0" applyNumberFormat="1" applyFont="1" applyBorder="1" applyAlignment="1" applyProtection="1">
      <alignment horizontal="center" vertical="center"/>
      <protection locked="0"/>
    </xf>
    <xf numFmtId="166" fontId="27" fillId="0" borderId="32" xfId="0" applyNumberFormat="1" applyFont="1" applyBorder="1" applyAlignment="1" applyProtection="1">
      <alignment horizontal="center" vertical="center"/>
      <protection locked="0"/>
    </xf>
    <xf numFmtId="2" fontId="20" fillId="0" borderId="6" xfId="0" applyNumberFormat="1" applyFont="1" applyBorder="1" applyAlignment="1" applyProtection="1">
      <alignment horizontal="center" vertical="center"/>
      <protection locked="0"/>
    </xf>
    <xf numFmtId="166" fontId="27" fillId="0" borderId="19" xfId="0" applyNumberFormat="1" applyFont="1" applyBorder="1" applyAlignment="1" applyProtection="1">
      <alignment horizontal="center" vertical="center"/>
      <protection locked="0"/>
    </xf>
    <xf numFmtId="1" fontId="12" fillId="0" borderId="0" xfId="0" applyNumberFormat="1" applyFont="1" applyAlignment="1" applyProtection="1">
      <alignment horizontal="center" vertical="center"/>
      <protection locked="0"/>
    </xf>
    <xf numFmtId="2" fontId="27" fillId="8" borderId="6" xfId="0" applyNumberFormat="1" applyFont="1" applyFill="1" applyBorder="1" applyAlignment="1" applyProtection="1">
      <alignment horizontal="center" vertical="center"/>
      <protection locked="0"/>
    </xf>
    <xf numFmtId="0" fontId="12" fillId="0" borderId="15" xfId="0" applyFont="1" applyBorder="1" applyAlignment="1" applyProtection="1">
      <alignment horizontal="left" vertical="top"/>
      <protection locked="0"/>
    </xf>
    <xf numFmtId="0" fontId="12" fillId="0" borderId="16" xfId="0" applyFont="1" applyBorder="1" applyAlignment="1" applyProtection="1">
      <alignment horizontal="left" vertical="top"/>
      <protection locked="0"/>
    </xf>
    <xf numFmtId="166" fontId="12" fillId="10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20" fillId="0" borderId="30" xfId="0" applyFont="1" applyBorder="1" applyAlignment="1" applyProtection="1">
      <alignment horizontal="center" vertical="top" wrapText="1"/>
      <protection locked="0"/>
    </xf>
    <xf numFmtId="168" fontId="23" fillId="0" borderId="30" xfId="0" applyNumberFormat="1" applyFont="1" applyBorder="1" applyAlignment="1" applyProtection="1">
      <alignment horizontal="center" vertical="top" wrapText="1"/>
      <protection locked="0"/>
    </xf>
    <xf numFmtId="0" fontId="21" fillId="0" borderId="33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0" fontId="12" fillId="6" borderId="30" xfId="0" applyFont="1" applyFill="1" applyBorder="1" applyAlignment="1" applyProtection="1">
      <alignment horizontal="left" vertical="top" wrapText="1"/>
      <protection locked="0"/>
    </xf>
    <xf numFmtId="0" fontId="20" fillId="6" borderId="30" xfId="0" applyFont="1" applyFill="1" applyBorder="1" applyAlignment="1" applyProtection="1">
      <alignment horizontal="left" vertical="top" wrapText="1"/>
      <protection locked="0"/>
    </xf>
    <xf numFmtId="0" fontId="12" fillId="6" borderId="34" xfId="0" applyFont="1" applyFill="1" applyBorder="1" applyAlignment="1" applyProtection="1">
      <alignment horizontal="left" vertical="top" wrapText="1"/>
      <protection locked="0"/>
    </xf>
    <xf numFmtId="168" fontId="23" fillId="0" borderId="6" xfId="0" applyNumberFormat="1" applyFont="1" applyBorder="1" applyAlignment="1" applyProtection="1">
      <alignment horizontal="center" vertical="center" wrapText="1"/>
      <protection locked="0"/>
    </xf>
    <xf numFmtId="168" fontId="23" fillId="0" borderId="24" xfId="0" applyNumberFormat="1" applyFont="1" applyBorder="1" applyAlignment="1" applyProtection="1">
      <alignment horizontal="center" vertical="top" wrapText="1"/>
      <protection locked="0"/>
    </xf>
    <xf numFmtId="170" fontId="26" fillId="0" borderId="6" xfId="0" applyNumberFormat="1" applyFont="1" applyBorder="1" applyAlignment="1" applyProtection="1">
      <alignment horizontal="center" vertical="center" wrapText="1"/>
      <protection locked="0"/>
    </xf>
    <xf numFmtId="170" fontId="23" fillId="0" borderId="6" xfId="0" applyNumberFormat="1" applyFont="1" applyBorder="1" applyAlignment="1" applyProtection="1">
      <alignment horizontal="center" vertical="center" wrapText="1"/>
      <protection locked="0"/>
    </xf>
    <xf numFmtId="169" fontId="26" fillId="0" borderId="19" xfId="0" applyNumberFormat="1" applyFont="1" applyBorder="1" applyAlignment="1" applyProtection="1">
      <alignment horizontal="center" vertical="center" wrapText="1"/>
      <protection locked="0"/>
    </xf>
    <xf numFmtId="169" fontId="26" fillId="0" borderId="6" xfId="0" applyNumberFormat="1" applyFont="1" applyBorder="1" applyAlignment="1" applyProtection="1">
      <alignment horizontal="center" vertical="center" wrapText="1"/>
      <protection locked="0"/>
    </xf>
    <xf numFmtId="0" fontId="12" fillId="10" borderId="24" xfId="0" applyFont="1" applyFill="1" applyBorder="1" applyAlignment="1" applyProtection="1">
      <alignment horizontal="left" vertical="top" wrapText="1"/>
      <protection locked="0"/>
    </xf>
    <xf numFmtId="170" fontId="12" fillId="10" borderId="30" xfId="0" applyNumberFormat="1" applyFont="1" applyFill="1" applyBorder="1" applyAlignment="1">
      <alignment horizontal="left" vertical="top" wrapText="1"/>
    </xf>
    <xf numFmtId="169" fontId="12" fillId="10" borderId="30" xfId="0" applyNumberFormat="1" applyFont="1" applyFill="1" applyBorder="1" applyAlignment="1">
      <alignment horizontal="left" vertical="top" wrapText="1"/>
    </xf>
    <xf numFmtId="169" fontId="12" fillId="10" borderId="36" xfId="0" applyNumberFormat="1" applyFont="1" applyFill="1" applyBorder="1" applyAlignment="1">
      <alignment horizontal="left" vertical="top" wrapText="1"/>
    </xf>
    <xf numFmtId="168" fontId="20" fillId="0" borderId="20" xfId="0" applyNumberFormat="1" applyFont="1" applyBorder="1" applyAlignment="1">
      <alignment horizontal="center" vertical="center" wrapText="1"/>
    </xf>
    <xf numFmtId="168" fontId="26" fillId="0" borderId="20" xfId="0" applyNumberFormat="1" applyFont="1" applyBorder="1" applyAlignment="1" applyProtection="1">
      <alignment horizontal="center" vertical="top" wrapText="1"/>
      <protection locked="0"/>
    </xf>
    <xf numFmtId="0" fontId="12" fillId="8" borderId="12" xfId="0" applyFont="1" applyFill="1" applyBorder="1" applyAlignment="1" applyProtection="1">
      <alignment horizontal="left" vertical="top" wrapText="1"/>
      <protection locked="0"/>
    </xf>
    <xf numFmtId="0" fontId="12" fillId="8" borderId="20" xfId="0" applyFont="1" applyFill="1" applyBorder="1" applyAlignment="1" applyProtection="1">
      <alignment horizontal="left" vertical="top"/>
      <protection locked="0"/>
    </xf>
    <xf numFmtId="0" fontId="12" fillId="8" borderId="37" xfId="0" applyFont="1" applyFill="1" applyBorder="1" applyAlignment="1" applyProtection="1">
      <alignment horizontal="left" vertical="top"/>
      <protection locked="0"/>
    </xf>
    <xf numFmtId="0" fontId="13" fillId="0" borderId="0" xfId="0" applyFont="1" applyProtection="1">
      <protection locked="0"/>
    </xf>
    <xf numFmtId="0" fontId="12" fillId="10" borderId="35" xfId="0" applyFont="1" applyFill="1" applyBorder="1" applyAlignment="1" applyProtection="1">
      <alignment horizontal="left" vertical="top" wrapText="1"/>
      <protection locked="0"/>
    </xf>
    <xf numFmtId="170" fontId="12" fillId="10" borderId="38" xfId="0" applyNumberFormat="1" applyFont="1" applyFill="1" applyBorder="1" applyAlignment="1">
      <alignment horizontal="left" vertical="top" wrapText="1"/>
    </xf>
    <xf numFmtId="169" fontId="12" fillId="10" borderId="38" xfId="0" applyNumberFormat="1" applyFont="1" applyFill="1" applyBorder="1" applyAlignment="1">
      <alignment horizontal="left" vertical="top" wrapText="1"/>
    </xf>
    <xf numFmtId="169" fontId="12" fillId="10" borderId="39" xfId="0" applyNumberFormat="1" applyFont="1" applyFill="1" applyBorder="1" applyAlignment="1">
      <alignment horizontal="left" vertical="top" wrapText="1"/>
    </xf>
    <xf numFmtId="0" fontId="20" fillId="11" borderId="24" xfId="0" applyFont="1" applyFill="1" applyBorder="1" applyAlignment="1" applyProtection="1">
      <alignment horizontal="center" vertical="center" wrapText="1"/>
      <protection locked="0"/>
    </xf>
    <xf numFmtId="0" fontId="20" fillId="0" borderId="30" xfId="0" applyFont="1" applyBorder="1"/>
    <xf numFmtId="168" fontId="12" fillId="6" borderId="30" xfId="0" applyNumberFormat="1" applyFont="1" applyFill="1" applyBorder="1" applyAlignment="1" applyProtection="1">
      <alignment horizontal="center" vertical="center" wrapText="1"/>
      <protection locked="0"/>
    </xf>
    <xf numFmtId="168" fontId="23" fillId="6" borderId="30" xfId="0" applyNumberFormat="1" applyFont="1" applyFill="1" applyBorder="1" applyAlignment="1">
      <alignment horizontal="left" vertical="top" wrapText="1"/>
    </xf>
    <xf numFmtId="169" fontId="20" fillId="6" borderId="30" xfId="0" applyNumberFormat="1" applyFont="1" applyFill="1" applyBorder="1" applyAlignment="1">
      <alignment horizontal="left" vertical="top" wrapText="1"/>
    </xf>
    <xf numFmtId="168" fontId="12" fillId="11" borderId="36" xfId="0" applyNumberFormat="1" applyFont="1" applyFill="1" applyBorder="1" applyAlignment="1">
      <alignment horizontal="center" vertical="center" wrapText="1"/>
    </xf>
    <xf numFmtId="0" fontId="12" fillId="11" borderId="30" xfId="0" applyFont="1" applyFill="1" applyBorder="1" applyAlignment="1" applyProtection="1">
      <alignment horizontal="center" vertical="center" wrapText="1"/>
      <protection locked="0"/>
    </xf>
    <xf numFmtId="0" fontId="12" fillId="11" borderId="30" xfId="0" applyFont="1" applyFill="1" applyBorder="1" applyAlignment="1" applyProtection="1">
      <alignment horizontal="left" vertical="top" wrapText="1"/>
      <protection locked="0"/>
    </xf>
    <xf numFmtId="0" fontId="12" fillId="11" borderId="24" xfId="0" applyFont="1" applyFill="1" applyBorder="1" applyAlignment="1" applyProtection="1">
      <alignment horizontal="left" vertical="top" wrapText="1"/>
      <protection locked="0"/>
    </xf>
    <xf numFmtId="168" fontId="12" fillId="11" borderId="27" xfId="0" applyNumberFormat="1" applyFont="1" applyFill="1" applyBorder="1" applyAlignment="1">
      <alignment horizontal="center" vertical="center" wrapText="1"/>
    </xf>
    <xf numFmtId="0" fontId="12" fillId="11" borderId="6" xfId="0" applyFont="1" applyFill="1" applyBorder="1" applyAlignment="1" applyProtection="1">
      <alignment horizontal="left" vertical="top"/>
      <protection locked="0"/>
    </xf>
    <xf numFmtId="0" fontId="12" fillId="11" borderId="7" xfId="0" applyFont="1" applyFill="1" applyBorder="1" applyAlignment="1" applyProtection="1">
      <alignment horizontal="left" vertical="top"/>
      <protection locked="0"/>
    </xf>
    <xf numFmtId="166" fontId="13" fillId="10" borderId="6" xfId="0" applyNumberFormat="1" applyFont="1" applyFill="1" applyBorder="1"/>
    <xf numFmtId="166" fontId="12" fillId="10" borderId="11" xfId="0" applyNumberFormat="1" applyFont="1" applyFill="1" applyBorder="1" applyAlignment="1" applyProtection="1">
      <alignment horizontal="center" vertical="center"/>
      <protection locked="0"/>
    </xf>
    <xf numFmtId="168" fontId="12" fillId="0" borderId="30" xfId="0" applyNumberFormat="1" applyFont="1" applyBorder="1" applyAlignment="1">
      <alignment horizontal="center" vertical="center" wrapText="1"/>
    </xf>
    <xf numFmtId="166" fontId="0" fillId="10" borderId="0" xfId="0" applyNumberFormat="1" applyFill="1" applyAlignment="1">
      <alignment horizontal="left"/>
    </xf>
    <xf numFmtId="168" fontId="12" fillId="0" borderId="6" xfId="0" applyNumberFormat="1" applyFont="1" applyBorder="1" applyAlignment="1">
      <alignment horizontal="center" vertical="center" wrapText="1"/>
    </xf>
    <xf numFmtId="2" fontId="0" fillId="0" borderId="0" xfId="0" applyNumberFormat="1" applyProtection="1">
      <protection locked="0"/>
    </xf>
    <xf numFmtId="166" fontId="0" fillId="0" borderId="0" xfId="0" applyNumberFormat="1"/>
    <xf numFmtId="0" fontId="20" fillId="0" borderId="19" xfId="0" applyFont="1" applyBorder="1" applyAlignment="1">
      <alignment horizontal="center" vertical="top" wrapText="1"/>
    </xf>
    <xf numFmtId="0" fontId="13" fillId="0" borderId="6" xfId="0" applyFont="1" applyBorder="1"/>
    <xf numFmtId="0" fontId="24" fillId="0" borderId="0" xfId="0" applyFont="1"/>
    <xf numFmtId="0" fontId="20" fillId="0" borderId="6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168" fontId="23" fillId="0" borderId="6" xfId="0" applyNumberFormat="1" applyFont="1" applyBorder="1" applyAlignment="1">
      <alignment horizontal="center" vertical="top" wrapText="1"/>
    </xf>
    <xf numFmtId="0" fontId="12" fillId="0" borderId="6" xfId="0" applyFont="1" applyBorder="1" applyAlignment="1">
      <alignment horizontal="left" vertical="top" wrapText="1"/>
    </xf>
    <xf numFmtId="168" fontId="23" fillId="0" borderId="19" xfId="0" applyNumberFormat="1" applyFon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0" borderId="15" xfId="0" applyFont="1" applyBorder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21" fillId="0" borderId="3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68" fontId="23" fillId="0" borderId="30" xfId="0" applyNumberFormat="1" applyFont="1" applyBorder="1" applyAlignment="1">
      <alignment horizontal="center" vertical="top" wrapText="1"/>
    </xf>
    <xf numFmtId="0" fontId="20" fillId="0" borderId="30" xfId="0" applyFont="1" applyBorder="1" applyAlignment="1">
      <alignment horizontal="center" vertical="top" wrapText="1"/>
    </xf>
    <xf numFmtId="168" fontId="23" fillId="0" borderId="24" xfId="0" applyNumberFormat="1" applyFont="1" applyBorder="1" applyAlignment="1">
      <alignment horizontal="center" vertical="top" wrapText="1"/>
    </xf>
    <xf numFmtId="0" fontId="31" fillId="0" borderId="0" xfId="0" applyFont="1"/>
    <xf numFmtId="2" fontId="0" fillId="0" borderId="0" xfId="0" applyNumberFormat="1"/>
    <xf numFmtId="0" fontId="19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left" vertical="top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top" wrapText="1"/>
      <protection locked="0"/>
    </xf>
    <xf numFmtId="0" fontId="20" fillId="0" borderId="0" xfId="0" applyFont="1" applyAlignment="1" applyProtection="1">
      <alignment horizontal="left" vertical="top" wrapText="1"/>
      <protection locked="0"/>
    </xf>
    <xf numFmtId="165" fontId="15" fillId="0" borderId="0" xfId="0" applyNumberFormat="1" applyFont="1" applyAlignment="1" applyProtection="1">
      <alignment horizontal="left" vertical="top" wrapText="1"/>
      <protection locked="0"/>
    </xf>
    <xf numFmtId="2" fontId="20" fillId="0" borderId="0" xfId="0" applyNumberFormat="1" applyFont="1" applyAlignment="1" applyProtection="1">
      <alignment horizontal="center" vertic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/>
    <xf numFmtId="168" fontId="20" fillId="0" borderId="0" xfId="0" applyNumberFormat="1" applyFont="1" applyAlignment="1">
      <alignment horizontal="left" vertical="top" wrapText="1"/>
    </xf>
    <xf numFmtId="169" fontId="20" fillId="0" borderId="0" xfId="0" applyNumberFormat="1" applyFont="1" applyAlignment="1">
      <alignment horizontal="left" vertical="top" wrapText="1"/>
    </xf>
    <xf numFmtId="168" fontId="20" fillId="0" borderId="0" xfId="0" applyNumberFormat="1" applyFont="1" applyAlignment="1" applyProtection="1">
      <alignment horizontal="center" vertical="top" wrapText="1"/>
      <protection locked="0"/>
    </xf>
    <xf numFmtId="1" fontId="20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 applyProtection="1">
      <alignment horizontal="center" vertical="center" wrapText="1"/>
      <protection locked="0"/>
    </xf>
    <xf numFmtId="166" fontId="20" fillId="0" borderId="0" xfId="0" applyNumberFormat="1" applyFont="1" applyAlignment="1" applyProtection="1">
      <alignment horizontal="center" vertical="center" wrapText="1"/>
      <protection locked="0"/>
    </xf>
    <xf numFmtId="168" fontId="20" fillId="0" borderId="0" xfId="0" applyNumberFormat="1" applyFont="1" applyAlignment="1" applyProtection="1">
      <alignment horizontal="center" vertical="center" wrapText="1"/>
      <protection locked="0"/>
    </xf>
    <xf numFmtId="170" fontId="20" fillId="0" borderId="0" xfId="0" applyNumberFormat="1" applyFont="1" applyAlignment="1" applyProtection="1">
      <alignment horizontal="center" vertical="center" wrapText="1"/>
      <protection locked="0"/>
    </xf>
    <xf numFmtId="169" fontId="20" fillId="0" borderId="0" xfId="0" applyNumberFormat="1" applyFont="1" applyAlignment="1" applyProtection="1">
      <alignment horizontal="center" vertical="center" wrapText="1"/>
      <protection locked="0"/>
    </xf>
    <xf numFmtId="170" fontId="20" fillId="0" borderId="0" xfId="0" applyNumberFormat="1" applyFont="1" applyAlignment="1">
      <alignment horizontal="left" vertical="top" wrapText="1"/>
    </xf>
    <xf numFmtId="168" fontId="20" fillId="0" borderId="0" xfId="0" applyNumberFormat="1" applyFont="1" applyAlignment="1">
      <alignment horizontal="center" vertical="center" wrapText="1"/>
    </xf>
    <xf numFmtId="168" fontId="20" fillId="0" borderId="0" xfId="0" applyNumberFormat="1" applyFont="1" applyAlignment="1" applyProtection="1">
      <alignment horizontal="left" vertical="top" wrapText="1"/>
      <protection locked="0"/>
    </xf>
    <xf numFmtId="169" fontId="20" fillId="0" borderId="0" xfId="0" applyNumberFormat="1" applyFont="1" applyAlignment="1" applyProtection="1">
      <alignment horizontal="left" vertical="top" wrapText="1"/>
      <protection locked="0"/>
    </xf>
    <xf numFmtId="0" fontId="20" fillId="0" borderId="0" xfId="0" applyFont="1" applyAlignment="1">
      <alignment horizontal="center" vertical="center" wrapText="1"/>
    </xf>
    <xf numFmtId="169" fontId="20" fillId="0" borderId="0" xfId="0" applyNumberFormat="1" applyFont="1" applyAlignment="1">
      <alignment horizontal="center" vertical="center" wrapText="1"/>
    </xf>
    <xf numFmtId="0" fontId="0" fillId="0" borderId="6" xfId="0" applyBorder="1"/>
    <xf numFmtId="0" fontId="35" fillId="0" borderId="6" xfId="0" applyFont="1" applyBorder="1" applyAlignment="1">
      <alignment horizontal="center" vertical="center"/>
    </xf>
    <xf numFmtId="0" fontId="35" fillId="10" borderId="6" xfId="0" applyFont="1" applyFill="1" applyBorder="1" applyAlignment="1">
      <alignment horizontal="center"/>
    </xf>
    <xf numFmtId="0" fontId="0" fillId="0" borderId="30" xfId="0" applyBorder="1"/>
    <xf numFmtId="0" fontId="35" fillId="0" borderId="30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/>
    </xf>
    <xf numFmtId="165" fontId="25" fillId="0" borderId="8" xfId="0" applyNumberFormat="1" applyFont="1" applyBorder="1" applyAlignment="1">
      <alignment horizontal="left" vertical="top" wrapText="1"/>
    </xf>
    <xf numFmtId="0" fontId="26" fillId="0" borderId="6" xfId="0" applyFont="1" applyBorder="1" applyAlignment="1">
      <alignment horizontal="left" vertical="top" wrapText="1"/>
    </xf>
    <xf numFmtId="2" fontId="27" fillId="0" borderId="6" xfId="0" applyNumberFormat="1" applyFont="1" applyBorder="1" applyAlignment="1">
      <alignment horizontal="center"/>
    </xf>
    <xf numFmtId="166" fontId="27" fillId="0" borderId="6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166" fontId="0" fillId="8" borderId="40" xfId="0" applyNumberFormat="1" applyFill="1" applyBorder="1" applyAlignment="1">
      <alignment horizontal="center"/>
    </xf>
    <xf numFmtId="0" fontId="12" fillId="0" borderId="8" xfId="0" applyFont="1" applyBorder="1" applyAlignment="1">
      <alignment horizontal="left" vertical="top" wrapText="1"/>
    </xf>
    <xf numFmtId="0" fontId="20" fillId="0" borderId="27" xfId="0" applyFont="1" applyBorder="1" applyAlignment="1">
      <alignment horizontal="left" vertical="top" wrapText="1"/>
    </xf>
    <xf numFmtId="2" fontId="20" fillId="0" borderId="6" xfId="0" applyNumberFormat="1" applyFont="1" applyBorder="1" applyAlignment="1">
      <alignment horizontal="center"/>
    </xf>
    <xf numFmtId="166" fontId="20" fillId="0" borderId="6" xfId="0" applyNumberFormat="1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1" fontId="37" fillId="0" borderId="6" xfId="0" applyNumberFormat="1" applyFont="1" applyBorder="1" applyAlignment="1">
      <alignment horizontal="center"/>
    </xf>
    <xf numFmtId="166" fontId="37" fillId="0" borderId="6" xfId="0" applyNumberFormat="1" applyFont="1" applyBorder="1" applyAlignment="1">
      <alignment horizontal="center" vertical="center"/>
    </xf>
    <xf numFmtId="168" fontId="20" fillId="0" borderId="6" xfId="0" applyNumberFormat="1" applyFont="1" applyBorder="1" applyAlignment="1">
      <alignment horizontal="center" vertical="top" wrapText="1"/>
    </xf>
    <xf numFmtId="168" fontId="20" fillId="0" borderId="6" xfId="0" applyNumberFormat="1" applyFont="1" applyBorder="1" applyAlignment="1">
      <alignment horizontal="left" vertical="top" wrapText="1"/>
    </xf>
    <xf numFmtId="166" fontId="37" fillId="8" borderId="40" xfId="0" applyNumberFormat="1" applyFont="1" applyFill="1" applyBorder="1" applyAlignment="1">
      <alignment horizontal="center"/>
    </xf>
    <xf numFmtId="14" fontId="31" fillId="0" borderId="41" xfId="0" applyNumberFormat="1" applyFont="1" applyBorder="1" applyAlignment="1">
      <alignment horizontal="center"/>
    </xf>
    <xf numFmtId="168" fontId="20" fillId="0" borderId="5" xfId="0" applyNumberFormat="1" applyFont="1" applyBorder="1" applyAlignment="1">
      <alignment horizontal="center" vertical="top" wrapText="1"/>
    </xf>
    <xf numFmtId="0" fontId="0" fillId="0" borderId="12" xfId="0" applyBorder="1"/>
    <xf numFmtId="2" fontId="0" fillId="8" borderId="42" xfId="0" applyNumberFormat="1" applyFill="1" applyBorder="1" applyAlignment="1">
      <alignment horizontal="center"/>
    </xf>
    <xf numFmtId="2" fontId="0" fillId="8" borderId="31" xfId="0" applyNumberFormat="1" applyFill="1" applyBorder="1" applyAlignment="1">
      <alignment horizontal="center"/>
    </xf>
    <xf numFmtId="166" fontId="0" fillId="8" borderId="31" xfId="0" applyNumberFormat="1" applyFill="1" applyBorder="1" applyAlignment="1">
      <alignment horizontal="center"/>
    </xf>
    <xf numFmtId="166" fontId="0" fillId="8" borderId="32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166" fontId="0" fillId="12" borderId="6" xfId="0" applyNumberFormat="1" applyFill="1" applyBorder="1" applyAlignment="1">
      <alignment horizontal="center" vertical="center"/>
    </xf>
    <xf numFmtId="1" fontId="35" fillId="8" borderId="6" xfId="0" applyNumberFormat="1" applyFont="1" applyFill="1" applyBorder="1" applyAlignment="1">
      <alignment horizontal="center"/>
    </xf>
    <xf numFmtId="166" fontId="0" fillId="0" borderId="7" xfId="0" applyNumberFormat="1" applyBorder="1" applyAlignment="1">
      <alignment horizontal="center" vertical="center"/>
    </xf>
    <xf numFmtId="14" fontId="0" fillId="0" borderId="41" xfId="0" applyNumberFormat="1" applyBorder="1" applyAlignment="1">
      <alignment horizontal="center"/>
    </xf>
    <xf numFmtId="2" fontId="0" fillId="8" borderId="6" xfId="0" applyNumberFormat="1" applyFill="1" applyBorder="1" applyAlignment="1">
      <alignment horizontal="center"/>
    </xf>
    <xf numFmtId="166" fontId="0" fillId="8" borderId="6" xfId="0" applyNumberFormat="1" applyFill="1" applyBorder="1" applyAlignment="1">
      <alignment horizontal="center"/>
    </xf>
    <xf numFmtId="166" fontId="35" fillId="10" borderId="6" xfId="0" applyNumberFormat="1" applyFont="1" applyFill="1" applyBorder="1" applyAlignment="1">
      <alignment horizontal="center" vertical="center"/>
    </xf>
    <xf numFmtId="1" fontId="35" fillId="0" borderId="6" xfId="0" applyNumberFormat="1" applyFont="1" applyBorder="1" applyAlignment="1">
      <alignment horizontal="center"/>
    </xf>
    <xf numFmtId="0" fontId="0" fillId="0" borderId="10" xfId="0" applyBorder="1"/>
    <xf numFmtId="0" fontId="39" fillId="0" borderId="6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165" fontId="15" fillId="0" borderId="0" xfId="0" applyNumberFormat="1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2" fontId="20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/>
    </xf>
    <xf numFmtId="1" fontId="31" fillId="0" borderId="0" xfId="0" applyNumberFormat="1" applyFont="1" applyAlignment="1">
      <alignment horizontal="center"/>
    </xf>
    <xf numFmtId="166" fontId="31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top" wrapText="1"/>
    </xf>
    <xf numFmtId="166" fontId="31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166" fontId="37" fillId="0" borderId="0" xfId="0" applyNumberFormat="1" applyFont="1" applyAlignment="1">
      <alignment horizontal="center" vertical="center"/>
    </xf>
    <xf numFmtId="166" fontId="37" fillId="0" borderId="0" xfId="0" applyNumberFormat="1" applyFont="1" applyAlignment="1">
      <alignment horizontal="center"/>
    </xf>
    <xf numFmtId="14" fontId="31" fillId="0" borderId="0" xfId="0" applyNumberFormat="1" applyFont="1" applyAlignment="1">
      <alignment horizontal="center"/>
    </xf>
    <xf numFmtId="2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" fontId="39" fillId="0" borderId="0" xfId="0" applyNumberFormat="1" applyFont="1" applyAlignment="1">
      <alignment horizontal="center"/>
    </xf>
    <xf numFmtId="166" fontId="39" fillId="0" borderId="0" xfId="0" applyNumberFormat="1" applyFont="1" applyAlignment="1">
      <alignment horizontal="center" vertical="center"/>
    </xf>
    <xf numFmtId="172" fontId="0" fillId="0" borderId="0" xfId="0" applyNumberFormat="1"/>
    <xf numFmtId="166" fontId="44" fillId="9" borderId="6" xfId="0" applyNumberFormat="1" applyFont="1" applyFill="1" applyBorder="1"/>
    <xf numFmtId="1" fontId="44" fillId="9" borderId="6" xfId="0" applyNumberFormat="1" applyFont="1" applyFill="1" applyBorder="1" applyAlignment="1">
      <alignment horizontal="center" vertical="center"/>
    </xf>
    <xf numFmtId="166" fontId="45" fillId="0" borderId="6" xfId="0" applyNumberFormat="1" applyFont="1" applyBorder="1"/>
    <xf numFmtId="166" fontId="46" fillId="0" borderId="6" xfId="0" applyNumberFormat="1" applyFont="1" applyBorder="1"/>
    <xf numFmtId="166" fontId="24" fillId="13" borderId="6" xfId="0" applyNumberFormat="1" applyFont="1" applyFill="1" applyBorder="1" applyAlignment="1">
      <alignment horizontal="center" vertical="center" wrapText="1"/>
    </xf>
    <xf numFmtId="166" fontId="24" fillId="13" borderId="6" xfId="0" applyNumberFormat="1" applyFont="1" applyFill="1" applyBorder="1" applyAlignment="1">
      <alignment horizontal="center" vertical="center"/>
    </xf>
    <xf numFmtId="166" fontId="24" fillId="0" borderId="6" xfId="0" applyNumberFormat="1" applyFont="1" applyBorder="1" applyAlignment="1">
      <alignment horizontal="center" vertical="center"/>
    </xf>
    <xf numFmtId="166" fontId="47" fillId="0" borderId="6" xfId="0" applyNumberFormat="1" applyFont="1" applyBorder="1" applyAlignment="1">
      <alignment horizontal="center" vertical="center"/>
    </xf>
    <xf numFmtId="166" fontId="47" fillId="0" borderId="6" xfId="0" applyNumberFormat="1" applyFont="1" applyBorder="1" applyAlignment="1">
      <alignment horizontal="center" vertical="center" wrapText="1"/>
    </xf>
    <xf numFmtId="166" fontId="34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35" fillId="0" borderId="0" xfId="0" applyNumberFormat="1" applyFont="1" applyAlignment="1">
      <alignment horizontal="center" vertical="center"/>
    </xf>
    <xf numFmtId="172" fontId="0" fillId="0" borderId="6" xfId="0" applyNumberFormat="1" applyBorder="1"/>
    <xf numFmtId="166" fontId="0" fillId="13" borderId="6" xfId="0" applyNumberFormat="1" applyFill="1" applyBorder="1"/>
    <xf numFmtId="166" fontId="0" fillId="0" borderId="6" xfId="0" applyNumberFormat="1" applyBorder="1"/>
    <xf numFmtId="1" fontId="31" fillId="0" borderId="6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8" fillId="4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31" fillId="0" borderId="30" xfId="0" applyNumberFormat="1" applyFont="1" applyBorder="1" applyAlignment="1">
      <alignment horizontal="center" vertical="center"/>
    </xf>
    <xf numFmtId="1" fontId="31" fillId="0" borderId="45" xfId="0" applyNumberFormat="1" applyFont="1" applyBorder="1" applyAlignment="1">
      <alignment horizontal="center" vertical="center"/>
    </xf>
    <xf numFmtId="2" fontId="31" fillId="0" borderId="46" xfId="0" applyNumberFormat="1" applyFont="1" applyBorder="1" applyAlignment="1">
      <alignment horizontal="center" vertical="center"/>
    </xf>
    <xf numFmtId="166" fontId="31" fillId="0" borderId="46" xfId="0" applyNumberFormat="1" applyFont="1" applyBorder="1" applyAlignment="1">
      <alignment horizontal="center" vertical="center"/>
    </xf>
    <xf numFmtId="166" fontId="31" fillId="0" borderId="47" xfId="0" applyNumberFormat="1" applyFont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" fontId="0" fillId="0" borderId="0" xfId="0" applyNumberFormat="1"/>
    <xf numFmtId="166" fontId="31" fillId="0" borderId="0" xfId="0" applyNumberFormat="1" applyFont="1"/>
    <xf numFmtId="0" fontId="0" fillId="0" borderId="0" xfId="0" applyAlignment="1">
      <alignment horizontal="left"/>
    </xf>
    <xf numFmtId="164" fontId="51" fillId="0" borderId="6" xfId="0" applyNumberFormat="1" applyFont="1" applyBorder="1" applyAlignment="1">
      <alignment horizontal="center" vertical="center"/>
    </xf>
    <xf numFmtId="164" fontId="27" fillId="0" borderId="6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74" fontId="27" fillId="0" borderId="6" xfId="0" applyNumberFormat="1" applyFont="1" applyBorder="1" applyAlignment="1">
      <alignment horizontal="center" vertical="center"/>
    </xf>
    <xf numFmtId="175" fontId="27" fillId="0" borderId="6" xfId="0" applyNumberFormat="1" applyFont="1" applyBorder="1" applyAlignment="1">
      <alignment horizontal="center" vertical="center"/>
    </xf>
    <xf numFmtId="175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52" fillId="7" borderId="6" xfId="0" applyNumberFormat="1" applyFont="1" applyFill="1" applyBorder="1" applyAlignment="1">
      <alignment horizontal="center" vertical="center" wrapText="1"/>
    </xf>
    <xf numFmtId="177" fontId="52" fillId="7" borderId="31" xfId="0" applyNumberFormat="1" applyFont="1" applyFill="1" applyBorder="1" applyAlignment="1">
      <alignment horizontal="center" vertical="center"/>
    </xf>
    <xf numFmtId="176" fontId="52" fillId="7" borderId="31" xfId="0" applyNumberFormat="1" applyFont="1" applyFill="1" applyBorder="1" applyAlignment="1">
      <alignment horizontal="center" vertical="center"/>
    </xf>
    <xf numFmtId="177" fontId="52" fillId="7" borderId="31" xfId="0" applyNumberFormat="1" applyFont="1" applyFill="1" applyBorder="1" applyAlignment="1">
      <alignment horizontal="center" vertical="center" wrapText="1"/>
    </xf>
    <xf numFmtId="175" fontId="52" fillId="7" borderId="6" xfId="0" applyNumberFormat="1" applyFont="1" applyFill="1" applyBorder="1" applyAlignment="1">
      <alignment horizontal="center" vertical="center" wrapText="1"/>
    </xf>
    <xf numFmtId="175" fontId="0" fillId="14" borderId="6" xfId="0" applyNumberFormat="1" applyFill="1" applyBorder="1"/>
    <xf numFmtId="164" fontId="35" fillId="0" borderId="16" xfId="0" applyNumberFormat="1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0" borderId="48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164" fontId="27" fillId="7" borderId="6" xfId="0" applyNumberFormat="1" applyFont="1" applyFill="1" applyBorder="1" applyAlignment="1">
      <alignment horizontal="center" vertical="center"/>
    </xf>
    <xf numFmtId="175" fontId="27" fillId="8" borderId="6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177" fontId="52" fillId="2" borderId="31" xfId="0" applyNumberFormat="1" applyFont="1" applyFill="1" applyBorder="1" applyAlignment="1">
      <alignment horizontal="center" vertical="center"/>
    </xf>
    <xf numFmtId="164" fontId="27" fillId="2" borderId="6" xfId="0" applyNumberFormat="1" applyFont="1" applyFill="1" applyBorder="1" applyAlignment="1">
      <alignment horizontal="center" vertical="center"/>
    </xf>
    <xf numFmtId="174" fontId="27" fillId="2" borderId="6" xfId="0" applyNumberFormat="1" applyFont="1" applyFill="1" applyBorder="1" applyAlignment="1">
      <alignment horizontal="center" vertical="center"/>
    </xf>
    <xf numFmtId="175" fontId="27" fillId="2" borderId="6" xfId="0" applyNumberFormat="1" applyFont="1" applyFill="1" applyBorder="1" applyAlignment="1">
      <alignment horizontal="center" vertical="center"/>
    </xf>
    <xf numFmtId="175" fontId="0" fillId="2" borderId="6" xfId="0" applyNumberFormat="1" applyFill="1" applyBorder="1"/>
    <xf numFmtId="164" fontId="27" fillId="0" borderId="38" xfId="0" applyNumberFormat="1" applyFont="1" applyBorder="1" applyAlignment="1">
      <alignment horizontal="center" vertical="center" wrapText="1"/>
    </xf>
    <xf numFmtId="177" fontId="52" fillId="7" borderId="6" xfId="0" applyNumberFormat="1" applyFont="1" applyFill="1" applyBorder="1" applyAlignment="1">
      <alignment horizontal="center" vertical="center"/>
    </xf>
    <xf numFmtId="175" fontId="31" fillId="14" borderId="6" xfId="0" applyNumberFormat="1" applyFont="1" applyFill="1" applyBorder="1"/>
    <xf numFmtId="166" fontId="0" fillId="15" borderId="6" xfId="0" applyNumberFormat="1" applyFill="1" applyBorder="1"/>
    <xf numFmtId="0" fontId="0" fillId="0" borderId="52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0" xfId="0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175" fontId="52" fillId="14" borderId="6" xfId="0" applyNumberFormat="1" applyFont="1" applyFill="1" applyBorder="1" applyAlignment="1">
      <alignment horizontal="center" vertical="center"/>
    </xf>
    <xf numFmtId="175" fontId="53" fillId="0" borderId="6" xfId="0" applyNumberFormat="1" applyFont="1" applyBorder="1" applyAlignment="1">
      <alignment horizontal="center" vertical="center"/>
    </xf>
    <xf numFmtId="166" fontId="27" fillId="0" borderId="6" xfId="0" applyNumberFormat="1" applyFont="1" applyBorder="1" applyAlignment="1">
      <alignment vertical="center"/>
    </xf>
    <xf numFmtId="166" fontId="52" fillId="0" borderId="6" xfId="0" applyNumberFormat="1" applyFont="1" applyBorder="1" applyAlignment="1">
      <alignment horizontal="center" vertical="center"/>
    </xf>
    <xf numFmtId="174" fontId="14" fillId="0" borderId="6" xfId="0" applyNumberFormat="1" applyFont="1" applyBorder="1" applyAlignment="1">
      <alignment vertical="center"/>
    </xf>
    <xf numFmtId="0" fontId="52" fillId="0" borderId="6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/>
    </xf>
    <xf numFmtId="166" fontId="35" fillId="0" borderId="6" xfId="0" applyNumberFormat="1" applyFont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52" fillId="17" borderId="6" xfId="0" applyFont="1" applyFill="1" applyBorder="1" applyAlignment="1">
      <alignment vertical="center" wrapText="1"/>
    </xf>
    <xf numFmtId="0" fontId="52" fillId="17" borderId="6" xfId="0" applyFont="1" applyFill="1" applyBorder="1" applyAlignment="1">
      <alignment horizontal="center" vertical="center"/>
    </xf>
    <xf numFmtId="0" fontId="52" fillId="17" borderId="6" xfId="0" applyFont="1" applyFill="1" applyBorder="1" applyAlignment="1">
      <alignment horizontal="center" vertical="center" wrapText="1"/>
    </xf>
    <xf numFmtId="174" fontId="52" fillId="17" borderId="6" xfId="0" applyNumberFormat="1" applyFont="1" applyFill="1" applyBorder="1" applyAlignment="1">
      <alignment horizontal="center" vertical="center" wrapText="1"/>
    </xf>
    <xf numFmtId="174" fontId="52" fillId="17" borderId="6" xfId="0" applyNumberFormat="1" applyFont="1" applyFill="1" applyBorder="1" applyAlignment="1">
      <alignment horizontal="center" vertical="center"/>
    </xf>
    <xf numFmtId="175" fontId="52" fillId="17" borderId="6" xfId="0" applyNumberFormat="1" applyFont="1" applyFill="1" applyBorder="1" applyAlignment="1">
      <alignment horizontal="center" vertical="center"/>
    </xf>
    <xf numFmtId="175" fontId="52" fillId="0" borderId="6" xfId="0" applyNumberFormat="1" applyFont="1" applyBorder="1" applyAlignment="1">
      <alignment horizontal="center" vertical="center"/>
    </xf>
    <xf numFmtId="179" fontId="52" fillId="0" borderId="6" xfId="0" applyNumberFormat="1" applyFont="1" applyBorder="1" applyAlignment="1">
      <alignment horizontal="center" vertical="center"/>
    </xf>
    <xf numFmtId="175" fontId="52" fillId="0" borderId="6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18" borderId="2" xfId="0" applyFill="1" applyBorder="1"/>
    <xf numFmtId="0" fontId="0" fillId="18" borderId="3" xfId="0" applyFill="1" applyBorder="1"/>
    <xf numFmtId="0" fontId="0" fillId="18" borderId="4" xfId="0" applyFill="1" applyBorder="1"/>
    <xf numFmtId="0" fontId="0" fillId="19" borderId="8" xfId="0" applyFill="1" applyBorder="1"/>
    <xf numFmtId="175" fontId="0" fillId="0" borderId="6" xfId="0" applyNumberFormat="1" applyBorder="1"/>
    <xf numFmtId="166" fontId="0" fillId="0" borderId="7" xfId="0" applyNumberFormat="1" applyBorder="1"/>
    <xf numFmtId="0" fontId="0" fillId="0" borderId="7" xfId="0" applyBorder="1"/>
    <xf numFmtId="0" fontId="0" fillId="18" borderId="8" xfId="0" applyFill="1" applyBorder="1"/>
    <xf numFmtId="0" fontId="0" fillId="18" borderId="6" xfId="0" applyFill="1" applyBorder="1"/>
    <xf numFmtId="0" fontId="0" fillId="18" borderId="7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19" borderId="9" xfId="0" applyFill="1" applyBorder="1"/>
    <xf numFmtId="166" fontId="0" fillId="0" borderId="10" xfId="0" applyNumberFormat="1" applyBorder="1"/>
    <xf numFmtId="166" fontId="0" fillId="0" borderId="11" xfId="0" applyNumberFormat="1" applyBorder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20" borderId="8" xfId="0" applyFill="1" applyBorder="1"/>
    <xf numFmtId="175" fontId="0" fillId="20" borderId="6" xfId="0" applyNumberFormat="1" applyFill="1" applyBorder="1"/>
    <xf numFmtId="174" fontId="0" fillId="0" borderId="0" xfId="0" applyNumberFormat="1"/>
    <xf numFmtId="0" fontId="0" fillId="7" borderId="6" xfId="0" applyFill="1" applyBorder="1" applyAlignment="1">
      <alignment horizontal="left" vertical="center"/>
    </xf>
    <xf numFmtId="166" fontId="0" fillId="7" borderId="6" xfId="0" applyNumberFormat="1" applyFill="1" applyBorder="1"/>
    <xf numFmtId="178" fontId="0" fillId="7" borderId="6" xfId="0" applyNumberFormat="1" applyFill="1" applyBorder="1" applyAlignment="1">
      <alignment horizontal="left" vertical="center"/>
    </xf>
    <xf numFmtId="0" fontId="0" fillId="7" borderId="6" xfId="0" applyFill="1" applyBorder="1" applyAlignment="1">
      <alignment horizontal="center"/>
    </xf>
    <xf numFmtId="178" fontId="0" fillId="0" borderId="0" xfId="0" applyNumberFormat="1"/>
    <xf numFmtId="175" fontId="0" fillId="0" borderId="0" xfId="0" applyNumberFormat="1" applyAlignment="1">
      <alignment horizontal="left"/>
    </xf>
    <xf numFmtId="164" fontId="55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4" fontId="20" fillId="0" borderId="0" xfId="0" applyNumberFormat="1" applyFont="1" applyAlignment="1">
      <alignment horizontal="center" vertical="center"/>
    </xf>
    <xf numFmtId="175" fontId="20" fillId="0" borderId="0" xfId="0" applyNumberFormat="1" applyFont="1" applyAlignment="1">
      <alignment horizontal="center" vertical="center"/>
    </xf>
    <xf numFmtId="175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6" fontId="33" fillId="0" borderId="0" xfId="0" applyNumberFormat="1" applyFont="1" applyAlignment="1">
      <alignment horizontal="center" vertical="center"/>
    </xf>
    <xf numFmtId="176" fontId="33" fillId="0" borderId="0" xfId="0" applyNumberFormat="1" applyFont="1" applyAlignment="1">
      <alignment horizontal="center" vertical="center" wrapText="1"/>
    </xf>
    <xf numFmtId="177" fontId="33" fillId="0" borderId="0" xfId="0" applyNumberFormat="1" applyFont="1" applyAlignment="1">
      <alignment horizontal="center" vertical="center"/>
    </xf>
    <xf numFmtId="177" fontId="33" fillId="0" borderId="0" xfId="0" applyNumberFormat="1" applyFont="1" applyAlignment="1">
      <alignment horizontal="center" vertical="center" wrapText="1"/>
    </xf>
    <xf numFmtId="175" fontId="33" fillId="0" borderId="0" xfId="0" applyNumberFormat="1" applyFont="1" applyAlignment="1">
      <alignment horizontal="center" vertical="center" wrapText="1"/>
    </xf>
    <xf numFmtId="175" fontId="31" fillId="0" borderId="0" xfId="0" applyNumberFormat="1" applyFont="1"/>
    <xf numFmtId="164" fontId="20" fillId="0" borderId="0" xfId="0" applyNumberFormat="1" applyFont="1" applyAlignment="1">
      <alignment horizontal="center" vertical="center" wrapText="1"/>
    </xf>
    <xf numFmtId="175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74" fontId="33" fillId="0" borderId="0" xfId="0" applyNumberFormat="1" applyFont="1" applyAlignment="1">
      <alignment horizontal="center" vertical="center" wrapText="1"/>
    </xf>
    <xf numFmtId="174" fontId="33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174" fontId="15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 wrapText="1"/>
    </xf>
    <xf numFmtId="179" fontId="33" fillId="0" borderId="0" xfId="0" applyNumberFormat="1" applyFont="1" applyAlignment="1">
      <alignment horizontal="center" vertical="center"/>
    </xf>
    <xf numFmtId="175" fontId="33" fillId="0" borderId="0" xfId="0" applyNumberFormat="1" applyFont="1" applyAlignment="1">
      <alignment vertical="center"/>
    </xf>
    <xf numFmtId="0" fontId="27" fillId="0" borderId="0" xfId="0" applyFont="1"/>
    <xf numFmtId="0" fontId="56" fillId="0" borderId="17" xfId="0" applyFont="1" applyBorder="1" applyAlignment="1">
      <alignment horizontal="center" vertical="center"/>
    </xf>
    <xf numFmtId="0" fontId="56" fillId="0" borderId="17" xfId="0" applyFont="1" applyBorder="1" applyAlignment="1">
      <alignment vertical="center"/>
    </xf>
    <xf numFmtId="166" fontId="0" fillId="0" borderId="0" xfId="0" applyNumberFormat="1" applyAlignment="1">
      <alignment horizontal="center"/>
    </xf>
    <xf numFmtId="2" fontId="13" fillId="0" borderId="0" xfId="0" applyNumberFormat="1" applyFont="1"/>
    <xf numFmtId="166" fontId="13" fillId="0" borderId="0" xfId="0" applyNumberFormat="1" applyFont="1" applyAlignment="1">
      <alignment horizontal="center"/>
    </xf>
    <xf numFmtId="0" fontId="14" fillId="0" borderId="0" xfId="0" applyFont="1"/>
    <xf numFmtId="0" fontId="58" fillId="0" borderId="0" xfId="0" applyFont="1"/>
    <xf numFmtId="2" fontId="13" fillId="0" borderId="0" xfId="0" applyNumberFormat="1" applyFont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60" fillId="0" borderId="0" xfId="0" applyFont="1"/>
    <xf numFmtId="0" fontId="35" fillId="8" borderId="19" xfId="0" applyFont="1" applyFill="1" applyBorder="1" applyAlignment="1">
      <alignment horizontal="left"/>
    </xf>
    <xf numFmtId="0" fontId="35" fillId="0" borderId="5" xfId="0" applyFont="1" applyBorder="1" applyAlignment="1">
      <alignment horizontal="center"/>
    </xf>
    <xf numFmtId="0" fontId="31" fillId="21" borderId="2" xfId="0" applyFont="1" applyFill="1" applyBorder="1"/>
    <xf numFmtId="2" fontId="0" fillId="2" borderId="4" xfId="0" applyNumberFormat="1" applyFill="1" applyBorder="1"/>
    <xf numFmtId="0" fontId="0" fillId="22" borderId="0" xfId="0" applyFill="1"/>
    <xf numFmtId="0" fontId="48" fillId="23" borderId="6" xfId="0" applyFont="1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0" xfId="0" applyFont="1"/>
    <xf numFmtId="0" fontId="31" fillId="21" borderId="8" xfId="0" applyFont="1" applyFill="1" applyBorder="1"/>
    <xf numFmtId="2" fontId="0" fillId="2" borderId="7" xfId="0" applyNumberFormat="1" applyFill="1" applyBorder="1"/>
    <xf numFmtId="0" fontId="35" fillId="22" borderId="5" xfId="0" applyFont="1" applyFill="1" applyBorder="1" applyAlignment="1">
      <alignment horizontal="left"/>
    </xf>
    <xf numFmtId="0" fontId="0" fillId="22" borderId="55" xfId="0" applyFill="1" applyBorder="1"/>
    <xf numFmtId="166" fontId="35" fillId="0" borderId="6" xfId="0" applyNumberFormat="1" applyFont="1" applyBorder="1" applyAlignment="1">
      <alignment horizontal="center" vertical="center"/>
    </xf>
    <xf numFmtId="0" fontId="31" fillId="21" borderId="9" xfId="0" applyFont="1" applyFill="1" applyBorder="1"/>
    <xf numFmtId="2" fontId="0" fillId="2" borderId="11" xfId="0" applyNumberFormat="1" applyFill="1" applyBorder="1"/>
    <xf numFmtId="0" fontId="0" fillId="22" borderId="5" xfId="0" applyFill="1" applyBorder="1" applyAlignment="1">
      <alignment horizontal="center" vertical="center"/>
    </xf>
    <xf numFmtId="0" fontId="20" fillId="22" borderId="6" xfId="0" applyFont="1" applyFill="1" applyBorder="1" applyAlignment="1">
      <alignment horizontal="left" vertical="top" wrapText="1"/>
    </xf>
    <xf numFmtId="0" fontId="20" fillId="22" borderId="6" xfId="0" applyFont="1" applyFill="1" applyBorder="1" applyAlignment="1">
      <alignment horizontal="center" vertical="top" wrapText="1"/>
    </xf>
    <xf numFmtId="0" fontId="23" fillId="22" borderId="42" xfId="0" applyFont="1" applyFill="1" applyBorder="1" applyAlignment="1">
      <alignment horizontal="center" vertical="top" wrapText="1"/>
    </xf>
    <xf numFmtId="0" fontId="20" fillId="22" borderId="31" xfId="0" applyFont="1" applyFill="1" applyBorder="1" applyAlignment="1">
      <alignment horizontal="center" vertical="top" wrapText="1"/>
    </xf>
    <xf numFmtId="0" fontId="20" fillId="22" borderId="31" xfId="0" applyFont="1" applyFill="1" applyBorder="1" applyAlignment="1">
      <alignment horizontal="left" vertical="top" wrapText="1"/>
    </xf>
    <xf numFmtId="0" fontId="23" fillId="22" borderId="31" xfId="0" applyFont="1" applyFill="1" applyBorder="1" applyAlignment="1">
      <alignment horizontal="center" vertical="top" wrapText="1"/>
    </xf>
    <xf numFmtId="0" fontId="35" fillId="12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168" fontId="12" fillId="0" borderId="5" xfId="0" applyNumberFormat="1" applyFont="1" applyBorder="1" applyAlignment="1">
      <alignment horizontal="center" vertical="center" wrapText="1"/>
    </xf>
    <xf numFmtId="168" fontId="35" fillId="0" borderId="6" xfId="0" applyNumberFormat="1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27" fillId="0" borderId="0" xfId="0" applyFont="1" applyAlignment="1">
      <alignment horizontal="center"/>
    </xf>
    <xf numFmtId="0" fontId="0" fillId="0" borderId="14" xfId="0" applyBorder="1"/>
    <xf numFmtId="0" fontId="61" fillId="24" borderId="6" xfId="0" applyFont="1" applyFill="1" applyBorder="1" applyAlignment="1">
      <alignment horizontal="center" vertical="center"/>
    </xf>
    <xf numFmtId="0" fontId="0" fillId="0" borderId="41" xfId="0" applyBorder="1"/>
    <xf numFmtId="0" fontId="0" fillId="0" borderId="20" xfId="0" applyBorder="1"/>
    <xf numFmtId="0" fontId="0" fillId="0" borderId="37" xfId="0" applyBorder="1"/>
    <xf numFmtId="2" fontId="0" fillId="0" borderId="6" xfId="0" applyNumberFormat="1" applyBorder="1" applyAlignment="1">
      <alignment horizontal="center"/>
    </xf>
    <xf numFmtId="0" fontId="0" fillId="0" borderId="52" xfId="0" applyBorder="1"/>
    <xf numFmtId="166" fontId="0" fillId="0" borderId="31" xfId="0" applyNumberFormat="1" applyBorder="1"/>
    <xf numFmtId="2" fontId="0" fillId="0" borderId="31" xfId="0" applyNumberFormat="1" applyBorder="1"/>
    <xf numFmtId="2" fontId="0" fillId="0" borderId="50" xfId="0" applyNumberFormat="1" applyBorder="1"/>
    <xf numFmtId="0" fontId="20" fillId="0" borderId="31" xfId="0" applyFont="1" applyBorder="1" applyAlignment="1">
      <alignment horizontal="left" vertical="top" wrapText="1"/>
    </xf>
    <xf numFmtId="0" fontId="20" fillId="0" borderId="31" xfId="0" applyFont="1" applyBorder="1" applyAlignment="1">
      <alignment horizontal="center" vertical="top" wrapText="1"/>
    </xf>
    <xf numFmtId="0" fontId="23" fillId="0" borderId="31" xfId="0" applyFont="1" applyBorder="1" applyAlignment="1">
      <alignment horizontal="center" vertical="top" wrapText="1"/>
    </xf>
    <xf numFmtId="2" fontId="0" fillId="0" borderId="6" xfId="0" applyNumberFormat="1" applyBorder="1"/>
    <xf numFmtId="0" fontId="12" fillId="0" borderId="31" xfId="0" applyFont="1" applyBorder="1" applyAlignment="1">
      <alignment horizontal="center" vertical="center" wrapText="1"/>
    </xf>
    <xf numFmtId="168" fontId="12" fillId="11" borderId="6" xfId="0" applyNumberFormat="1" applyFont="1" applyFill="1" applyBorder="1" applyAlignment="1">
      <alignment horizontal="center" vertical="center" wrapText="1"/>
    </xf>
    <xf numFmtId="166" fontId="35" fillId="8" borderId="6" xfId="0" applyNumberFormat="1" applyFont="1" applyFill="1" applyBorder="1" applyAlignment="1">
      <alignment horizontal="center"/>
    </xf>
    <xf numFmtId="0" fontId="48" fillId="8" borderId="6" xfId="0" applyFont="1" applyFill="1" applyBorder="1" applyAlignment="1">
      <alignment horizontal="center" vertical="center"/>
    </xf>
    <xf numFmtId="2" fontId="35" fillId="0" borderId="6" xfId="0" applyNumberFormat="1" applyFont="1" applyBorder="1" applyAlignment="1">
      <alignment horizontal="center"/>
    </xf>
    <xf numFmtId="2" fontId="0" fillId="0" borderId="57" xfId="0" applyNumberFormat="1" applyBorder="1"/>
    <xf numFmtId="166" fontId="48" fillId="0" borderId="6" xfId="0" applyNumberFormat="1" applyFont="1" applyBorder="1" applyAlignment="1">
      <alignment horizontal="center"/>
    </xf>
    <xf numFmtId="2" fontId="48" fillId="0" borderId="6" xfId="0" applyNumberFormat="1" applyFont="1" applyBorder="1" applyAlignment="1">
      <alignment horizontal="center"/>
    </xf>
    <xf numFmtId="182" fontId="0" fillId="0" borderId="6" xfId="0" applyNumberFormat="1" applyBorder="1" applyAlignment="1">
      <alignment horizontal="center"/>
    </xf>
    <xf numFmtId="0" fontId="0" fillId="0" borderId="35" xfId="0" applyBorder="1"/>
    <xf numFmtId="0" fontId="35" fillId="12" borderId="6" xfId="0" applyFont="1" applyFill="1" applyBorder="1" applyAlignment="1">
      <alignment horizontal="center"/>
    </xf>
    <xf numFmtId="0" fontId="0" fillId="8" borderId="6" xfId="0" applyFill="1" applyBorder="1" applyAlignment="1">
      <alignment horizontal="center" vertical="center"/>
    </xf>
    <xf numFmtId="10" fontId="0" fillId="0" borderId="6" xfId="0" applyNumberFormat="1" applyBorder="1" applyAlignment="1">
      <alignment horizontal="center"/>
    </xf>
    <xf numFmtId="0" fontId="62" fillId="0" borderId="9" xfId="0" applyFont="1" applyBorder="1"/>
    <xf numFmtId="166" fontId="62" fillId="0" borderId="10" xfId="0" applyNumberFormat="1" applyFont="1" applyBorder="1"/>
    <xf numFmtId="0" fontId="0" fillId="0" borderId="58" xfId="0" applyBorder="1"/>
    <xf numFmtId="166" fontId="12" fillId="0" borderId="59" xfId="0" applyNumberFormat="1" applyFont="1" applyBorder="1" applyAlignment="1">
      <alignment horizontal="center" vertical="center"/>
    </xf>
    <xf numFmtId="0" fontId="48" fillId="0" borderId="6" xfId="0" applyFont="1" applyBorder="1" applyAlignment="1">
      <alignment horizontal="center"/>
    </xf>
    <xf numFmtId="166" fontId="35" fillId="0" borderId="19" xfId="0" applyNumberFormat="1" applyFont="1" applyBorder="1" applyAlignment="1">
      <alignment horizontal="center"/>
    </xf>
    <xf numFmtId="0" fontId="35" fillId="8" borderId="6" xfId="0" applyFont="1" applyFill="1" applyBorder="1" applyAlignment="1">
      <alignment horizontal="center"/>
    </xf>
    <xf numFmtId="1" fontId="0" fillId="8" borderId="6" xfId="0" applyNumberFormat="1" applyFill="1" applyBorder="1" applyAlignment="1">
      <alignment horizontal="center"/>
    </xf>
    <xf numFmtId="166" fontId="12" fillId="10" borderId="1" xfId="0" applyNumberFormat="1" applyFont="1" applyFill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166" fontId="35" fillId="8" borderId="19" xfId="0" applyNumberFormat="1" applyFont="1" applyFill="1" applyBorder="1" applyAlignment="1">
      <alignment horizontal="center"/>
    </xf>
    <xf numFmtId="166" fontId="31" fillId="8" borderId="6" xfId="0" applyNumberFormat="1" applyFont="1" applyFill="1" applyBorder="1" applyAlignment="1">
      <alignment horizontal="center" vertical="center"/>
    </xf>
    <xf numFmtId="0" fontId="35" fillId="0" borderId="19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166" fontId="35" fillId="8" borderId="20" xfId="0" applyNumberFormat="1" applyFont="1" applyFill="1" applyBorder="1" applyAlignment="1">
      <alignment horizontal="center"/>
    </xf>
    <xf numFmtId="166" fontId="16" fillId="0" borderId="6" xfId="0" applyNumberFormat="1" applyFont="1" applyBorder="1" applyAlignment="1">
      <alignment horizontal="center" vertical="center"/>
    </xf>
    <xf numFmtId="0" fontId="35" fillId="12" borderId="19" xfId="0" applyFont="1" applyFill="1" applyBorder="1" applyAlignment="1">
      <alignment horizontal="center"/>
    </xf>
    <xf numFmtId="0" fontId="35" fillId="12" borderId="20" xfId="0" applyFont="1" applyFill="1" applyBorder="1" applyAlignment="1">
      <alignment horizontal="center"/>
    </xf>
    <xf numFmtId="0" fontId="35" fillId="12" borderId="20" xfId="0" applyFont="1" applyFill="1" applyBorder="1"/>
    <xf numFmtId="166" fontId="13" fillId="0" borderId="6" xfId="0" applyNumberFormat="1" applyFont="1" applyBorder="1" applyAlignment="1">
      <alignment horizontal="center" vertical="center"/>
    </xf>
    <xf numFmtId="2" fontId="35" fillId="0" borderId="6" xfId="0" applyNumberFormat="1" applyFont="1" applyBorder="1" applyAlignment="1">
      <alignment horizontal="center" vertical="center"/>
    </xf>
    <xf numFmtId="1" fontId="31" fillId="0" borderId="6" xfId="0" applyNumberFormat="1" applyFont="1" applyBorder="1" applyAlignment="1">
      <alignment horizontal="center"/>
    </xf>
    <xf numFmtId="0" fontId="35" fillId="8" borderId="6" xfId="0" applyFont="1" applyFill="1" applyBorder="1" applyAlignment="1">
      <alignment horizontal="left"/>
    </xf>
    <xf numFmtId="166" fontId="35" fillId="0" borderId="0" xfId="0" applyNumberFormat="1" applyFont="1"/>
    <xf numFmtId="0" fontId="35" fillId="8" borderId="0" xfId="0" applyFont="1" applyFill="1" applyAlignment="1">
      <alignment horizontal="left"/>
    </xf>
    <xf numFmtId="0" fontId="12" fillId="0" borderId="38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top" wrapText="1"/>
    </xf>
    <xf numFmtId="0" fontId="20" fillId="0" borderId="38" xfId="0" applyFont="1" applyBorder="1" applyAlignment="1">
      <alignment horizontal="left" vertical="top" wrapText="1"/>
    </xf>
    <xf numFmtId="0" fontId="23" fillId="0" borderId="38" xfId="0" applyFont="1" applyBorder="1" applyAlignment="1">
      <alignment horizontal="center" vertical="top" wrapText="1"/>
    </xf>
    <xf numFmtId="168" fontId="12" fillId="0" borderId="31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/>
    </xf>
    <xf numFmtId="168" fontId="35" fillId="0" borderId="0" xfId="0" applyNumberFormat="1" applyFont="1" applyAlignment="1">
      <alignment horizontal="center"/>
    </xf>
    <xf numFmtId="166" fontId="35" fillId="0" borderId="0" xfId="0" applyNumberFormat="1" applyFont="1" applyAlignment="1">
      <alignment horizontal="center"/>
    </xf>
    <xf numFmtId="168" fontId="28" fillId="9" borderId="31" xfId="0" applyNumberFormat="1" applyFont="1" applyFill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/>
    </xf>
    <xf numFmtId="2" fontId="0" fillId="0" borderId="7" xfId="0" applyNumberFormat="1" applyBorder="1"/>
    <xf numFmtId="168" fontId="28" fillId="25" borderId="31" xfId="0" applyNumberFormat="1" applyFont="1" applyFill="1" applyBorder="1" applyAlignment="1">
      <alignment horizontal="center" vertical="center" wrapText="1"/>
    </xf>
    <xf numFmtId="168" fontId="28" fillId="26" borderId="31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/>
    </xf>
    <xf numFmtId="0" fontId="39" fillId="0" borderId="0" xfId="0" applyFont="1"/>
    <xf numFmtId="168" fontId="39" fillId="0" borderId="0" xfId="0" applyNumberFormat="1" applyFont="1" applyAlignment="1">
      <alignment horizontal="center"/>
    </xf>
    <xf numFmtId="166" fontId="39" fillId="0" borderId="0" xfId="0" applyNumberFormat="1" applyFont="1" applyAlignment="1">
      <alignment horizontal="center"/>
    </xf>
    <xf numFmtId="0" fontId="37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2" fontId="39" fillId="0" borderId="0" xfId="0" applyNumberFormat="1" applyFont="1" applyAlignment="1">
      <alignment horizontal="center"/>
    </xf>
    <xf numFmtId="166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center"/>
    </xf>
    <xf numFmtId="182" fontId="31" fillId="0" borderId="0" xfId="0" applyNumberFormat="1" applyFont="1" applyAlignment="1">
      <alignment horizontal="center"/>
    </xf>
    <xf numFmtId="10" fontId="31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1" fontId="20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0" fillId="16" borderId="33" xfId="0" applyFill="1" applyBorder="1"/>
    <xf numFmtId="0" fontId="0" fillId="16" borderId="59" xfId="0" applyFill="1" applyBorder="1"/>
    <xf numFmtId="0" fontId="0" fillId="23" borderId="33" xfId="0" applyFill="1" applyBorder="1" applyAlignment="1">
      <alignment horizontal="center"/>
    </xf>
    <xf numFmtId="0" fontId="0" fillId="23" borderId="13" xfId="0" applyFill="1" applyBorder="1"/>
    <xf numFmtId="0" fontId="0" fillId="23" borderId="59" xfId="0" applyFill="1" applyBorder="1"/>
    <xf numFmtId="0" fontId="0" fillId="23" borderId="12" xfId="0" applyFill="1" applyBorder="1" applyAlignment="1">
      <alignment horizontal="center"/>
    </xf>
    <xf numFmtId="0" fontId="0" fillId="23" borderId="0" xfId="0" applyFill="1"/>
    <xf numFmtId="0" fontId="0" fillId="23" borderId="14" xfId="0" applyFill="1" applyBorder="1"/>
    <xf numFmtId="0" fontId="0" fillId="27" borderId="19" xfId="0" applyFill="1" applyBorder="1" applyAlignment="1">
      <alignment horizontal="left"/>
    </xf>
    <xf numFmtId="0" fontId="0" fillId="23" borderId="12" xfId="0" applyFill="1" applyBorder="1"/>
    <xf numFmtId="166" fontId="0" fillId="0" borderId="0" xfId="0" applyNumberFormat="1" applyAlignment="1">
      <alignment horizontal="left"/>
    </xf>
    <xf numFmtId="0" fontId="0" fillId="23" borderId="0" xfId="0" applyFill="1" applyAlignment="1">
      <alignment horizontal="left"/>
    </xf>
    <xf numFmtId="0" fontId="35" fillId="23" borderId="12" xfId="0" applyFont="1" applyFill="1" applyBorder="1"/>
    <xf numFmtId="0" fontId="35" fillId="20" borderId="0" xfId="0" applyFont="1" applyFill="1" applyAlignment="1">
      <alignment horizontal="left"/>
    </xf>
    <xf numFmtId="0" fontId="0" fillId="23" borderId="0" xfId="0" applyFill="1" applyAlignment="1">
      <alignment horizontal="center"/>
    </xf>
    <xf numFmtId="0" fontId="0" fillId="27" borderId="8" xfId="0" applyFill="1" applyBorder="1" applyAlignment="1">
      <alignment horizontal="right"/>
    </xf>
    <xf numFmtId="0" fontId="0" fillId="23" borderId="0" xfId="0" applyFill="1" applyAlignment="1">
      <alignment vertical="top"/>
    </xf>
    <xf numFmtId="0" fontId="0" fillId="23" borderId="12" xfId="0" applyFill="1" applyBorder="1" applyAlignment="1">
      <alignment horizontal="left"/>
    </xf>
    <xf numFmtId="0" fontId="0" fillId="23" borderId="0" xfId="0" applyFill="1" applyAlignment="1">
      <alignment horizontal="right"/>
    </xf>
    <xf numFmtId="0" fontId="0" fillId="23" borderId="16" xfId="0" applyFill="1" applyBorder="1" applyAlignment="1">
      <alignment horizontal="center"/>
    </xf>
    <xf numFmtId="0" fontId="65" fillId="23" borderId="16" xfId="0" applyFont="1" applyFill="1" applyBorder="1" applyAlignment="1">
      <alignment horizontal="center"/>
    </xf>
    <xf numFmtId="2" fontId="0" fillId="23" borderId="16" xfId="0" applyNumberFormat="1" applyFill="1" applyBorder="1"/>
    <xf numFmtId="0" fontId="0" fillId="23" borderId="14" xfId="0" applyFill="1" applyBorder="1" applyAlignment="1">
      <alignment horizontal="center" vertical="center"/>
    </xf>
    <xf numFmtId="0" fontId="0" fillId="23" borderId="15" xfId="0" applyFill="1" applyBorder="1" applyAlignment="1">
      <alignment horizontal="center"/>
    </xf>
    <xf numFmtId="0" fontId="0" fillId="23" borderId="16" xfId="0" applyFill="1" applyBorder="1"/>
    <xf numFmtId="0" fontId="0" fillId="23" borderId="17" xfId="0" applyFill="1" applyBorder="1"/>
    <xf numFmtId="0" fontId="0" fillId="16" borderId="15" xfId="0" applyFill="1" applyBorder="1"/>
    <xf numFmtId="0" fontId="0" fillId="16" borderId="17" xfId="0" applyFill="1" applyBorder="1"/>
    <xf numFmtId="165" fontId="0" fillId="0" borderId="0" xfId="0" applyNumberFormat="1"/>
    <xf numFmtId="165" fontId="49" fillId="10" borderId="6" xfId="0" applyNumberFormat="1" applyFont="1" applyFill="1" applyBorder="1" applyAlignment="1">
      <alignment horizontal="center" vertical="center"/>
    </xf>
    <xf numFmtId="0" fontId="49" fillId="10" borderId="6" xfId="0" applyFont="1" applyFill="1" applyBorder="1" applyAlignment="1">
      <alignment horizontal="center" vertical="center"/>
    </xf>
    <xf numFmtId="0" fontId="49" fillId="10" borderId="6" xfId="0" applyFont="1" applyFill="1" applyBorder="1" applyAlignment="1">
      <alignment horizontal="center" vertical="center" wrapText="1"/>
    </xf>
    <xf numFmtId="0" fontId="65" fillId="10" borderId="6" xfId="0" applyFont="1" applyFill="1" applyBorder="1" applyAlignment="1">
      <alignment horizontal="center" vertical="center"/>
    </xf>
    <xf numFmtId="0" fontId="65" fillId="10" borderId="6" xfId="0" applyFont="1" applyFill="1" applyBorder="1" applyAlignment="1">
      <alignment horizontal="center" vertical="center" wrapText="1"/>
    </xf>
    <xf numFmtId="0" fontId="66" fillId="6" borderId="6" xfId="0" applyFont="1" applyFill="1" applyBorder="1" applyAlignment="1">
      <alignment horizontal="center" vertical="center" wrapText="1"/>
    </xf>
    <xf numFmtId="0" fontId="66" fillId="6" borderId="6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165" fontId="0" fillId="0" borderId="6" xfId="0" applyNumberFormat="1" applyBorder="1"/>
    <xf numFmtId="166" fontId="31" fillId="0" borderId="6" xfId="0" applyNumberFormat="1" applyFont="1" applyBorder="1"/>
    <xf numFmtId="14" fontId="0" fillId="0" borderId="6" xfId="0" applyNumberFormat="1" applyBorder="1"/>
    <xf numFmtId="166" fontId="0" fillId="4" borderId="6" xfId="0" applyNumberFormat="1" applyFill="1" applyBorder="1"/>
    <xf numFmtId="166" fontId="0" fillId="4" borderId="0" xfId="0" applyNumberFormat="1" applyFill="1"/>
    <xf numFmtId="2" fontId="36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center"/>
    </xf>
    <xf numFmtId="0" fontId="61" fillId="0" borderId="0" xfId="0" applyFont="1"/>
    <xf numFmtId="17" fontId="69" fillId="0" borderId="62" xfId="0" applyNumberFormat="1" applyFont="1" applyBorder="1" applyAlignment="1">
      <alignment vertical="top"/>
    </xf>
    <xf numFmtId="17" fontId="69" fillId="0" borderId="54" xfId="0" applyNumberFormat="1" applyFont="1" applyBorder="1" applyAlignment="1">
      <alignment vertical="top"/>
    </xf>
    <xf numFmtId="0" fontId="37" fillId="0" borderId="13" xfId="0" applyFont="1" applyBorder="1" applyAlignment="1">
      <alignment horizontal="center" vertical="top"/>
    </xf>
    <xf numFmtId="0" fontId="37" fillId="0" borderId="59" xfId="0" applyFont="1" applyBorder="1" applyAlignment="1">
      <alignment horizontal="center" vertical="top"/>
    </xf>
    <xf numFmtId="0" fontId="36" fillId="0" borderId="52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6" fillId="0" borderId="56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61" fillId="0" borderId="0" xfId="0" applyFont="1" applyAlignment="1">
      <alignment wrapText="1"/>
    </xf>
    <xf numFmtId="0" fontId="37" fillId="0" borderId="8" xfId="0" applyFont="1" applyBorder="1" applyAlignment="1">
      <alignment horizontal="center" vertical="top"/>
    </xf>
    <xf numFmtId="175" fontId="37" fillId="0" borderId="6" xfId="0" applyNumberFormat="1" applyFont="1" applyBorder="1" applyAlignment="1">
      <alignment vertical="top"/>
    </xf>
    <xf numFmtId="164" fontId="37" fillId="0" borderId="6" xfId="0" applyNumberFormat="1" applyFont="1" applyBorder="1" applyAlignment="1">
      <alignment vertical="top"/>
    </xf>
    <xf numFmtId="164" fontId="37" fillId="0" borderId="6" xfId="0" applyNumberFormat="1" applyFont="1" applyBorder="1" applyAlignment="1">
      <alignment horizontal="center" vertical="center"/>
    </xf>
    <xf numFmtId="164" fontId="37" fillId="0" borderId="6" xfId="0" applyNumberFormat="1" applyFont="1" applyBorder="1"/>
    <xf numFmtId="10" fontId="37" fillId="10" borderId="6" xfId="0" applyNumberFormat="1" applyFont="1" applyFill="1" applyBorder="1" applyAlignment="1">
      <alignment horizontal="right" vertical="top"/>
    </xf>
    <xf numFmtId="2" fontId="37" fillId="0" borderId="7" xfId="0" applyNumberFormat="1" applyFont="1" applyBorder="1" applyAlignment="1">
      <alignment horizontal="right" vertical="top"/>
    </xf>
    <xf numFmtId="2" fontId="37" fillId="0" borderId="0" xfId="0" applyNumberFormat="1" applyFont="1" applyAlignment="1">
      <alignment vertical="top"/>
    </xf>
    <xf numFmtId="0" fontId="36" fillId="0" borderId="52" xfId="0" applyFont="1" applyBorder="1" applyAlignment="1">
      <alignment horizontal="left" vertical="center"/>
    </xf>
    <xf numFmtId="174" fontId="37" fillId="0" borderId="31" xfId="0" applyNumberFormat="1" applyFont="1" applyBorder="1" applyAlignment="1" applyProtection="1">
      <alignment horizontal="center" vertical="center"/>
      <protection hidden="1"/>
    </xf>
    <xf numFmtId="174" fontId="37" fillId="0" borderId="50" xfId="0" applyNumberFormat="1" applyFont="1" applyBorder="1" applyAlignment="1">
      <alignment horizontal="center" vertical="top"/>
    </xf>
    <xf numFmtId="0" fontId="36" fillId="0" borderId="8" xfId="0" applyFont="1" applyBorder="1" applyAlignment="1">
      <alignment horizontal="left" vertical="center"/>
    </xf>
    <xf numFmtId="174" fontId="37" fillId="0" borderId="6" xfId="0" applyNumberFormat="1" applyFont="1" applyBorder="1" applyAlignment="1" applyProtection="1">
      <alignment horizontal="center" vertical="center"/>
      <protection hidden="1"/>
    </xf>
    <xf numFmtId="10" fontId="37" fillId="0" borderId="6" xfId="0" applyNumberFormat="1" applyFont="1" applyBorder="1" applyAlignment="1">
      <alignment horizontal="right" vertical="top"/>
    </xf>
    <xf numFmtId="2" fontId="37" fillId="0" borderId="7" xfId="0" applyNumberFormat="1" applyFont="1" applyBorder="1" applyAlignment="1">
      <alignment vertical="top"/>
    </xf>
    <xf numFmtId="9" fontId="37" fillId="0" borderId="6" xfId="0" applyNumberFormat="1" applyFont="1" applyBorder="1" applyAlignment="1">
      <alignment vertical="top"/>
    </xf>
    <xf numFmtId="9" fontId="37" fillId="0" borderId="7" xfId="0" applyNumberFormat="1" applyFont="1" applyBorder="1" applyAlignment="1">
      <alignment vertical="top"/>
    </xf>
    <xf numFmtId="9" fontId="61" fillId="0" borderId="6" xfId="0" applyNumberFormat="1" applyFont="1" applyBorder="1" applyAlignment="1">
      <alignment vertical="top"/>
    </xf>
    <xf numFmtId="0" fontId="37" fillId="0" borderId="0" xfId="0" applyFont="1"/>
    <xf numFmtId="2" fontId="36" fillId="0" borderId="0" xfId="0" applyNumberFormat="1" applyFont="1" applyAlignment="1">
      <alignment horizontal="left" vertical="top"/>
    </xf>
    <xf numFmtId="164" fontId="37" fillId="0" borderId="19" xfId="0" applyNumberFormat="1" applyFont="1" applyBorder="1" applyAlignment="1">
      <alignment vertical="top"/>
    </xf>
    <xf numFmtId="164" fontId="37" fillId="0" borderId="5" xfId="0" applyNumberFormat="1" applyFont="1" applyBorder="1" applyAlignment="1">
      <alignment horizontal="center" vertical="center"/>
    </xf>
    <xf numFmtId="0" fontId="36" fillId="0" borderId="27" xfId="0" applyFont="1" applyBorder="1" applyAlignment="1">
      <alignment horizontal="left" vertical="center"/>
    </xf>
    <xf numFmtId="174" fontId="37" fillId="0" borderId="30" xfId="0" applyNumberFormat="1" applyFont="1" applyBorder="1" applyAlignment="1" applyProtection="1">
      <alignment horizontal="center" vertical="center"/>
      <protection hidden="1"/>
    </xf>
    <xf numFmtId="0" fontId="37" fillId="0" borderId="27" xfId="0" applyFont="1" applyBorder="1" applyAlignment="1">
      <alignment horizontal="center" vertical="top"/>
    </xf>
    <xf numFmtId="175" fontId="36" fillId="0" borderId="30" xfId="0" applyNumberFormat="1" applyFont="1" applyBorder="1" applyAlignment="1">
      <alignment vertical="top"/>
    </xf>
    <xf numFmtId="175" fontId="36" fillId="0" borderId="38" xfId="0" applyNumberFormat="1" applyFont="1" applyBorder="1" applyAlignment="1">
      <alignment vertical="top"/>
    </xf>
    <xf numFmtId="164" fontId="36" fillId="0" borderId="30" xfId="0" applyNumberFormat="1" applyFont="1" applyBorder="1" applyAlignment="1">
      <alignment vertical="top"/>
    </xf>
    <xf numFmtId="0" fontId="36" fillId="0" borderId="30" xfId="0" applyFont="1" applyBorder="1" applyAlignment="1">
      <alignment vertical="top"/>
    </xf>
    <xf numFmtId="0" fontId="37" fillId="0" borderId="49" xfId="0" applyFont="1" applyBorder="1" applyAlignment="1">
      <alignment vertical="top"/>
    </xf>
    <xf numFmtId="171" fontId="37" fillId="0" borderId="0" xfId="0" applyNumberFormat="1" applyFont="1" applyAlignment="1">
      <alignment vertical="top"/>
    </xf>
    <xf numFmtId="1" fontId="36" fillId="0" borderId="6" xfId="0" applyNumberFormat="1" applyFont="1" applyBorder="1" applyAlignment="1">
      <alignment horizontal="center" vertical="top"/>
    </xf>
    <xf numFmtId="1" fontId="36" fillId="0" borderId="7" xfId="0" applyNumberFormat="1" applyFont="1" applyBorder="1" applyAlignment="1">
      <alignment horizontal="center" vertical="top"/>
    </xf>
    <xf numFmtId="0" fontId="70" fillId="0" borderId="0" xfId="0" applyFont="1"/>
    <xf numFmtId="0" fontId="37" fillId="0" borderId="45" xfId="0" applyFont="1" applyBorder="1" applyAlignment="1">
      <alignment horizontal="center" vertical="top"/>
    </xf>
    <xf numFmtId="175" fontId="37" fillId="0" borderId="46" xfId="0" applyNumberFormat="1" applyFont="1" applyBorder="1" applyAlignment="1">
      <alignment vertical="top"/>
    </xf>
    <xf numFmtId="164" fontId="37" fillId="0" borderId="63" xfId="0" applyNumberFormat="1" applyFont="1" applyBorder="1" applyAlignment="1">
      <alignment vertical="top"/>
    </xf>
    <xf numFmtId="164" fontId="37" fillId="0" borderId="60" xfId="0" applyNumberFormat="1" applyFont="1" applyBorder="1" applyAlignment="1">
      <alignment vertical="top"/>
    </xf>
    <xf numFmtId="164" fontId="37" fillId="0" borderId="46" xfId="0" applyNumberFormat="1" applyFont="1" applyBorder="1" applyAlignment="1">
      <alignment vertical="top"/>
    </xf>
    <xf numFmtId="164" fontId="37" fillId="0" borderId="46" xfId="0" applyNumberFormat="1" applyFont="1" applyBorder="1"/>
    <xf numFmtId="9" fontId="37" fillId="0" borderId="46" xfId="0" applyNumberFormat="1" applyFont="1" applyBorder="1" applyAlignment="1">
      <alignment vertical="top"/>
    </xf>
    <xf numFmtId="9" fontId="37" fillId="0" borderId="47" xfId="0" applyNumberFormat="1" applyFont="1" applyBorder="1" applyAlignment="1">
      <alignment vertical="top"/>
    </xf>
    <xf numFmtId="0" fontId="36" fillId="0" borderId="64" xfId="0" applyFont="1" applyBorder="1" applyAlignment="1">
      <alignment horizontal="left" vertical="center"/>
    </xf>
    <xf numFmtId="1" fontId="37" fillId="0" borderId="65" xfId="0" applyNumberFormat="1" applyFont="1" applyBorder="1" applyAlignment="1">
      <alignment horizontal="center" vertical="center"/>
    </xf>
    <xf numFmtId="2" fontId="37" fillId="0" borderId="66" xfId="0" applyNumberFormat="1" applyFont="1" applyBorder="1" applyAlignment="1">
      <alignment horizontal="center" vertical="top"/>
    </xf>
    <xf numFmtId="0" fontId="36" fillId="0" borderId="44" xfId="0" applyFont="1" applyBorder="1"/>
    <xf numFmtId="0" fontId="37" fillId="0" borderId="15" xfId="0" applyFont="1" applyBorder="1"/>
    <xf numFmtId="0" fontId="37" fillId="0" borderId="17" xfId="0" applyFont="1" applyBorder="1"/>
    <xf numFmtId="0" fontId="37" fillId="0" borderId="14" xfId="0" applyFont="1" applyBorder="1"/>
    <xf numFmtId="2" fontId="37" fillId="0" borderId="67" xfId="0" applyNumberFormat="1" applyFont="1" applyBorder="1" applyAlignment="1">
      <alignment horizontal="right" vertical="center"/>
    </xf>
    <xf numFmtId="1" fontId="37" fillId="0" borderId="68" xfId="0" applyNumberFormat="1" applyFont="1" applyBorder="1" applyAlignment="1">
      <alignment horizontal="center" vertical="center"/>
    </xf>
    <xf numFmtId="1" fontId="37" fillId="0" borderId="69" xfId="0" applyNumberFormat="1" applyFont="1" applyBorder="1" applyAlignment="1">
      <alignment horizontal="center" vertical="center"/>
    </xf>
    <xf numFmtId="0" fontId="36" fillId="10" borderId="2" xfId="0" applyFont="1" applyFill="1" applyBorder="1" applyAlignment="1">
      <alignment horizontal="center" vertical="center" wrapText="1"/>
    </xf>
    <xf numFmtId="0" fontId="36" fillId="10" borderId="3" xfId="0" applyFont="1" applyFill="1" applyBorder="1" applyAlignment="1">
      <alignment horizontal="center" vertical="center" wrapText="1"/>
    </xf>
    <xf numFmtId="0" fontId="36" fillId="10" borderId="31" xfId="0" applyFont="1" applyFill="1" applyBorder="1" applyAlignment="1">
      <alignment horizontal="center" vertical="center" wrapText="1"/>
    </xf>
    <xf numFmtId="0" fontId="36" fillId="10" borderId="50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7" fillId="10" borderId="8" xfId="0" applyFont="1" applyFill="1" applyBorder="1" applyAlignment="1">
      <alignment horizontal="center"/>
    </xf>
    <xf numFmtId="0" fontId="36" fillId="10" borderId="6" xfId="0" applyFont="1" applyFill="1" applyBorder="1"/>
    <xf numFmtId="174" fontId="37" fillId="10" borderId="6" xfId="0" applyNumberFormat="1" applyFont="1" applyFill="1" applyBorder="1"/>
    <xf numFmtId="175" fontId="37" fillId="10" borderId="6" xfId="0" applyNumberFormat="1" applyFont="1" applyFill="1" applyBorder="1"/>
    <xf numFmtId="164" fontId="37" fillId="10" borderId="6" xfId="0" applyNumberFormat="1" applyFont="1" applyFill="1" applyBorder="1"/>
    <xf numFmtId="1" fontId="37" fillId="10" borderId="6" xfId="0" applyNumberFormat="1" applyFont="1" applyFill="1" applyBorder="1"/>
    <xf numFmtId="2" fontId="37" fillId="10" borderId="6" xfId="0" applyNumberFormat="1" applyFont="1" applyFill="1" applyBorder="1"/>
    <xf numFmtId="0" fontId="37" fillId="10" borderId="6" xfId="0" applyFont="1" applyFill="1" applyBorder="1"/>
    <xf numFmtId="0" fontId="37" fillId="10" borderId="7" xfId="0" applyFont="1" applyFill="1" applyBorder="1" applyAlignment="1">
      <alignment horizontal="left" vertical="top"/>
    </xf>
    <xf numFmtId="2" fontId="36" fillId="10" borderId="43" xfId="0" applyNumberFormat="1" applyFont="1" applyFill="1" applyBorder="1" applyAlignment="1">
      <alignment horizontal="center"/>
    </xf>
    <xf numFmtId="0" fontId="36" fillId="0" borderId="31" xfId="0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72" fillId="0" borderId="0" xfId="0" applyFont="1"/>
    <xf numFmtId="0" fontId="61" fillId="0" borderId="14" xfId="0" applyFont="1" applyBorder="1"/>
    <xf numFmtId="0" fontId="37" fillId="10" borderId="7" xfId="0" applyFont="1" applyFill="1" applyBorder="1" applyAlignment="1">
      <alignment vertical="top"/>
    </xf>
    <xf numFmtId="0" fontId="37" fillId="10" borderId="70" xfId="0" applyFont="1" applyFill="1" applyBorder="1" applyAlignment="1">
      <alignment horizontal="center"/>
    </xf>
    <xf numFmtId="164" fontId="37" fillId="0" borderId="10" xfId="0" applyNumberFormat="1" applyFont="1" applyBorder="1" applyAlignment="1">
      <alignment horizontal="center" vertical="center" wrapText="1"/>
    </xf>
    <xf numFmtId="164" fontId="37" fillId="0" borderId="11" xfId="0" applyNumberFormat="1" applyFont="1" applyBorder="1" applyAlignment="1">
      <alignment horizontal="center" vertical="center" wrapText="1"/>
    </xf>
    <xf numFmtId="164" fontId="72" fillId="0" borderId="0" xfId="0" applyNumberFormat="1" applyFont="1"/>
    <xf numFmtId="164" fontId="36" fillId="10" borderId="6" xfId="0" applyNumberFormat="1" applyFont="1" applyFill="1" applyBorder="1"/>
    <xf numFmtId="2" fontId="36" fillId="10" borderId="6" xfId="0" applyNumberFormat="1" applyFont="1" applyFill="1" applyBorder="1"/>
    <xf numFmtId="2" fontId="36" fillId="10" borderId="7" xfId="0" applyNumberFormat="1" applyFont="1" applyFill="1" applyBorder="1" applyAlignment="1">
      <alignment horizontal="center"/>
    </xf>
    <xf numFmtId="164" fontId="37" fillId="10" borderId="70" xfId="0" applyNumberFormat="1" applyFont="1" applyFill="1" applyBorder="1"/>
    <xf numFmtId="0" fontId="37" fillId="10" borderId="9" xfId="0" applyFont="1" applyFill="1" applyBorder="1" applyAlignment="1">
      <alignment horizontal="center"/>
    </xf>
    <xf numFmtId="0" fontId="36" fillId="10" borderId="10" xfId="0" applyFont="1" applyFill="1" applyBorder="1"/>
    <xf numFmtId="175" fontId="36" fillId="10" borderId="30" xfId="0" applyNumberFormat="1" applyFont="1" applyFill="1" applyBorder="1"/>
    <xf numFmtId="0" fontId="37" fillId="10" borderId="10" xfId="0" applyFont="1" applyFill="1" applyBorder="1"/>
    <xf numFmtId="164" fontId="37" fillId="10" borderId="10" xfId="0" applyNumberFormat="1" applyFont="1" applyFill="1" applyBorder="1"/>
    <xf numFmtId="0" fontId="37" fillId="10" borderId="11" xfId="0" applyFont="1" applyFill="1" applyBorder="1" applyAlignment="1">
      <alignment horizontal="left" vertical="top"/>
    </xf>
    <xf numFmtId="166" fontId="37" fillId="10" borderId="44" xfId="0" applyNumberFormat="1" applyFont="1" applyFill="1" applyBorder="1" applyAlignment="1">
      <alignment horizontal="left" vertical="top"/>
    </xf>
    <xf numFmtId="0" fontId="36" fillId="0" borderId="2" xfId="0" applyFont="1" applyBorder="1" applyAlignment="1">
      <alignment horizontal="center" vertical="center"/>
    </xf>
    <xf numFmtId="174" fontId="36" fillId="0" borderId="3" xfId="0" applyNumberFormat="1" applyFont="1" applyBorder="1" applyAlignment="1">
      <alignment horizontal="center" vertical="center"/>
    </xf>
    <xf numFmtId="164" fontId="36" fillId="0" borderId="3" xfId="0" applyNumberFormat="1" applyFont="1" applyBorder="1" applyAlignment="1">
      <alignment vertical="center"/>
    </xf>
    <xf numFmtId="164" fontId="36" fillId="0" borderId="3" xfId="0" applyNumberFormat="1" applyFont="1" applyBorder="1" applyAlignment="1">
      <alignment horizontal="center" vertical="center"/>
    </xf>
    <xf numFmtId="164" fontId="36" fillId="0" borderId="4" xfId="0" applyNumberFormat="1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2" fontId="37" fillId="0" borderId="30" xfId="0" applyNumberFormat="1" applyFont="1" applyBorder="1" applyAlignment="1">
      <alignment horizontal="center" vertical="center" wrapText="1"/>
    </xf>
    <xf numFmtId="2" fontId="36" fillId="0" borderId="49" xfId="0" applyNumberFormat="1" applyFont="1" applyBorder="1" applyAlignment="1">
      <alignment horizontal="left" vertical="center" wrapText="1"/>
    </xf>
    <xf numFmtId="0" fontId="36" fillId="10" borderId="71" xfId="0" applyFont="1" applyFill="1" applyBorder="1" applyAlignment="1">
      <alignment vertical="center" wrapText="1"/>
    </xf>
    <xf numFmtId="0" fontId="36" fillId="10" borderId="18" xfId="0" applyFont="1" applyFill="1" applyBorder="1" applyAlignment="1">
      <alignment vertical="center" wrapText="1"/>
    </xf>
    <xf numFmtId="0" fontId="36" fillId="0" borderId="33" xfId="0" applyFont="1" applyBorder="1"/>
    <xf numFmtId="0" fontId="36" fillId="0" borderId="13" xfId="0" applyFont="1" applyBorder="1"/>
    <xf numFmtId="0" fontId="36" fillId="0" borderId="59" xfId="0" applyFont="1" applyBorder="1"/>
    <xf numFmtId="0" fontId="36" fillId="10" borderId="30" xfId="0" applyFont="1" applyFill="1" applyBorder="1" applyAlignment="1">
      <alignment horizontal="center" vertical="center" wrapText="1"/>
    </xf>
    <xf numFmtId="0" fontId="36" fillId="10" borderId="24" xfId="0" applyFont="1" applyFill="1" applyBorder="1" applyAlignment="1">
      <alignment horizontal="center" vertical="center" wrapText="1"/>
    </xf>
    <xf numFmtId="0" fontId="36" fillId="10" borderId="72" xfId="0" applyFont="1" applyFill="1" applyBorder="1" applyAlignment="1">
      <alignment horizontal="center" vertical="center" wrapText="1"/>
    </xf>
    <xf numFmtId="0" fontId="37" fillId="10" borderId="8" xfId="0" applyFont="1" applyFill="1" applyBorder="1" applyAlignment="1">
      <alignment horizontal="center" vertical="center" wrapText="1"/>
    </xf>
    <xf numFmtId="174" fontId="37" fillId="10" borderId="6" xfId="0" applyNumberFormat="1" applyFont="1" applyFill="1" applyBorder="1" applyAlignment="1">
      <alignment horizontal="right" vertical="center" wrapText="1"/>
    </xf>
    <xf numFmtId="175" fontId="37" fillId="10" borderId="6" xfId="0" applyNumberFormat="1" applyFont="1" applyFill="1" applyBorder="1" applyAlignment="1">
      <alignment horizontal="right" vertical="center" wrapText="1"/>
    </xf>
    <xf numFmtId="175" fontId="37" fillId="10" borderId="6" xfId="0" applyNumberFormat="1" applyFont="1" applyFill="1" applyBorder="1" applyAlignment="1">
      <alignment horizontal="right"/>
    </xf>
    <xf numFmtId="175" fontId="37" fillId="10" borderId="6" xfId="0" applyNumberFormat="1" applyFont="1" applyFill="1" applyBorder="1" applyAlignment="1">
      <alignment horizontal="center" vertical="center" wrapText="1"/>
    </xf>
    <xf numFmtId="174" fontId="37" fillId="10" borderId="19" xfId="0" applyNumberFormat="1" applyFont="1" applyFill="1" applyBorder="1" applyAlignment="1">
      <alignment horizontal="right" vertical="center" wrapText="1"/>
    </xf>
    <xf numFmtId="175" fontId="36" fillId="10" borderId="43" xfId="0" applyNumberFormat="1" applyFont="1" applyFill="1" applyBorder="1" applyAlignment="1">
      <alignment horizontal="left" vertical="top" wrapText="1"/>
    </xf>
    <xf numFmtId="175" fontId="74" fillId="0" borderId="0" xfId="0" applyNumberFormat="1" applyFont="1"/>
    <xf numFmtId="175" fontId="74" fillId="0" borderId="0" xfId="0" applyNumberFormat="1" applyFont="1" applyAlignment="1">
      <alignment horizontal="left"/>
    </xf>
    <xf numFmtId="0" fontId="36" fillId="0" borderId="56" xfId="0" applyFont="1" applyBorder="1"/>
    <xf numFmtId="0" fontId="36" fillId="0" borderId="62" xfId="0" applyFont="1" applyBorder="1"/>
    <xf numFmtId="0" fontId="36" fillId="0" borderId="54" xfId="0" applyFont="1" applyBorder="1"/>
    <xf numFmtId="0" fontId="37" fillId="0" borderId="13" xfId="0" applyFont="1" applyBorder="1"/>
    <xf numFmtId="164" fontId="37" fillId="10" borderId="70" xfId="0" applyNumberFormat="1" applyFont="1" applyFill="1" applyBorder="1" applyAlignment="1">
      <alignment horizontal="left" vertical="top" wrapText="1"/>
    </xf>
    <xf numFmtId="0" fontId="37" fillId="10" borderId="50" xfId="0" applyFont="1" applyFill="1" applyBorder="1"/>
    <xf numFmtId="164" fontId="37" fillId="10" borderId="6" xfId="0" applyNumberFormat="1" applyFont="1" applyFill="1" applyBorder="1" applyAlignment="1">
      <alignment horizontal="right" vertical="center" wrapText="1"/>
    </xf>
    <xf numFmtId="175" fontId="61" fillId="0" borderId="0" xfId="0" applyNumberFormat="1" applyFont="1"/>
    <xf numFmtId="175" fontId="73" fillId="0" borderId="0" xfId="0" applyNumberFormat="1" applyFont="1"/>
    <xf numFmtId="1" fontId="37" fillId="10" borderId="7" xfId="0" applyNumberFormat="1" applyFont="1" applyFill="1" applyBorder="1"/>
    <xf numFmtId="1" fontId="37" fillId="0" borderId="7" xfId="0" applyNumberFormat="1" applyFont="1" applyBorder="1"/>
    <xf numFmtId="0" fontId="36" fillId="10" borderId="64" xfId="0" applyFont="1" applyFill="1" applyBorder="1" applyAlignment="1">
      <alignment horizontal="center"/>
    </xf>
    <xf numFmtId="174" fontId="36" fillId="10" borderId="65" xfId="0" applyNumberFormat="1" applyFont="1" applyFill="1" applyBorder="1" applyAlignment="1">
      <alignment horizontal="right"/>
    </xf>
    <xf numFmtId="175" fontId="36" fillId="10" borderId="65" xfId="0" applyNumberFormat="1" applyFont="1" applyFill="1" applyBorder="1" applyAlignment="1">
      <alignment horizontal="right"/>
    </xf>
    <xf numFmtId="175" fontId="36" fillId="10" borderId="65" xfId="0" applyNumberFormat="1" applyFont="1" applyFill="1" applyBorder="1" applyAlignment="1">
      <alignment horizontal="right" vertical="center" wrapText="1"/>
    </xf>
    <xf numFmtId="174" fontId="36" fillId="10" borderId="58" xfId="0" applyNumberFormat="1" applyFont="1" applyFill="1" applyBorder="1" applyAlignment="1">
      <alignment horizontal="right"/>
    </xf>
    <xf numFmtId="164" fontId="37" fillId="10" borderId="44" xfId="0" applyNumberFormat="1" applyFont="1" applyFill="1" applyBorder="1" applyAlignment="1">
      <alignment horizontal="left" vertical="top" wrapText="1"/>
    </xf>
    <xf numFmtId="2" fontId="42" fillId="0" borderId="0" xfId="0" applyNumberFormat="1" applyFont="1" applyAlignment="1">
      <alignment horizontal="center" vertical="center"/>
    </xf>
    <xf numFmtId="2" fontId="37" fillId="0" borderId="7" xfId="0" applyNumberFormat="1" applyFont="1" applyBorder="1"/>
    <xf numFmtId="0" fontId="37" fillId="0" borderId="43" xfId="0" applyFont="1" applyBorder="1"/>
    <xf numFmtId="0" fontId="76" fillId="0" borderId="0" xfId="0" applyFont="1" applyAlignment="1">
      <alignment horizontal="center" vertical="center"/>
    </xf>
    <xf numFmtId="166" fontId="37" fillId="0" borderId="11" xfId="0" applyNumberFormat="1" applyFont="1" applyBorder="1"/>
    <xf numFmtId="0" fontId="36" fillId="0" borderId="6" xfId="0" applyFont="1" applyBorder="1" applyAlignment="1">
      <alignment horizontal="center" vertical="center" wrapText="1"/>
    </xf>
    <xf numFmtId="0" fontId="37" fillId="0" borderId="70" xfId="0" applyFont="1" applyBorder="1"/>
    <xf numFmtId="0" fontId="36" fillId="0" borderId="12" xfId="0" applyFont="1" applyBorder="1"/>
    <xf numFmtId="164" fontId="36" fillId="0" borderId="0" xfId="0" applyNumberFormat="1" applyFont="1"/>
    <xf numFmtId="0" fontId="36" fillId="0" borderId="0" xfId="0" applyFont="1"/>
    <xf numFmtId="164" fontId="36" fillId="0" borderId="12" xfId="0" applyNumberFormat="1" applyFont="1" applyBorder="1"/>
    <xf numFmtId="175" fontId="36" fillId="0" borderId="0" xfId="0" applyNumberFormat="1" applyFont="1"/>
    <xf numFmtId="175" fontId="36" fillId="0" borderId="12" xfId="0" applyNumberFormat="1" applyFont="1" applyBorder="1"/>
    <xf numFmtId="175" fontId="37" fillId="0" borderId="19" xfId="0" applyNumberFormat="1" applyFont="1" applyBorder="1" applyAlignment="1">
      <alignment vertical="top"/>
    </xf>
    <xf numFmtId="175" fontId="37" fillId="0" borderId="73" xfId="0" applyNumberFormat="1" applyFont="1" applyBorder="1" applyAlignment="1">
      <alignment vertical="top"/>
    </xf>
    <xf numFmtId="164" fontId="37" fillId="0" borderId="73" xfId="0" applyNumberFormat="1" applyFont="1" applyBorder="1" applyAlignment="1">
      <alignment horizontal="center" vertical="center"/>
    </xf>
    <xf numFmtId="164" fontId="37" fillId="0" borderId="74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164" fontId="37" fillId="0" borderId="10" xfId="0" applyNumberFormat="1" applyFont="1" applyBorder="1" applyAlignment="1">
      <alignment horizontal="center" vertical="center"/>
    </xf>
    <xf numFmtId="9" fontId="37" fillId="0" borderId="10" xfId="0" applyNumberFormat="1" applyFont="1" applyBorder="1" applyAlignment="1">
      <alignment horizontal="center" vertical="center"/>
    </xf>
    <xf numFmtId="10" fontId="37" fillId="0" borderId="10" xfId="0" applyNumberFormat="1" applyFont="1" applyBorder="1" applyAlignment="1">
      <alignment horizontal="center" vertical="center"/>
    </xf>
    <xf numFmtId="164" fontId="37" fillId="0" borderId="61" xfId="0" applyNumberFormat="1" applyFont="1" applyBorder="1" applyAlignment="1">
      <alignment horizontal="center" vertical="center"/>
    </xf>
    <xf numFmtId="175" fontId="37" fillId="0" borderId="56" xfId="0" applyNumberFormat="1" applyFont="1" applyBorder="1" applyAlignment="1">
      <alignment horizontal="right" vertical="center"/>
    </xf>
    <xf numFmtId="174" fontId="37" fillId="0" borderId="54" xfId="0" applyNumberFormat="1" applyFont="1" applyBorder="1" applyAlignment="1">
      <alignment horizontal="right" vertical="center"/>
    </xf>
    <xf numFmtId="2" fontId="47" fillId="0" borderId="0" xfId="0" applyNumberFormat="1" applyFont="1" applyAlignment="1">
      <alignment horizontal="center" vertical="center"/>
    </xf>
    <xf numFmtId="175" fontId="37" fillId="0" borderId="0" xfId="0" applyNumberFormat="1" applyFont="1"/>
    <xf numFmtId="0" fontId="37" fillId="0" borderId="12" xfId="0" applyFont="1" applyBorder="1"/>
    <xf numFmtId="164" fontId="37" fillId="0" borderId="12" xfId="0" applyNumberFormat="1" applyFont="1" applyBorder="1"/>
    <xf numFmtId="164" fontId="37" fillId="0" borderId="0" xfId="0" applyNumberFormat="1" applyFont="1"/>
    <xf numFmtId="0" fontId="37" fillId="0" borderId="44" xfId="0" applyFont="1" applyBorder="1"/>
    <xf numFmtId="0" fontId="37" fillId="0" borderId="16" xfId="0" applyFont="1" applyBorder="1"/>
    <xf numFmtId="0" fontId="72" fillId="0" borderId="16" xfId="0" applyFont="1" applyBorder="1"/>
    <xf numFmtId="0" fontId="61" fillId="0" borderId="16" xfId="0" applyFont="1" applyBorder="1"/>
    <xf numFmtId="0" fontId="61" fillId="0" borderId="17" xfId="0" applyFont="1" applyBorder="1"/>
    <xf numFmtId="0" fontId="37" fillId="0" borderId="2" xfId="0" applyFont="1" applyBorder="1" applyAlignment="1">
      <alignment horizontal="center" vertical="top"/>
    </xf>
    <xf numFmtId="175" fontId="37" fillId="0" borderId="3" xfId="0" applyNumberFormat="1" applyFont="1" applyBorder="1" applyAlignment="1">
      <alignment vertical="top"/>
    </xf>
    <xf numFmtId="164" fontId="37" fillId="0" borderId="3" xfId="0" applyNumberFormat="1" applyFont="1" applyBorder="1" applyAlignment="1">
      <alignment vertical="top"/>
    </xf>
    <xf numFmtId="164" fontId="37" fillId="0" borderId="3" xfId="0" applyNumberFormat="1" applyFont="1" applyBorder="1" applyAlignment="1">
      <alignment horizontal="center" vertical="center"/>
    </xf>
    <xf numFmtId="175" fontId="37" fillId="0" borderId="6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top"/>
    </xf>
    <xf numFmtId="175" fontId="37" fillId="0" borderId="10" xfId="0" applyNumberFormat="1" applyFont="1" applyBorder="1" applyAlignment="1">
      <alignment vertical="top"/>
    </xf>
    <xf numFmtId="164" fontId="37" fillId="0" borderId="10" xfId="0" applyNumberFormat="1" applyFont="1" applyBorder="1" applyAlignment="1">
      <alignment vertical="top"/>
    </xf>
    <xf numFmtId="0" fontId="65" fillId="0" borderId="0" xfId="0" applyFont="1"/>
    <xf numFmtId="0" fontId="24" fillId="0" borderId="0" xfId="0" applyFont="1" applyAlignment="1">
      <alignment wrapText="1"/>
    </xf>
    <xf numFmtId="183" fontId="0" fillId="0" borderId="0" xfId="0" applyNumberFormat="1"/>
    <xf numFmtId="0" fontId="24" fillId="0" borderId="2" xfId="0" applyFont="1" applyBorder="1" applyAlignment="1">
      <alignment horizontal="center"/>
    </xf>
    <xf numFmtId="0" fontId="79" fillId="0" borderId="0" xfId="0" applyFont="1" applyAlignment="1">
      <alignment horizontal="center"/>
    </xf>
    <xf numFmtId="166" fontId="79" fillId="0" borderId="0" xfId="0" applyNumberFormat="1" applyFont="1" applyAlignment="1">
      <alignment horizontal="center" vertical="center"/>
    </xf>
    <xf numFmtId="186" fontId="77" fillId="0" borderId="8" xfId="0" applyNumberFormat="1" applyFont="1" applyBorder="1" applyAlignment="1">
      <alignment horizontal="center"/>
    </xf>
    <xf numFmtId="166" fontId="77" fillId="0" borderId="6" xfId="0" applyNumberFormat="1" applyFont="1" applyBorder="1" applyAlignment="1">
      <alignment horizontal="center"/>
    </xf>
    <xf numFmtId="166" fontId="77" fillId="0" borderId="8" xfId="0" applyNumberFormat="1" applyFont="1" applyBorder="1" applyAlignment="1">
      <alignment horizontal="center"/>
    </xf>
    <xf numFmtId="166" fontId="77" fillId="8" borderId="6" xfId="0" applyNumberFormat="1" applyFont="1" applyFill="1" applyBorder="1" applyAlignment="1">
      <alignment horizontal="center"/>
    </xf>
    <xf numFmtId="166" fontId="80" fillId="0" borderId="6" xfId="0" applyNumberFormat="1" applyFont="1" applyBorder="1" applyAlignment="1">
      <alignment horizontal="center"/>
    </xf>
    <xf numFmtId="166" fontId="77" fillId="0" borderId="7" xfId="0" applyNumberFormat="1" applyFont="1" applyBorder="1" applyAlignment="1">
      <alignment horizontal="center"/>
    </xf>
    <xf numFmtId="186" fontId="77" fillId="0" borderId="76" xfId="0" applyNumberFormat="1" applyFont="1" applyBorder="1" applyAlignment="1">
      <alignment horizontal="center"/>
    </xf>
    <xf numFmtId="166" fontId="77" fillId="0" borderId="30" xfId="0" applyNumberFormat="1" applyFont="1" applyBorder="1" applyAlignment="1">
      <alignment horizontal="center"/>
    </xf>
    <xf numFmtId="166" fontId="77" fillId="8" borderId="30" xfId="0" applyNumberFormat="1" applyFont="1" applyFill="1" applyBorder="1" applyAlignment="1">
      <alignment horizontal="center"/>
    </xf>
    <xf numFmtId="171" fontId="77" fillId="0" borderId="30" xfId="0" applyNumberFormat="1" applyFont="1" applyBorder="1" applyAlignment="1">
      <alignment horizontal="center"/>
    </xf>
    <xf numFmtId="14" fontId="77" fillId="0" borderId="12" xfId="0" applyNumberFormat="1" applyFont="1" applyBorder="1" applyAlignment="1">
      <alignment horizontal="center"/>
    </xf>
    <xf numFmtId="166" fontId="81" fillId="0" borderId="6" xfId="0" applyNumberFormat="1" applyFont="1" applyBorder="1" applyAlignment="1">
      <alignment horizontal="center"/>
    </xf>
    <xf numFmtId="166" fontId="77" fillId="0" borderId="49" xfId="0" applyNumberFormat="1" applyFont="1" applyBorder="1" applyAlignment="1">
      <alignment horizontal="center"/>
    </xf>
    <xf numFmtId="166" fontId="24" fillId="0" borderId="77" xfId="0" applyNumberFormat="1" applyFont="1" applyBorder="1" applyAlignment="1">
      <alignment horizontal="center"/>
    </xf>
    <xf numFmtId="14" fontId="77" fillId="10" borderId="9" xfId="0" applyNumberFormat="1" applyFont="1" applyFill="1" applyBorder="1" applyAlignment="1">
      <alignment horizontal="center"/>
    </xf>
    <xf numFmtId="166" fontId="77" fillId="10" borderId="10" xfId="0" applyNumberFormat="1" applyFont="1" applyFill="1" applyBorder="1" applyAlignment="1">
      <alignment horizontal="center"/>
    </xf>
    <xf numFmtId="166" fontId="82" fillId="10" borderId="10" xfId="0" applyNumberFormat="1" applyFont="1" applyFill="1" applyBorder="1" applyAlignment="1">
      <alignment horizontal="center"/>
    </xf>
    <xf numFmtId="166" fontId="24" fillId="0" borderId="72" xfId="0" applyNumberFormat="1" applyFont="1" applyBorder="1" applyAlignment="1">
      <alignment horizontal="center"/>
    </xf>
    <xf numFmtId="0" fontId="35" fillId="19" borderId="2" xfId="0" applyFont="1" applyFill="1" applyBorder="1" applyAlignment="1">
      <alignment horizontal="center" vertical="center"/>
    </xf>
    <xf numFmtId="0" fontId="35" fillId="19" borderId="3" xfId="0" applyFont="1" applyFill="1" applyBorder="1" applyAlignment="1">
      <alignment horizontal="center" vertical="center" wrapText="1"/>
    </xf>
    <xf numFmtId="0" fontId="35" fillId="19" borderId="3" xfId="0" applyFont="1" applyFill="1" applyBorder="1" applyAlignment="1">
      <alignment horizontal="center" vertical="center"/>
    </xf>
    <xf numFmtId="0" fontId="35" fillId="19" borderId="4" xfId="0" applyFont="1" applyFill="1" applyBorder="1" applyAlignment="1">
      <alignment horizontal="center" vertical="center"/>
    </xf>
    <xf numFmtId="187" fontId="0" fillId="0" borderId="8" xfId="0" applyNumberFormat="1" applyBorder="1"/>
    <xf numFmtId="187" fontId="0" fillId="0" borderId="9" xfId="0" applyNumberFormat="1" applyBorder="1"/>
    <xf numFmtId="0" fontId="0" fillId="0" borderId="11" xfId="0" applyBorder="1"/>
    <xf numFmtId="15" fontId="0" fillId="0" borderId="0" xfId="0" applyNumberFormat="1"/>
    <xf numFmtId="15" fontId="84" fillId="31" borderId="0" xfId="0" applyNumberFormat="1" applyFont="1" applyFill="1" applyAlignment="1">
      <alignment horizontal="center"/>
    </xf>
    <xf numFmtId="0" fontId="86" fillId="0" borderId="0" xfId="0" applyFont="1" applyAlignment="1">
      <alignment horizontal="center"/>
    </xf>
    <xf numFmtId="15" fontId="86" fillId="0" borderId="0" xfId="0" applyNumberFormat="1" applyFont="1" applyAlignment="1">
      <alignment horizontal="center"/>
    </xf>
    <xf numFmtId="0" fontId="87" fillId="0" borderId="0" xfId="0" applyFont="1" applyAlignment="1">
      <alignment horizontal="center"/>
    </xf>
    <xf numFmtId="15" fontId="87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 vertical="center" wrapText="1"/>
    </xf>
    <xf numFmtId="15" fontId="14" fillId="0" borderId="0" xfId="0" applyNumberFormat="1" applyFont="1" applyAlignment="1">
      <alignment horizontal="center" vertical="center" wrapText="1"/>
    </xf>
    <xf numFmtId="164" fontId="15" fillId="0" borderId="31" xfId="0" applyNumberFormat="1" applyFont="1" applyBorder="1"/>
    <xf numFmtId="179" fontId="15" fillId="0" borderId="31" xfId="0" applyNumberFormat="1" applyFont="1" applyBorder="1"/>
    <xf numFmtId="164" fontId="89" fillId="13" borderId="31" xfId="0" applyNumberFormat="1" applyFont="1" applyFill="1" applyBorder="1" applyAlignment="1">
      <alignment horizontal="center" vertical="center" wrapText="1"/>
    </xf>
    <xf numFmtId="164" fontId="89" fillId="13" borderId="31" xfId="0" applyNumberFormat="1" applyFont="1" applyFill="1" applyBorder="1" applyAlignment="1">
      <alignment wrapText="1"/>
    </xf>
    <xf numFmtId="164" fontId="15" fillId="13" borderId="31" xfId="0" applyNumberFormat="1" applyFont="1" applyFill="1" applyBorder="1" applyAlignment="1">
      <alignment vertical="center" wrapText="1"/>
    </xf>
    <xf numFmtId="164" fontId="15" fillId="13" borderId="31" xfId="0" applyNumberFormat="1" applyFont="1" applyFill="1" applyBorder="1" applyAlignment="1">
      <alignment horizontal="center" vertical="center" wrapText="1"/>
    </xf>
    <xf numFmtId="174" fontId="16" fillId="0" borderId="19" xfId="0" applyNumberFormat="1" applyFont="1" applyBorder="1" applyAlignment="1">
      <alignment horizontal="left"/>
    </xf>
    <xf numFmtId="164" fontId="16" fillId="0" borderId="5" xfId="0" applyNumberFormat="1" applyFont="1" applyBorder="1" applyAlignment="1">
      <alignment horizontal="left"/>
    </xf>
    <xf numFmtId="164" fontId="16" fillId="0" borderId="6" xfId="0" applyNumberFormat="1" applyFont="1" applyBorder="1" applyAlignment="1">
      <alignment horizontal="center" vertical="center"/>
    </xf>
    <xf numFmtId="164" fontId="16" fillId="0" borderId="6" xfId="0" applyNumberFormat="1" applyFont="1" applyBorder="1"/>
    <xf numFmtId="175" fontId="16" fillId="0" borderId="6" xfId="0" applyNumberFormat="1" applyFont="1" applyBorder="1"/>
    <xf numFmtId="164" fontId="15" fillId="0" borderId="6" xfId="0" applyNumberFormat="1" applyFont="1" applyBorder="1"/>
    <xf numFmtId="164" fontId="15" fillId="0" borderId="6" xfId="0" applyNumberFormat="1" applyFont="1" applyBorder="1" applyAlignment="1">
      <alignment horizontal="center"/>
    </xf>
    <xf numFmtId="164" fontId="13" fillId="0" borderId="0" xfId="0" applyNumberFormat="1" applyFont="1"/>
    <xf numFmtId="15" fontId="13" fillId="0" borderId="0" xfId="0" applyNumberFormat="1" applyFont="1"/>
    <xf numFmtId="164" fontId="16" fillId="13" borderId="19" xfId="0" applyNumberFormat="1" applyFont="1" applyFill="1" applyBorder="1" applyAlignment="1">
      <alignment horizontal="left"/>
    </xf>
    <xf numFmtId="164" fontId="16" fillId="13" borderId="5" xfId="0" applyNumberFormat="1" applyFont="1" applyFill="1" applyBorder="1" applyAlignment="1">
      <alignment horizontal="left"/>
    </xf>
    <xf numFmtId="188" fontId="16" fillId="13" borderId="6" xfId="0" applyNumberFormat="1" applyFont="1" applyFill="1" applyBorder="1" applyAlignment="1">
      <alignment horizontal="center" vertical="center"/>
    </xf>
    <xf numFmtId="175" fontId="16" fillId="13" borderId="6" xfId="0" applyNumberFormat="1" applyFont="1" applyFill="1" applyBorder="1"/>
    <xf numFmtId="164" fontId="16" fillId="13" borderId="6" xfId="0" applyNumberFormat="1" applyFont="1" applyFill="1" applyBorder="1"/>
    <xf numFmtId="180" fontId="16" fillId="13" borderId="6" xfId="0" applyNumberFormat="1" applyFont="1" applyFill="1" applyBorder="1"/>
    <xf numFmtId="164" fontId="16" fillId="13" borderId="6" xfId="0" applyNumberFormat="1" applyFont="1" applyFill="1" applyBorder="1" applyAlignment="1">
      <alignment horizontal="center"/>
    </xf>
    <xf numFmtId="164" fontId="33" fillId="13" borderId="6" xfId="0" applyNumberFormat="1" applyFont="1" applyFill="1" applyBorder="1"/>
    <xf numFmtId="15" fontId="0" fillId="0" borderId="6" xfId="0" applyNumberFormat="1" applyBorder="1"/>
    <xf numFmtId="1" fontId="0" fillId="0" borderId="6" xfId="0" applyNumberFormat="1" applyBorder="1"/>
    <xf numFmtId="164" fontId="16" fillId="8" borderId="6" xfId="0" applyNumberFormat="1" applyFont="1" applyFill="1" applyBorder="1" applyAlignment="1">
      <alignment horizontal="center"/>
    </xf>
    <xf numFmtId="164" fontId="16" fillId="8" borderId="6" xfId="0" applyNumberFormat="1" applyFont="1" applyFill="1" applyBorder="1"/>
    <xf numFmtId="164" fontId="16" fillId="0" borderId="6" xfId="0" applyNumberFormat="1" applyFont="1" applyBorder="1" applyAlignment="1">
      <alignment horizontal="center"/>
    </xf>
    <xf numFmtId="179" fontId="16" fillId="0" borderId="6" xfId="0" applyNumberFormat="1" applyFont="1" applyBorder="1"/>
    <xf numFmtId="164" fontId="33" fillId="0" borderId="6" xfId="0" applyNumberFormat="1" applyFont="1" applyBorder="1"/>
    <xf numFmtId="164" fontId="16" fillId="13" borderId="6" xfId="0" applyNumberFormat="1" applyFont="1" applyFill="1" applyBorder="1" applyAlignment="1">
      <alignment horizontal="center" vertical="center"/>
    </xf>
    <xf numFmtId="179" fontId="16" fillId="13" borderId="6" xfId="0" applyNumberFormat="1" applyFont="1" applyFill="1" applyBorder="1"/>
    <xf numFmtId="179" fontId="31" fillId="0" borderId="0" xfId="0" applyNumberFormat="1" applyFont="1"/>
    <xf numFmtId="178" fontId="31" fillId="0" borderId="0" xfId="0" applyNumberFormat="1" applyFont="1"/>
    <xf numFmtId="15" fontId="35" fillId="0" borderId="0" xfId="0" applyNumberFormat="1" applyFont="1" applyAlignment="1">
      <alignment horizontal="center"/>
    </xf>
    <xf numFmtId="0" fontId="78" fillId="0" borderId="13" xfId="0" applyFont="1" applyBorder="1" applyAlignment="1">
      <alignment horizontal="center" vertical="center"/>
    </xf>
    <xf numFmtId="0" fontId="78" fillId="0" borderId="13" xfId="0" applyFont="1" applyBorder="1" applyAlignment="1">
      <alignment vertical="center"/>
    </xf>
    <xf numFmtId="0" fontId="0" fillId="0" borderId="12" xfId="0" applyBorder="1" applyAlignment="1">
      <alignment horizontal="left"/>
    </xf>
    <xf numFmtId="0" fontId="24" fillId="0" borderId="12" xfId="0" applyFont="1" applyBorder="1" applyAlignment="1">
      <alignment horizontal="left" vertical="center"/>
    </xf>
    <xf numFmtId="0" fontId="93" fillId="0" borderId="0" xfId="0" applyFont="1"/>
    <xf numFmtId="0" fontId="93" fillId="0" borderId="53" xfId="0" applyFont="1" applyBorder="1"/>
    <xf numFmtId="0" fontId="24" fillId="0" borderId="14" xfId="0" applyFont="1" applyBorder="1" applyAlignment="1">
      <alignment vertical="center"/>
    </xf>
    <xf numFmtId="0" fontId="49" fillId="0" borderId="12" xfId="0" applyFont="1" applyBorder="1" applyAlignment="1">
      <alignment horizontal="left"/>
    </xf>
    <xf numFmtId="0" fontId="49" fillId="0" borderId="0" xfId="0" applyFont="1"/>
    <xf numFmtId="49" fontId="94" fillId="0" borderId="0" xfId="0" applyNumberFormat="1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189" fontId="49" fillId="0" borderId="0" xfId="0" applyNumberFormat="1" applyFont="1" applyAlignment="1">
      <alignment horizontal="left"/>
    </xf>
    <xf numFmtId="0" fontId="49" fillId="0" borderId="0" xfId="0" applyFont="1" applyAlignment="1">
      <alignment horizontal="center"/>
    </xf>
    <xf numFmtId="0" fontId="78" fillId="0" borderId="0" xfId="0" applyFont="1"/>
    <xf numFmtId="0" fontId="65" fillId="0" borderId="12" xfId="0" applyFont="1" applyBorder="1" applyAlignment="1">
      <alignment horizontal="left"/>
    </xf>
    <xf numFmtId="0" fontId="65" fillId="0" borderId="55" xfId="0" applyFont="1" applyBorder="1" applyAlignment="1">
      <alignment vertical="center"/>
    </xf>
    <xf numFmtId="0" fontId="34" fillId="0" borderId="55" xfId="0" applyFont="1" applyBorder="1" applyAlignment="1">
      <alignment horizontal="center" vertical="top" wrapText="1"/>
    </xf>
    <xf numFmtId="49" fontId="0" fillId="0" borderId="55" xfId="0" applyNumberFormat="1" applyBorder="1" applyAlignment="1">
      <alignment horizontal="center" vertical="center"/>
    </xf>
    <xf numFmtId="0" fontId="34" fillId="0" borderId="55" xfId="0" applyFont="1" applyBorder="1" applyAlignment="1">
      <alignment horizontal="left" vertical="top" wrapText="1"/>
    </xf>
    <xf numFmtId="0" fontId="3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65" fillId="0" borderId="0" xfId="0" applyFont="1" applyAlignment="1">
      <alignment horizontal="center"/>
    </xf>
    <xf numFmtId="0" fontId="65" fillId="0" borderId="12" xfId="0" applyFont="1" applyBorder="1" applyAlignment="1">
      <alignment horizontal="left" vertical="center"/>
    </xf>
    <xf numFmtId="0" fontId="65" fillId="0" borderId="0" xfId="0" applyFont="1" applyAlignment="1">
      <alignment vertical="center"/>
    </xf>
    <xf numFmtId="0" fontId="101" fillId="0" borderId="12" xfId="0" applyFont="1" applyBorder="1" applyAlignment="1">
      <alignment horizontal="left"/>
    </xf>
    <xf numFmtId="0" fontId="101" fillId="0" borderId="0" xfId="0" applyFont="1" applyAlignment="1">
      <alignment horizontal="center"/>
    </xf>
    <xf numFmtId="0" fontId="101" fillId="0" borderId="14" xfId="0" applyFont="1" applyBorder="1" applyAlignment="1">
      <alignment horizontal="center"/>
    </xf>
    <xf numFmtId="0" fontId="77" fillId="0" borderId="1" xfId="0" applyFont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77" fillId="0" borderId="0" xfId="0" applyFont="1" applyAlignment="1">
      <alignment wrapText="1"/>
    </xf>
    <xf numFmtId="0" fontId="77" fillId="0" borderId="56" xfId="0" applyFont="1" applyBorder="1" applyAlignment="1">
      <alignment horizontal="center" vertical="center" wrapText="1"/>
    </xf>
    <xf numFmtId="49" fontId="0" fillId="0" borderId="67" xfId="0" applyNumberFormat="1" applyBorder="1" applyAlignment="1">
      <alignment horizontal="left" vertical="center"/>
    </xf>
    <xf numFmtId="1" fontId="65" fillId="0" borderId="78" xfId="0" applyNumberFormat="1" applyFont="1" applyBorder="1" applyAlignment="1">
      <alignment horizontal="center"/>
    </xf>
    <xf numFmtId="14" fontId="65" fillId="0" borderId="68" xfId="0" applyNumberFormat="1" applyFont="1" applyBorder="1" applyAlignment="1">
      <alignment horizontal="center"/>
    </xf>
    <xf numFmtId="17" fontId="77" fillId="0" borderId="68" xfId="0" applyNumberFormat="1" applyFont="1" applyBorder="1" applyAlignment="1">
      <alignment vertical="center"/>
    </xf>
    <xf numFmtId="166" fontId="65" fillId="0" borderId="68" xfId="0" applyNumberFormat="1" applyFont="1" applyBorder="1" applyAlignment="1">
      <alignment vertical="center"/>
    </xf>
    <xf numFmtId="2" fontId="102" fillId="0" borderId="68" xfId="0" applyNumberFormat="1" applyFont="1" applyBorder="1" applyAlignment="1">
      <alignment horizontal="center" vertical="center"/>
    </xf>
    <xf numFmtId="166" fontId="102" fillId="0" borderId="78" xfId="0" applyNumberFormat="1" applyFont="1" applyBorder="1" applyAlignment="1">
      <alignment horizontal="center" vertical="center"/>
    </xf>
    <xf numFmtId="0" fontId="65" fillId="0" borderId="68" xfId="0" applyFont="1" applyBorder="1" applyAlignment="1">
      <alignment horizontal="center" vertical="center" wrapText="1"/>
    </xf>
    <xf numFmtId="0" fontId="77" fillId="0" borderId="68" xfId="0" applyFont="1" applyBorder="1" applyAlignment="1">
      <alignment vertical="center" wrapText="1"/>
    </xf>
    <xf numFmtId="0" fontId="65" fillId="0" borderId="68" xfId="0" applyFont="1" applyBorder="1" applyAlignment="1">
      <alignment horizontal="center"/>
    </xf>
    <xf numFmtId="0" fontId="65" fillId="0" borderId="51" xfId="0" applyFont="1" applyBorder="1" applyAlignment="1">
      <alignment horizontal="left"/>
    </xf>
    <xf numFmtId="1" fontId="65" fillId="0" borderId="38" xfId="0" applyNumberFormat="1" applyFont="1" applyBorder="1" applyAlignment="1">
      <alignment horizontal="center"/>
    </xf>
    <xf numFmtId="17" fontId="65" fillId="0" borderId="38" xfId="0" applyNumberFormat="1" applyFont="1" applyBorder="1" applyAlignment="1">
      <alignment horizontal="center"/>
    </xf>
    <xf numFmtId="17" fontId="77" fillId="0" borderId="38" xfId="0" applyNumberFormat="1" applyFont="1" applyBorder="1" applyAlignment="1">
      <alignment vertical="center"/>
    </xf>
    <xf numFmtId="166" fontId="65" fillId="0" borderId="38" xfId="0" applyNumberFormat="1" applyFont="1" applyBorder="1" applyAlignment="1">
      <alignment vertical="center"/>
    </xf>
    <xf numFmtId="2" fontId="102" fillId="0" borderId="35" xfId="0" applyNumberFormat="1" applyFont="1" applyBorder="1" applyAlignment="1">
      <alignment horizontal="center" vertical="center"/>
    </xf>
    <xf numFmtId="2" fontId="102" fillId="0" borderId="38" xfId="0" applyNumberFormat="1" applyFont="1" applyBorder="1" applyAlignment="1">
      <alignment horizontal="center" vertical="center"/>
    </xf>
    <xf numFmtId="2" fontId="102" fillId="0" borderId="0" xfId="0" applyNumberFormat="1" applyFont="1" applyAlignment="1">
      <alignment horizontal="center" vertical="center"/>
    </xf>
    <xf numFmtId="166" fontId="102" fillId="0" borderId="35" xfId="0" applyNumberFormat="1" applyFont="1" applyBorder="1" applyAlignment="1">
      <alignment horizontal="center" vertical="center"/>
    </xf>
    <xf numFmtId="0" fontId="65" fillId="0" borderId="38" xfId="0" applyFont="1" applyBorder="1" applyAlignment="1">
      <alignment horizontal="center" vertical="center" wrapText="1"/>
    </xf>
    <xf numFmtId="0" fontId="77" fillId="0" borderId="38" xfId="0" applyFont="1" applyBorder="1" applyAlignment="1">
      <alignment vertical="center" wrapText="1"/>
    </xf>
    <xf numFmtId="0" fontId="65" fillId="0" borderId="38" xfId="0" applyFont="1" applyBorder="1" applyAlignment="1">
      <alignment horizontal="center"/>
    </xf>
    <xf numFmtId="0" fontId="77" fillId="0" borderId="38" xfId="0" applyFont="1" applyBorder="1" applyAlignment="1">
      <alignment horizontal="center" vertical="center" wrapText="1"/>
    </xf>
    <xf numFmtId="2" fontId="65" fillId="0" borderId="35" xfId="0" applyNumberFormat="1" applyFont="1" applyBorder="1" applyAlignment="1">
      <alignment horizontal="center" vertical="center"/>
    </xf>
    <xf numFmtId="2" fontId="65" fillId="0" borderId="38" xfId="0" applyNumberFormat="1" applyFont="1" applyBorder="1" applyAlignment="1">
      <alignment horizontal="center" vertical="center"/>
    </xf>
    <xf numFmtId="2" fontId="65" fillId="0" borderId="0" xfId="0" applyNumberFormat="1" applyFont="1" applyAlignment="1">
      <alignment horizontal="center" vertical="center"/>
    </xf>
    <xf numFmtId="166" fontId="65" fillId="0" borderId="35" xfId="0" applyNumberFormat="1" applyFont="1" applyBorder="1" applyAlignment="1">
      <alignment horizontal="center" vertical="center"/>
    </xf>
    <xf numFmtId="0" fontId="103" fillId="0" borderId="38" xfId="0" applyFont="1" applyBorder="1" applyAlignment="1">
      <alignment horizontal="center"/>
    </xf>
    <xf numFmtId="17" fontId="103" fillId="0" borderId="38" xfId="0" applyNumberFormat="1" applyFont="1" applyBorder="1" applyAlignment="1">
      <alignment horizontal="center"/>
    </xf>
    <xf numFmtId="0" fontId="103" fillId="0" borderId="38" xfId="0" applyFont="1" applyBorder="1" applyAlignment="1">
      <alignment horizontal="center" vertical="center" wrapText="1"/>
    </xf>
    <xf numFmtId="0" fontId="71" fillId="0" borderId="38" xfId="0" applyFont="1" applyBorder="1" applyAlignment="1">
      <alignment vertical="center" wrapText="1"/>
    </xf>
    <xf numFmtId="0" fontId="65" fillId="0" borderId="15" xfId="0" applyFont="1" applyBorder="1" applyAlignment="1">
      <alignment horizontal="left"/>
    </xf>
    <xf numFmtId="0" fontId="103" fillId="0" borderId="65" xfId="0" applyFont="1" applyBorder="1" applyAlignment="1">
      <alignment horizontal="center"/>
    </xf>
    <xf numFmtId="17" fontId="103" fillId="0" borderId="65" xfId="0" applyNumberFormat="1" applyFont="1" applyBorder="1" applyAlignment="1">
      <alignment horizontal="center"/>
    </xf>
    <xf numFmtId="17" fontId="77" fillId="0" borderId="65" xfId="0" applyNumberFormat="1" applyFont="1" applyBorder="1" applyAlignment="1">
      <alignment vertical="center"/>
    </xf>
    <xf numFmtId="166" fontId="65" fillId="0" borderId="65" xfId="0" applyNumberFormat="1" applyFont="1" applyBorder="1" applyAlignment="1">
      <alignment vertical="center"/>
    </xf>
    <xf numFmtId="2" fontId="65" fillId="0" borderId="58" xfId="0" applyNumberFormat="1" applyFont="1" applyBorder="1" applyAlignment="1">
      <alignment horizontal="center" vertical="center"/>
    </xf>
    <xf numFmtId="2" fontId="65" fillId="0" borderId="65" xfId="0" applyNumberFormat="1" applyFont="1" applyBorder="1" applyAlignment="1">
      <alignment horizontal="center" vertical="center"/>
    </xf>
    <xf numFmtId="2" fontId="65" fillId="0" borderId="16" xfId="0" applyNumberFormat="1" applyFont="1" applyBorder="1" applyAlignment="1">
      <alignment horizontal="center" vertical="center"/>
    </xf>
    <xf numFmtId="166" fontId="65" fillId="0" borderId="58" xfId="0" applyNumberFormat="1" applyFont="1" applyBorder="1" applyAlignment="1">
      <alignment horizontal="center" vertical="center"/>
    </xf>
    <xf numFmtId="0" fontId="103" fillId="0" borderId="65" xfId="0" applyFont="1" applyBorder="1" applyAlignment="1">
      <alignment horizontal="center" vertical="center" wrapText="1"/>
    </xf>
    <xf numFmtId="0" fontId="71" fillId="0" borderId="65" xfId="0" applyFont="1" applyBorder="1" applyAlignment="1">
      <alignment vertical="center" wrapText="1"/>
    </xf>
    <xf numFmtId="17" fontId="65" fillId="0" borderId="0" xfId="0" applyNumberFormat="1" applyFont="1" applyAlignment="1">
      <alignment horizontal="center"/>
    </xf>
    <xf numFmtId="166" fontId="65" fillId="0" borderId="0" xfId="0" applyNumberFormat="1" applyFont="1" applyAlignment="1">
      <alignment horizontal="center"/>
    </xf>
    <xf numFmtId="2" fontId="104" fillId="0" borderId="0" xfId="0" applyNumberFormat="1" applyFont="1" applyAlignment="1">
      <alignment horizontal="center" vertical="center"/>
    </xf>
    <xf numFmtId="2" fontId="61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70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14" xfId="0" applyFont="1" applyBorder="1" applyAlignment="1">
      <alignment horizontal="center" vertical="center"/>
    </xf>
    <xf numFmtId="0" fontId="0" fillId="0" borderId="55" xfId="0" applyBorder="1"/>
    <xf numFmtId="0" fontId="49" fillId="0" borderId="14" xfId="0" applyFont="1" applyBorder="1"/>
    <xf numFmtId="172" fontId="0" fillId="0" borderId="55" xfId="0" applyNumberFormat="1" applyBorder="1" applyAlignment="1">
      <alignment horizontal="center" vertical="center"/>
    </xf>
    <xf numFmtId="190" fontId="0" fillId="0" borderId="55" xfId="0" applyNumberFormat="1" applyBorder="1"/>
    <xf numFmtId="0" fontId="0" fillId="0" borderId="53" xfId="0" applyBorder="1"/>
    <xf numFmtId="0" fontId="49" fillId="0" borderId="15" xfId="0" applyFont="1" applyBorder="1" applyAlignment="1">
      <alignment horizontal="left"/>
    </xf>
    <xf numFmtId="0" fontId="49" fillId="0" borderId="16" xfId="0" applyFont="1" applyBorder="1"/>
    <xf numFmtId="49" fontId="0" fillId="8" borderId="16" xfId="0" applyNumberFormat="1" applyFill="1" applyBorder="1" applyAlignment="1">
      <alignment horizontal="center" vertical="center"/>
    </xf>
    <xf numFmtId="14" fontId="0" fillId="0" borderId="55" xfId="0" applyNumberFormat="1" applyBorder="1"/>
    <xf numFmtId="0" fontId="0" fillId="0" borderId="5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13" borderId="56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13" borderId="44" xfId="0" applyNumberFormat="1" applyFill="1" applyBorder="1"/>
    <xf numFmtId="17" fontId="0" fillId="0" borderId="6" xfId="0" applyNumberFormat="1" applyBorder="1" applyAlignment="1">
      <alignment horizontal="left"/>
    </xf>
    <xf numFmtId="0" fontId="34" fillId="0" borderId="0" xfId="0" applyFont="1" applyAlignment="1">
      <alignment horizontal="left"/>
    </xf>
    <xf numFmtId="0" fontId="34" fillId="0" borderId="14" xfId="0" applyFont="1" applyBorder="1" applyAlignment="1">
      <alignment wrapText="1"/>
    </xf>
    <xf numFmtId="0" fontId="34" fillId="0" borderId="16" xfId="0" applyFont="1" applyBorder="1" applyAlignment="1">
      <alignment horizontal="left"/>
    </xf>
    <xf numFmtId="0" fontId="0" fillId="0" borderId="0" xfId="0" applyAlignment="1">
      <alignment vertical="center"/>
    </xf>
    <xf numFmtId="166" fontId="12" fillId="0" borderId="0" xfId="0" applyNumberFormat="1" applyFont="1" applyAlignment="1">
      <alignment horizontal="left" vertical="center" wrapText="1"/>
    </xf>
    <xf numFmtId="166" fontId="56" fillId="0" borderId="17" xfId="0" applyNumberFormat="1" applyFont="1" applyBorder="1" applyAlignment="1">
      <alignment horizontal="center" vertical="center"/>
    </xf>
    <xf numFmtId="166" fontId="56" fillId="0" borderId="17" xfId="0" applyNumberFormat="1" applyFont="1" applyBorder="1" applyAlignment="1">
      <alignment vertical="center"/>
    </xf>
    <xf numFmtId="0" fontId="56" fillId="32" borderId="44" xfId="0" applyFont="1" applyFill="1" applyBorder="1" applyAlignment="1">
      <alignment horizontal="center" vertical="center"/>
    </xf>
    <xf numFmtId="0" fontId="56" fillId="32" borderId="17" xfId="0" applyFont="1" applyFill="1" applyBorder="1" applyAlignment="1">
      <alignment horizontal="center" vertical="center"/>
    </xf>
    <xf numFmtId="0" fontId="56" fillId="32" borderId="17" xfId="0" applyFont="1" applyFill="1" applyBorder="1" applyAlignment="1">
      <alignment vertical="center"/>
    </xf>
    <xf numFmtId="0" fontId="56" fillId="33" borderId="44" xfId="0" applyFont="1" applyFill="1" applyBorder="1" applyAlignment="1">
      <alignment horizontal="center" vertical="center"/>
    </xf>
    <xf numFmtId="0" fontId="56" fillId="40" borderId="44" xfId="0" applyFont="1" applyFill="1" applyBorder="1" applyAlignment="1">
      <alignment horizontal="center" vertical="center"/>
    </xf>
    <xf numFmtId="0" fontId="56" fillId="40" borderId="17" xfId="0" applyFont="1" applyFill="1" applyBorder="1" applyAlignment="1">
      <alignment horizontal="center" vertical="center"/>
    </xf>
    <xf numFmtId="166" fontId="56" fillId="40" borderId="17" xfId="0" applyNumberFormat="1" applyFont="1" applyFill="1" applyBorder="1" applyAlignment="1">
      <alignment horizontal="center" vertical="center"/>
    </xf>
    <xf numFmtId="0" fontId="56" fillId="40" borderId="17" xfId="0" applyFont="1" applyFill="1" applyBorder="1" applyAlignment="1">
      <alignment vertical="center"/>
    </xf>
    <xf numFmtId="166" fontId="56" fillId="40" borderId="17" xfId="0" applyNumberFormat="1" applyFont="1" applyFill="1" applyBorder="1" applyAlignment="1">
      <alignment vertical="center"/>
    </xf>
    <xf numFmtId="178" fontId="0" fillId="7" borderId="30" xfId="0" applyNumberFormat="1" applyFill="1" applyBorder="1" applyAlignment="1">
      <alignment horizontal="left" vertical="center"/>
    </xf>
    <xf numFmtId="166" fontId="0" fillId="7" borderId="30" xfId="0" applyNumberFormat="1" applyFill="1" applyBorder="1"/>
    <xf numFmtId="178" fontId="0" fillId="0" borderId="53" xfId="0" applyNumberFormat="1" applyBorder="1" applyAlignment="1">
      <alignment horizontal="left" vertical="center"/>
    </xf>
    <xf numFmtId="166" fontId="0" fillId="0" borderId="53" xfId="0" applyNumberFormat="1" applyBorder="1"/>
    <xf numFmtId="0" fontId="110" fillId="0" borderId="12" xfId="0" applyFont="1" applyBorder="1" applyAlignment="1">
      <alignment horizontal="left" vertical="top"/>
    </xf>
    <xf numFmtId="0" fontId="110" fillId="0" borderId="15" xfId="0" applyFont="1" applyBorder="1" applyAlignment="1">
      <alignment horizontal="left" vertical="top"/>
    </xf>
    <xf numFmtId="0" fontId="110" fillId="0" borderId="0" xfId="0" applyFont="1" applyAlignment="1">
      <alignment horizontal="left"/>
    </xf>
    <xf numFmtId="0" fontId="110" fillId="0" borderId="0" xfId="0" applyFont="1" applyAlignment="1">
      <alignment horizontal="center" vertical="center"/>
    </xf>
    <xf numFmtId="166" fontId="32" fillId="0" borderId="17" xfId="0" applyNumberFormat="1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166" fontId="32" fillId="0" borderId="17" xfId="0" applyNumberFormat="1" applyFont="1" applyBorder="1" applyAlignment="1">
      <alignment vertical="center"/>
    </xf>
    <xf numFmtId="0" fontId="56" fillId="0" borderId="44" xfId="0" applyFont="1" applyBorder="1" applyAlignment="1">
      <alignment horizontal="center" vertical="center"/>
    </xf>
    <xf numFmtId="164" fontId="35" fillId="0" borderId="0" xfId="0" applyNumberFormat="1" applyFont="1"/>
    <xf numFmtId="0" fontId="5" fillId="0" borderId="0" xfId="10"/>
    <xf numFmtId="0" fontId="108" fillId="39" borderId="0" xfId="10" applyFont="1" applyFill="1"/>
    <xf numFmtId="0" fontId="5" fillId="0" borderId="75" xfId="10" applyBorder="1"/>
    <xf numFmtId="0" fontId="108" fillId="0" borderId="0" xfId="10" applyFont="1"/>
    <xf numFmtId="0" fontId="3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5" fontId="14" fillId="0" borderId="0" xfId="0" applyNumberFormat="1" applyFont="1"/>
    <xf numFmtId="0" fontId="13" fillId="0" borderId="0" xfId="0" applyFont="1" applyAlignment="1">
      <alignment horizontal="left" vertical="center"/>
    </xf>
    <xf numFmtId="166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 vertical="center"/>
    </xf>
    <xf numFmtId="165" fontId="15" fillId="0" borderId="0" xfId="0" applyNumberFormat="1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167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 applyProtection="1">
      <alignment horizontal="left" vertical="top" wrapText="1"/>
      <protection locked="0"/>
    </xf>
    <xf numFmtId="169" fontId="26" fillId="0" borderId="0" xfId="0" applyNumberFormat="1" applyFont="1" applyAlignment="1">
      <alignment horizontal="left" vertical="top" wrapText="1"/>
    </xf>
    <xf numFmtId="168" fontId="12" fillId="0" borderId="0" xfId="0" applyNumberFormat="1" applyFont="1" applyAlignment="1" applyProtection="1">
      <alignment horizontal="left" vertical="top" wrapText="1"/>
      <protection locked="0"/>
    </xf>
    <xf numFmtId="169" fontId="26" fillId="0" borderId="0" xfId="0" applyNumberFormat="1" applyFont="1" applyAlignment="1" applyProtection="1">
      <alignment horizontal="left" vertical="top" wrapText="1"/>
      <protection locked="0"/>
    </xf>
    <xf numFmtId="169" fontId="26" fillId="8" borderId="0" xfId="0" applyNumberFormat="1" applyFont="1" applyFill="1" applyAlignment="1" applyProtection="1">
      <alignment horizontal="left" vertical="top" wrapText="1"/>
      <protection locked="0"/>
    </xf>
    <xf numFmtId="0" fontId="12" fillId="8" borderId="0" xfId="0" applyFont="1" applyFill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horizontal="center" vertical="top" wrapText="1"/>
      <protection locked="0"/>
    </xf>
    <xf numFmtId="165" fontId="25" fillId="0" borderId="0" xfId="0" applyNumberFormat="1" applyFont="1" applyAlignment="1" applyProtection="1">
      <alignment horizontal="left" vertical="top" wrapText="1"/>
      <protection locked="0"/>
    </xf>
    <xf numFmtId="0" fontId="26" fillId="0" borderId="0" xfId="0" applyFont="1" applyAlignment="1" applyProtection="1">
      <alignment horizontal="left" vertical="top" wrapText="1"/>
      <protection locked="0"/>
    </xf>
    <xf numFmtId="2" fontId="27" fillId="0" borderId="0" xfId="0" applyNumberFormat="1" applyFont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center" vertical="center"/>
      <protection locked="0"/>
    </xf>
    <xf numFmtId="168" fontId="23" fillId="0" borderId="0" xfId="0" applyNumberFormat="1" applyFont="1" applyAlignment="1">
      <alignment horizontal="left" vertical="top" wrapText="1"/>
    </xf>
    <xf numFmtId="168" fontId="23" fillId="0" borderId="0" xfId="0" applyNumberFormat="1" applyFont="1" applyAlignment="1" applyProtection="1">
      <alignment horizontal="center" vertical="top" wrapText="1"/>
      <protection locked="0"/>
    </xf>
    <xf numFmtId="169" fontId="28" fillId="0" borderId="0" xfId="0" applyNumberFormat="1" applyFont="1" applyAlignment="1">
      <alignment horizontal="left" vertical="top" wrapText="1"/>
    </xf>
    <xf numFmtId="2" fontId="27" fillId="0" borderId="0" xfId="0" applyNumberFormat="1" applyFont="1" applyAlignment="1" applyProtection="1">
      <alignment horizontal="center" vertical="center" wrapText="1"/>
      <protection locked="0"/>
    </xf>
    <xf numFmtId="166" fontId="27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68" fontId="23" fillId="0" borderId="0" xfId="0" applyNumberFormat="1" applyFont="1" applyAlignment="1" applyProtection="1">
      <alignment horizontal="center" vertical="center" wrapText="1"/>
      <protection locked="0"/>
    </xf>
    <xf numFmtId="170" fontId="26" fillId="0" borderId="0" xfId="0" applyNumberFormat="1" applyFont="1" applyAlignment="1" applyProtection="1">
      <alignment horizontal="center" vertical="center" wrapText="1"/>
      <protection locked="0"/>
    </xf>
    <xf numFmtId="170" fontId="23" fillId="0" borderId="0" xfId="0" applyNumberFormat="1" applyFont="1" applyAlignment="1" applyProtection="1">
      <alignment horizontal="center" vertical="center" wrapText="1"/>
      <protection locked="0"/>
    </xf>
    <xf numFmtId="169" fontId="26" fillId="0" borderId="0" xfId="0" applyNumberFormat="1" applyFont="1" applyAlignment="1" applyProtection="1">
      <alignment horizontal="center" vertical="center" wrapText="1"/>
      <protection locked="0"/>
    </xf>
    <xf numFmtId="170" fontId="12" fillId="0" borderId="0" xfId="0" applyNumberFormat="1" applyFont="1" applyAlignment="1">
      <alignment horizontal="left" vertical="top" wrapText="1"/>
    </xf>
    <xf numFmtId="169" fontId="12" fillId="0" borderId="0" xfId="0" applyNumberFormat="1" applyFont="1" applyAlignment="1">
      <alignment horizontal="left" vertical="top" wrapText="1"/>
    </xf>
    <xf numFmtId="168" fontId="26" fillId="0" borderId="0" xfId="0" applyNumberFormat="1" applyFont="1" applyAlignment="1" applyProtection="1">
      <alignment horizontal="center" vertical="top" wrapText="1"/>
      <protection locked="0"/>
    </xf>
    <xf numFmtId="168" fontId="12" fillId="0" borderId="0" xfId="0" applyNumberFormat="1" applyFont="1" applyAlignment="1" applyProtection="1">
      <alignment horizontal="center" vertical="center" wrapText="1"/>
      <protection locked="0"/>
    </xf>
    <xf numFmtId="168" fontId="12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68" fontId="28" fillId="0" borderId="0" xfId="0" applyNumberFormat="1" applyFont="1" applyAlignment="1">
      <alignment horizontal="center" vertical="center" wrapText="1"/>
    </xf>
    <xf numFmtId="169" fontId="29" fillId="0" borderId="0" xfId="0" applyNumberFormat="1" applyFont="1" applyAlignment="1">
      <alignment horizontal="center" vertical="center" wrapText="1"/>
    </xf>
    <xf numFmtId="168" fontId="23" fillId="0" borderId="0" xfId="0" applyNumberFormat="1" applyFont="1" applyAlignment="1" applyProtection="1">
      <alignment horizontal="left" vertical="top" wrapText="1"/>
      <protection locked="0"/>
    </xf>
    <xf numFmtId="169" fontId="29" fillId="0" borderId="0" xfId="0" applyNumberFormat="1" applyFont="1" applyAlignment="1">
      <alignment horizontal="left" vertical="top" wrapText="1"/>
    </xf>
    <xf numFmtId="169" fontId="30" fillId="0" borderId="0" xfId="0" applyNumberFormat="1" applyFont="1" applyAlignment="1">
      <alignment horizontal="left" vertical="top" wrapText="1"/>
    </xf>
    <xf numFmtId="0" fontId="18" fillId="0" borderId="21" xfId="0" applyFont="1" applyBorder="1" applyAlignment="1" applyProtection="1">
      <alignment vertical="center"/>
      <protection locked="0"/>
    </xf>
    <xf numFmtId="0" fontId="18" fillId="0" borderId="22" xfId="0" applyFont="1" applyBorder="1" applyAlignment="1" applyProtection="1">
      <alignment vertical="center"/>
      <protection locked="0"/>
    </xf>
    <xf numFmtId="165" fontId="25" fillId="0" borderId="8" xfId="0" applyNumberFormat="1" applyFont="1" applyBorder="1" applyAlignment="1" applyProtection="1">
      <alignment horizontal="left" vertical="top" wrapText="1"/>
      <protection locked="0"/>
    </xf>
    <xf numFmtId="0" fontId="12" fillId="0" borderId="8" xfId="0" applyFont="1" applyBorder="1" applyAlignment="1" applyProtection="1">
      <alignment horizontal="left" vertical="top" wrapText="1"/>
      <protection locked="0"/>
    </xf>
    <xf numFmtId="0" fontId="12" fillId="0" borderId="27" xfId="0" applyFont="1" applyBorder="1" applyAlignment="1" applyProtection="1">
      <alignment horizontal="left" vertical="top" wrapText="1"/>
      <protection locked="0"/>
    </xf>
    <xf numFmtId="0" fontId="12" fillId="0" borderId="12" xfId="0" applyFont="1" applyBorder="1" applyAlignment="1" applyProtection="1">
      <alignment horizontal="left" vertical="top" wrapText="1"/>
      <protection locked="0"/>
    </xf>
    <xf numFmtId="165" fontId="25" fillId="0" borderId="0" xfId="0" applyNumberFormat="1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2" fontId="27" fillId="0" borderId="0" xfId="0" applyNumberFormat="1" applyFont="1" applyAlignment="1">
      <alignment horizontal="center"/>
    </xf>
    <xf numFmtId="166" fontId="2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8" fontId="23" fillId="0" borderId="0" xfId="0" applyNumberFormat="1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36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3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6" fontId="35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4" fontId="51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4" fontId="27" fillId="0" borderId="0" xfId="0" applyNumberFormat="1" applyFont="1" applyAlignment="1">
      <alignment horizontal="center" vertical="center"/>
    </xf>
    <xf numFmtId="175" fontId="27" fillId="0" borderId="0" xfId="0" applyNumberFormat="1" applyFon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6" fontId="52" fillId="0" borderId="0" xfId="0" applyNumberFormat="1" applyFont="1" applyAlignment="1">
      <alignment horizontal="center" vertical="center"/>
    </xf>
    <xf numFmtId="176" fontId="52" fillId="0" borderId="0" xfId="0" applyNumberFormat="1" applyFont="1" applyAlignment="1">
      <alignment horizontal="center" vertical="center" wrapText="1"/>
    </xf>
    <xf numFmtId="177" fontId="52" fillId="0" borderId="0" xfId="0" applyNumberFormat="1" applyFont="1" applyAlignment="1">
      <alignment horizontal="center" vertical="center"/>
    </xf>
    <xf numFmtId="177" fontId="52" fillId="0" borderId="0" xfId="0" applyNumberFormat="1" applyFont="1" applyAlignment="1">
      <alignment horizontal="center" vertical="center" wrapText="1"/>
    </xf>
    <xf numFmtId="175" fontId="52" fillId="0" borderId="0" xfId="0" applyNumberFormat="1" applyFont="1" applyAlignment="1">
      <alignment horizontal="center" vertical="center" wrapText="1"/>
    </xf>
    <xf numFmtId="175" fontId="0" fillId="0" borderId="0" xfId="0" applyNumberFormat="1"/>
    <xf numFmtId="164" fontId="27" fillId="0" borderId="0" xfId="0" applyNumberFormat="1" applyFont="1" applyAlignment="1">
      <alignment horizontal="center" vertical="center" wrapText="1"/>
    </xf>
    <xf numFmtId="175" fontId="52" fillId="0" borderId="0" xfId="0" applyNumberFormat="1" applyFont="1" applyAlignment="1">
      <alignment horizontal="center" vertical="center"/>
    </xf>
    <xf numFmtId="175" fontId="53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174" fontId="52" fillId="0" borderId="0" xfId="0" applyNumberFormat="1" applyFont="1" applyAlignment="1">
      <alignment horizontal="center" vertical="center" wrapText="1"/>
    </xf>
    <xf numFmtId="174" fontId="52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vertical="center"/>
    </xf>
    <xf numFmtId="166" fontId="52" fillId="0" borderId="0" xfId="0" applyNumberFormat="1" applyFont="1" applyAlignment="1">
      <alignment horizontal="center" vertical="center"/>
    </xf>
    <xf numFmtId="174" fontId="14" fillId="0" borderId="0" xfId="0" applyNumberFormat="1" applyFont="1" applyAlignment="1">
      <alignment vertical="center"/>
    </xf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vertical="center" wrapText="1"/>
    </xf>
    <xf numFmtId="179" fontId="52" fillId="0" borderId="0" xfId="0" applyNumberFormat="1" applyFont="1" applyAlignment="1">
      <alignment horizontal="center" vertical="center"/>
    </xf>
    <xf numFmtId="175" fontId="52" fillId="0" borderId="0" xfId="0" applyNumberFormat="1" applyFont="1" applyAlignment="1">
      <alignment vertical="center"/>
    </xf>
    <xf numFmtId="0" fontId="35" fillId="8" borderId="5" xfId="0" applyFont="1" applyFill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12" fillId="0" borderId="42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35" fillId="0" borderId="0" xfId="0" applyFont="1" applyAlignment="1">
      <alignment horizontal="left"/>
    </xf>
    <xf numFmtId="0" fontId="48" fillId="0" borderId="0" xfId="0" applyFont="1" applyAlignment="1">
      <alignment horizontal="center" vertical="center"/>
    </xf>
    <xf numFmtId="2" fontId="35" fillId="0" borderId="0" xfId="0" applyNumberFormat="1" applyFont="1" applyAlignment="1">
      <alignment horizontal="center"/>
    </xf>
    <xf numFmtId="166" fontId="48" fillId="0" borderId="0" xfId="0" applyNumberFormat="1" applyFont="1" applyAlignment="1">
      <alignment horizontal="center"/>
    </xf>
    <xf numFmtId="2" fontId="48" fillId="0" borderId="0" xfId="0" applyNumberFormat="1" applyFont="1" applyAlignment="1">
      <alignment horizontal="center"/>
    </xf>
    <xf numFmtId="18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8" fillId="0" borderId="0" xfId="0" applyFont="1" applyAlignment="1">
      <alignment horizontal="center"/>
    </xf>
    <xf numFmtId="166" fontId="13" fillId="0" borderId="0" xfId="0" applyNumberFormat="1" applyFont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166" fontId="14" fillId="0" borderId="0" xfId="0" applyNumberFormat="1" applyFont="1"/>
    <xf numFmtId="0" fontId="112" fillId="0" borderId="0" xfId="0" applyFont="1" applyAlignment="1">
      <alignment horizontal="left"/>
    </xf>
    <xf numFmtId="49" fontId="5" fillId="0" borderId="0" xfId="10" applyNumberFormat="1"/>
    <xf numFmtId="184" fontId="5" fillId="0" borderId="0" xfId="10" applyNumberFormat="1"/>
    <xf numFmtId="185" fontId="5" fillId="0" borderId="0" xfId="10" applyNumberFormat="1"/>
    <xf numFmtId="184" fontId="108" fillId="0" borderId="0" xfId="10" applyNumberFormat="1" applyFont="1"/>
    <xf numFmtId="185" fontId="108" fillId="0" borderId="0" xfId="10" applyNumberFormat="1" applyFont="1"/>
    <xf numFmtId="184" fontId="65" fillId="0" borderId="0" xfId="0" applyNumberFormat="1" applyFont="1"/>
    <xf numFmtId="185" fontId="65" fillId="0" borderId="0" xfId="0" applyNumberFormat="1" applyFont="1"/>
    <xf numFmtId="0" fontId="0" fillId="23" borderId="30" xfId="0" applyFill="1" applyBorder="1" applyAlignment="1">
      <alignment horizontal="center" vertical="center"/>
    </xf>
    <xf numFmtId="0" fontId="3" fillId="0" borderId="0" xfId="12"/>
    <xf numFmtId="0" fontId="107" fillId="0" borderId="6" xfId="12" applyFont="1" applyBorder="1"/>
    <xf numFmtId="49" fontId="3" fillId="0" borderId="0" xfId="12" applyNumberFormat="1"/>
    <xf numFmtId="0" fontId="108" fillId="34" borderId="0" xfId="12" applyFont="1" applyFill="1"/>
    <xf numFmtId="49" fontId="3" fillId="35" borderId="0" xfId="12" applyNumberFormat="1" applyFill="1"/>
    <xf numFmtId="0" fontId="108" fillId="34" borderId="0" xfId="12" applyFont="1" applyFill="1" applyAlignment="1">
      <alignment wrapText="1"/>
    </xf>
    <xf numFmtId="184" fontId="3" fillId="35" borderId="0" xfId="12" applyNumberFormat="1" applyFill="1"/>
    <xf numFmtId="185" fontId="3" fillId="35" borderId="0" xfId="12" applyNumberFormat="1" applyFill="1"/>
    <xf numFmtId="49" fontId="3" fillId="36" borderId="0" xfId="12" applyNumberFormat="1" applyFill="1"/>
    <xf numFmtId="184" fontId="3" fillId="36" borderId="0" xfId="12" applyNumberFormat="1" applyFill="1"/>
    <xf numFmtId="185" fontId="3" fillId="36" borderId="0" xfId="12" applyNumberFormat="1" applyFill="1"/>
    <xf numFmtId="0" fontId="108" fillId="37" borderId="0" xfId="12" applyFont="1" applyFill="1"/>
    <xf numFmtId="184" fontId="108" fillId="37" borderId="0" xfId="12" applyNumberFormat="1" applyFont="1" applyFill="1"/>
    <xf numFmtId="185" fontId="108" fillId="37" borderId="0" xfId="12" applyNumberFormat="1" applyFont="1" applyFill="1"/>
    <xf numFmtId="43" fontId="0" fillId="0" borderId="0" xfId="0" applyNumberFormat="1" applyAlignment="1">
      <alignment horizontal="left"/>
    </xf>
    <xf numFmtId="0" fontId="0" fillId="0" borderId="79" xfId="0" applyBorder="1"/>
    <xf numFmtId="2" fontId="0" fillId="8" borderId="10" xfId="0" applyNumberFormat="1" applyFill="1" applyBorder="1" applyAlignment="1">
      <alignment horizontal="center"/>
    </xf>
    <xf numFmtId="166" fontId="0" fillId="8" borderId="10" xfId="0" applyNumberFormat="1" applyFill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10" borderId="10" xfId="0" applyFont="1" applyFill="1" applyBorder="1" applyAlignment="1">
      <alignment horizontal="center"/>
    </xf>
    <xf numFmtId="1" fontId="0" fillId="10" borderId="10" xfId="0" applyNumberFormat="1" applyFill="1" applyBorder="1" applyAlignment="1">
      <alignment horizontal="center"/>
    </xf>
    <xf numFmtId="166" fontId="39" fillId="10" borderId="10" xfId="0" applyNumberFormat="1" applyFont="1" applyFill="1" applyBorder="1" applyAlignment="1">
      <alignment horizontal="center" vertical="center"/>
    </xf>
    <xf numFmtId="1" fontId="0" fillId="8" borderId="10" xfId="0" applyNumberForma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6" fontId="0" fillId="10" borderId="10" xfId="0" applyNumberFormat="1" applyFill="1" applyBorder="1" applyAlignment="1">
      <alignment horizontal="center"/>
    </xf>
    <xf numFmtId="166" fontId="0" fillId="10" borderId="11" xfId="0" applyNumberFormat="1" applyFill="1" applyBorder="1" applyAlignment="1">
      <alignment horizontal="center"/>
    </xf>
    <xf numFmtId="0" fontId="1" fillId="0" borderId="0" xfId="14"/>
    <xf numFmtId="0" fontId="109" fillId="35" borderId="0" xfId="14" applyFont="1" applyFill="1"/>
    <xf numFmtId="0" fontId="1" fillId="38" borderId="75" xfId="14" applyFill="1" applyBorder="1"/>
    <xf numFmtId="0" fontId="1" fillId="0" borderId="75" xfId="14" applyBorder="1"/>
    <xf numFmtId="49" fontId="1" fillId="0" borderId="75" xfId="14" applyNumberFormat="1" applyBorder="1"/>
    <xf numFmtId="0" fontId="108" fillId="0" borderId="0" xfId="14" applyFont="1"/>
    <xf numFmtId="0" fontId="108" fillId="39" borderId="0" xfId="14" applyFont="1" applyFill="1"/>
    <xf numFmtId="0" fontId="106" fillId="0" borderId="35" xfId="12" applyFont="1" applyBorder="1" applyAlignment="1">
      <alignment horizontal="center" wrapText="1"/>
    </xf>
    <xf numFmtId="0" fontId="106" fillId="0" borderId="0" xfId="12" applyFont="1" applyAlignment="1">
      <alignment horizontal="center" wrapText="1"/>
    </xf>
    <xf numFmtId="0" fontId="56" fillId="0" borderId="0" xfId="0" applyFont="1"/>
    <xf numFmtId="0" fontId="12" fillId="0" borderId="0" xfId="0" applyFont="1" applyAlignment="1" applyProtection="1">
      <alignment horizontal="center" vertical="top" wrapText="1"/>
      <protection locked="0"/>
    </xf>
    <xf numFmtId="0" fontId="28" fillId="0" borderId="27" xfId="0" applyFont="1" applyBorder="1" applyAlignment="1">
      <alignment horizontal="center" vertical="center" wrapText="1"/>
    </xf>
    <xf numFmtId="0" fontId="12" fillId="0" borderId="30" xfId="0" applyFont="1" applyBorder="1" applyAlignment="1" applyProtection="1">
      <alignment horizontal="left" vertical="top" wrapText="1"/>
      <protection locked="0"/>
    </xf>
    <xf numFmtId="0" fontId="12" fillId="0" borderId="30" xfId="0" applyFont="1" applyBorder="1" applyAlignment="1" applyProtection="1">
      <alignment horizontal="center" vertical="center" wrapText="1"/>
      <protection locked="0"/>
    </xf>
    <xf numFmtId="168" fontId="28" fillId="0" borderId="30" xfId="0" applyNumberFormat="1" applyFont="1" applyBorder="1" applyAlignment="1">
      <alignment horizontal="center" vertical="center" wrapText="1"/>
    </xf>
    <xf numFmtId="169" fontId="29" fillId="0" borderId="30" xfId="0" applyNumberFormat="1" applyFont="1" applyBorder="1" applyAlignment="1">
      <alignment horizontal="center" vertical="center" wrapText="1"/>
    </xf>
    <xf numFmtId="168" fontId="23" fillId="0" borderId="30" xfId="0" applyNumberFormat="1" applyFont="1" applyBorder="1" applyAlignment="1" applyProtection="1">
      <alignment horizontal="left" vertical="top" wrapText="1"/>
      <protection locked="0"/>
    </xf>
    <xf numFmtId="169" fontId="29" fillId="0" borderId="30" xfId="0" applyNumberFormat="1" applyFont="1" applyBorder="1" applyAlignment="1">
      <alignment horizontal="left" vertical="top" wrapText="1"/>
    </xf>
    <xf numFmtId="169" fontId="30" fillId="0" borderId="24" xfId="0" applyNumberFormat="1" applyFont="1" applyBorder="1" applyAlignment="1">
      <alignment horizontal="left" vertical="top" wrapText="1"/>
    </xf>
    <xf numFmtId="168" fontId="12" fillId="0" borderId="27" xfId="0" applyNumberFormat="1" applyFont="1" applyBorder="1" applyAlignment="1">
      <alignment horizontal="center" vertical="center" wrapText="1"/>
    </xf>
    <xf numFmtId="0" fontId="12" fillId="8" borderId="30" xfId="0" applyFont="1" applyFill="1" applyBorder="1" applyAlignment="1" applyProtection="1">
      <alignment horizontal="left" vertical="top"/>
      <protection locked="0"/>
    </xf>
    <xf numFmtId="169" fontId="29" fillId="8" borderId="49" xfId="0" applyNumberFormat="1" applyFont="1" applyFill="1" applyBorder="1" applyAlignment="1">
      <alignment horizontal="center" vertical="center" wrapText="1"/>
    </xf>
    <xf numFmtId="0" fontId="116" fillId="0" borderId="0" xfId="0" applyFont="1" applyAlignment="1" applyProtection="1">
      <alignment vertical="center"/>
      <protection locked="0"/>
    </xf>
    <xf numFmtId="2" fontId="12" fillId="0" borderId="0" xfId="0" applyNumberFormat="1" applyFont="1" applyAlignment="1" applyProtection="1">
      <alignment horizontal="center" vertic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/>
    <xf numFmtId="169" fontId="117" fillId="0" borderId="0" xfId="0" applyNumberFormat="1" applyFont="1" applyAlignment="1">
      <alignment horizontal="left" vertical="top" wrapText="1"/>
    </xf>
    <xf numFmtId="1" fontId="12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 applyProtection="1">
      <alignment horizontal="center" vertical="center" wrapText="1"/>
      <protection locked="0"/>
    </xf>
    <xf numFmtId="166" fontId="12" fillId="0" borderId="0" xfId="0" applyNumberFormat="1" applyFont="1" applyAlignment="1" applyProtection="1">
      <alignment horizontal="center" vertical="center" wrapText="1"/>
      <protection locked="0"/>
    </xf>
    <xf numFmtId="0" fontId="117" fillId="0" borderId="0" xfId="0" applyFont="1" applyAlignment="1">
      <alignment horizontal="center" vertical="center" wrapText="1"/>
    </xf>
    <xf numFmtId="168" fontId="117" fillId="0" borderId="0" xfId="0" applyNumberFormat="1" applyFont="1" applyAlignment="1">
      <alignment horizontal="center" vertical="center" wrapText="1"/>
    </xf>
    <xf numFmtId="0" fontId="18" fillId="0" borderId="53" xfId="0" applyFont="1" applyBorder="1" applyAlignment="1" applyProtection="1">
      <alignment vertical="center"/>
      <protection locked="0"/>
    </xf>
    <xf numFmtId="0" fontId="19" fillId="0" borderId="53" xfId="0" applyFont="1" applyBorder="1" applyAlignment="1" applyProtection="1">
      <alignment vertical="center"/>
      <protection locked="0"/>
    </xf>
    <xf numFmtId="0" fontId="12" fillId="0" borderId="53" xfId="0" applyFont="1" applyBorder="1" applyAlignment="1" applyProtection="1">
      <alignment horizontal="left" vertical="top"/>
      <protection locked="0"/>
    </xf>
    <xf numFmtId="0" fontId="115" fillId="0" borderId="0" xfId="0" applyFont="1" applyAlignment="1">
      <alignment horizontal="center" vertical="center"/>
    </xf>
    <xf numFmtId="0" fontId="123" fillId="0" borderId="0" xfId="0" applyFont="1" applyAlignment="1">
      <alignment horizontal="left" vertical="center"/>
    </xf>
    <xf numFmtId="1" fontId="123" fillId="0" borderId="0" xfId="0" applyNumberFormat="1" applyFont="1"/>
    <xf numFmtId="166" fontId="123" fillId="0" borderId="0" xfId="0" applyNumberFormat="1" applyFont="1"/>
    <xf numFmtId="0" fontId="123" fillId="0" borderId="0" xfId="0" applyFont="1" applyAlignment="1">
      <alignment horizontal="center" vertical="center"/>
    </xf>
    <xf numFmtId="166" fontId="123" fillId="0" borderId="0" xfId="0" applyNumberFormat="1" applyFont="1" applyAlignment="1">
      <alignment horizontal="right"/>
    </xf>
    <xf numFmtId="0" fontId="123" fillId="0" borderId="0" xfId="0" applyFont="1" applyAlignment="1">
      <alignment horizontal="right" vertical="center"/>
    </xf>
    <xf numFmtId="0" fontId="123" fillId="0" borderId="0" xfId="0" applyFont="1"/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1" fontId="56" fillId="0" borderId="0" xfId="0" applyNumberFormat="1" applyFont="1" applyAlignment="1">
      <alignment horizontal="center"/>
    </xf>
    <xf numFmtId="166" fontId="56" fillId="0" borderId="0" xfId="0" applyNumberFormat="1" applyFont="1" applyAlignment="1">
      <alignment horizontal="center" vertical="center"/>
    </xf>
    <xf numFmtId="166" fontId="56" fillId="0" borderId="0" xfId="0" applyNumberFormat="1" applyFont="1" applyAlignment="1">
      <alignment horizontal="center"/>
    </xf>
    <xf numFmtId="0" fontId="119" fillId="0" borderId="0" xfId="0" applyFont="1" applyAlignment="1">
      <alignment horizontal="center" vertical="center"/>
    </xf>
    <xf numFmtId="0" fontId="119" fillId="0" borderId="0" xfId="0" applyFont="1" applyAlignment="1">
      <alignment horizontal="center"/>
    </xf>
    <xf numFmtId="1" fontId="120" fillId="0" borderId="0" xfId="0" applyNumberFormat="1" applyFont="1" applyAlignment="1">
      <alignment horizontal="center"/>
    </xf>
    <xf numFmtId="166" fontId="120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center" vertical="top" wrapText="1"/>
    </xf>
    <xf numFmtId="168" fontId="12" fillId="0" borderId="0" xfId="0" applyNumberFormat="1" applyFont="1" applyAlignment="1">
      <alignment horizontal="left" vertical="top" wrapText="1"/>
    </xf>
    <xf numFmtId="166" fontId="120" fillId="0" borderId="0" xfId="0" applyNumberFormat="1" applyFont="1" applyAlignment="1">
      <alignment horizontal="center"/>
    </xf>
    <xf numFmtId="14" fontId="56" fillId="0" borderId="0" xfId="0" applyNumberFormat="1" applyFont="1" applyAlignment="1">
      <alignment horizontal="center"/>
    </xf>
    <xf numFmtId="2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" fontId="57" fillId="0" borderId="0" xfId="0" applyNumberFormat="1" applyFont="1" applyAlignment="1">
      <alignment horizontal="center"/>
    </xf>
    <xf numFmtId="166" fontId="57" fillId="0" borderId="0" xfId="0" applyNumberFormat="1" applyFont="1" applyAlignment="1">
      <alignment horizontal="center" vertical="center"/>
    </xf>
    <xf numFmtId="175" fontId="32" fillId="0" borderId="0" xfId="0" applyNumberFormat="1" applyFont="1"/>
    <xf numFmtId="164" fontId="114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74" fontId="12" fillId="0" borderId="0" xfId="0" applyNumberFormat="1" applyFont="1" applyAlignment="1">
      <alignment horizontal="center" vertical="center"/>
    </xf>
    <xf numFmtId="175" fontId="12" fillId="0" borderId="0" xfId="0" applyNumberFormat="1" applyFont="1" applyAlignment="1">
      <alignment horizontal="center" vertical="center"/>
    </xf>
    <xf numFmtId="175" fontId="56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horizontal="center" vertical="center" wrapText="1"/>
    </xf>
    <xf numFmtId="175" fontId="21" fillId="0" borderId="0" xfId="0" applyNumberFormat="1" applyFont="1" applyAlignment="1">
      <alignment horizontal="center" vertical="center" wrapText="1"/>
    </xf>
    <xf numFmtId="175" fontId="56" fillId="0" borderId="0" xfId="0" applyNumberFormat="1" applyFont="1"/>
    <xf numFmtId="164" fontId="12" fillId="0" borderId="0" xfId="0" applyNumberFormat="1" applyFont="1" applyAlignment="1">
      <alignment horizontal="center" vertical="center" wrapText="1"/>
    </xf>
    <xf numFmtId="175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74" fontId="21" fillId="0" borderId="0" xfId="0" applyNumberFormat="1" applyFont="1" applyAlignment="1">
      <alignment horizontal="center" vertical="center" wrapText="1"/>
    </xf>
    <xf numFmtId="174" fontId="21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166" fontId="21" fillId="0" borderId="0" xfId="0" applyNumberFormat="1" applyFont="1" applyAlignment="1">
      <alignment horizontal="center" vertical="center"/>
    </xf>
    <xf numFmtId="174" fontId="115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179" fontId="21" fillId="0" borderId="0" xfId="0" applyNumberFormat="1" applyFont="1" applyAlignment="1">
      <alignment horizontal="center" vertical="center"/>
    </xf>
    <xf numFmtId="175" fontId="21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80" fontId="0" fillId="0" borderId="0" xfId="0" applyNumberFormat="1"/>
    <xf numFmtId="0" fontId="57" fillId="0" borderId="0" xfId="0" applyFont="1" applyAlignment="1">
      <alignment horizontal="left"/>
    </xf>
    <xf numFmtId="0" fontId="57" fillId="0" borderId="0" xfId="0" applyFont="1"/>
    <xf numFmtId="0" fontId="121" fillId="0" borderId="0" xfId="0" applyFont="1"/>
    <xf numFmtId="168" fontId="57" fillId="0" borderId="0" xfId="0" applyNumberFormat="1" applyFont="1" applyAlignment="1">
      <alignment horizontal="center"/>
    </xf>
    <xf numFmtId="166" fontId="57" fillId="0" borderId="0" xfId="0" applyNumberFormat="1" applyFont="1" applyAlignment="1">
      <alignment horizontal="center"/>
    </xf>
    <xf numFmtId="0" fontId="120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2" fontId="57" fillId="0" borderId="0" xfId="0" applyNumberFormat="1" applyFont="1" applyAlignment="1">
      <alignment horizontal="center"/>
    </xf>
    <xf numFmtId="166" fontId="122" fillId="0" borderId="0" xfId="0" applyNumberFormat="1" applyFont="1" applyAlignment="1">
      <alignment horizontal="center"/>
    </xf>
    <xf numFmtId="2" fontId="122" fillId="0" borderId="0" xfId="0" applyNumberFormat="1" applyFont="1" applyAlignment="1">
      <alignment horizontal="center"/>
    </xf>
    <xf numFmtId="182" fontId="56" fillId="0" borderId="0" xfId="0" applyNumberFormat="1" applyFont="1" applyAlignment="1">
      <alignment horizontal="center"/>
    </xf>
    <xf numFmtId="10" fontId="56" fillId="0" borderId="0" xfId="0" applyNumberFormat="1" applyFont="1" applyAlignment="1">
      <alignment horizontal="center"/>
    </xf>
    <xf numFmtId="0" fontId="122" fillId="0" borderId="0" xfId="0" applyFont="1" applyAlignment="1">
      <alignment horizontal="center"/>
    </xf>
    <xf numFmtId="166" fontId="56" fillId="0" borderId="0" xfId="0" applyNumberFormat="1" applyFont="1"/>
    <xf numFmtId="1" fontId="56" fillId="0" borderId="0" xfId="0" applyNumberFormat="1" applyFont="1" applyAlignment="1">
      <alignment horizontal="center" vertical="center"/>
    </xf>
    <xf numFmtId="166" fontId="123" fillId="0" borderId="0" xfId="0" applyNumberFormat="1" applyFont="1" applyAlignment="1">
      <alignment horizontal="center" vertical="center"/>
    </xf>
    <xf numFmtId="2" fontId="5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15" fillId="0" borderId="0" xfId="0" applyNumberFormat="1" applyFont="1" applyAlignment="1">
      <alignment horizontal="left"/>
    </xf>
    <xf numFmtId="0" fontId="115" fillId="0" borderId="0" xfId="0" applyFont="1" applyAlignment="1">
      <alignment horizontal="center" vertical="center"/>
    </xf>
    <xf numFmtId="0" fontId="115" fillId="0" borderId="0" xfId="0" applyFont="1" applyAlignment="1">
      <alignment horizontal="center"/>
    </xf>
    <xf numFmtId="165" fontId="14" fillId="0" borderId="0" xfId="0" applyNumberFormat="1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65" fontId="14" fillId="0" borderId="1" xfId="0" applyNumberFormat="1" applyFont="1" applyBorder="1" applyAlignment="1">
      <alignment horizontal="left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22" fillId="0" borderId="1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>
      <alignment horizontal="center" vertical="top" wrapText="1"/>
    </xf>
    <xf numFmtId="0" fontId="20" fillId="0" borderId="0" xfId="0" applyFont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top" wrapText="1"/>
      <protection locked="0"/>
    </xf>
    <xf numFmtId="0" fontId="20" fillId="0" borderId="0" xfId="0" applyFont="1" applyAlignment="1" applyProtection="1">
      <alignment horizontal="left" vertical="top" wrapText="1"/>
      <protection locked="0"/>
    </xf>
    <xf numFmtId="0" fontId="33" fillId="0" borderId="0" xfId="0" applyFont="1" applyAlignment="1" applyProtection="1">
      <alignment horizontal="center" vertical="top" wrapText="1"/>
      <protection locked="0"/>
    </xf>
    <xf numFmtId="0" fontId="13" fillId="0" borderId="6" xfId="0" applyFont="1" applyBorder="1" applyAlignment="1">
      <alignment horizontal="center"/>
    </xf>
    <xf numFmtId="0" fontId="1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left" vertical="top" wrapText="1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20" fillId="0" borderId="19" xfId="0" applyFont="1" applyBorder="1" applyAlignment="1" applyProtection="1">
      <alignment horizontal="center" vertical="top" wrapText="1"/>
      <protection locked="0"/>
    </xf>
    <xf numFmtId="0" fontId="13" fillId="0" borderId="6" xfId="0" applyFont="1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left" vertical="top" wrapText="1"/>
      <protection locked="0"/>
    </xf>
    <xf numFmtId="0" fontId="12" fillId="0" borderId="6" xfId="0" applyFont="1" applyBorder="1" applyAlignment="1" applyProtection="1">
      <alignment horizontal="center" vertical="top" wrapText="1"/>
      <protection locked="0"/>
    </xf>
    <xf numFmtId="0" fontId="20" fillId="0" borderId="6" xfId="0" applyFont="1" applyBorder="1" applyAlignment="1" applyProtection="1">
      <alignment horizontal="center" vertical="top" wrapText="1"/>
      <protection locked="0"/>
    </xf>
    <xf numFmtId="0" fontId="12" fillId="0" borderId="19" xfId="0" applyFont="1" applyBorder="1" applyAlignment="1" applyProtection="1">
      <alignment horizontal="center" vertical="top" wrapText="1"/>
      <protection locked="0"/>
    </xf>
    <xf numFmtId="0" fontId="21" fillId="7" borderId="27" xfId="0" applyFont="1" applyFill="1" applyBorder="1" applyAlignment="1" applyProtection="1">
      <alignment horizontal="center" vertical="top" wrapText="1"/>
      <protection locked="0"/>
    </xf>
    <xf numFmtId="0" fontId="12" fillId="7" borderId="6" xfId="0" applyFont="1" applyFill="1" applyBorder="1" applyAlignment="1" applyProtection="1">
      <alignment horizontal="left" vertical="top" wrapText="1"/>
      <protection locked="0"/>
    </xf>
    <xf numFmtId="0" fontId="12" fillId="7" borderId="7" xfId="0" applyFont="1" applyFill="1" applyBorder="1" applyAlignment="1" applyProtection="1">
      <alignment horizontal="center" vertical="top" wrapText="1"/>
      <protection locked="0"/>
    </xf>
    <xf numFmtId="0" fontId="20" fillId="0" borderId="8" xfId="0" applyFont="1" applyBorder="1" applyAlignment="1" applyProtection="1">
      <alignment horizontal="left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left" vertical="center" wrapText="1"/>
      <protection locked="0"/>
    </xf>
    <xf numFmtId="0" fontId="20" fillId="0" borderId="24" xfId="0" applyFont="1" applyBorder="1" applyAlignment="1" applyProtection="1">
      <alignment horizontal="center" vertical="top" wrapText="1"/>
      <protection locked="0"/>
    </xf>
    <xf numFmtId="0" fontId="20" fillId="6" borderId="25" xfId="0" applyFont="1" applyFill="1" applyBorder="1" applyAlignment="1" applyProtection="1">
      <alignment horizontal="center" vertical="center" wrapText="1"/>
      <protection locked="0"/>
    </xf>
    <xf numFmtId="0" fontId="20" fillId="6" borderId="26" xfId="0" applyFont="1" applyFill="1" applyBorder="1" applyAlignment="1" applyProtection="1">
      <alignment horizontal="left" vertical="top" wrapText="1"/>
      <protection locked="0"/>
    </xf>
    <xf numFmtId="0" fontId="12" fillId="6" borderId="6" xfId="0" applyFont="1" applyFill="1" applyBorder="1" applyAlignment="1" applyProtection="1">
      <alignment horizontal="center" vertical="top" wrapText="1"/>
      <protection locked="0"/>
    </xf>
    <xf numFmtId="0" fontId="43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center" wrapText="1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 wrapText="1"/>
    </xf>
    <xf numFmtId="0" fontId="118" fillId="0" borderId="0" xfId="0" applyFont="1" applyAlignment="1">
      <alignment horizont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38" fillId="10" borderId="10" xfId="0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/>
    </xf>
    <xf numFmtId="0" fontId="35" fillId="0" borderId="8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10" borderId="6" xfId="0" applyFont="1" applyFill="1" applyBorder="1" applyAlignment="1">
      <alignment horizontal="center"/>
    </xf>
    <xf numFmtId="0" fontId="35" fillId="0" borderId="6" xfId="0" applyFont="1" applyBorder="1" applyAlignment="1">
      <alignment horizontal="center" wrapText="1"/>
    </xf>
    <xf numFmtId="0" fontId="35" fillId="0" borderId="7" xfId="0" applyFont="1" applyBorder="1" applyAlignment="1">
      <alignment horizontal="center" wrapText="1"/>
    </xf>
    <xf numFmtId="172" fontId="24" fillId="0" borderId="6" xfId="0" applyNumberFormat="1" applyFont="1" applyBorder="1" applyAlignment="1">
      <alignment horizontal="center" vertical="center"/>
    </xf>
    <xf numFmtId="166" fontId="49" fillId="3" borderId="44" xfId="0" applyNumberFormat="1" applyFont="1" applyFill="1" applyBorder="1" applyAlignment="1">
      <alignment horizontal="center" vertical="center"/>
    </xf>
    <xf numFmtId="164" fontId="35" fillId="0" borderId="0" xfId="0" applyNumberFormat="1" applyFont="1" applyAlignment="1">
      <alignment horizontal="left"/>
    </xf>
    <xf numFmtId="166" fontId="0" fillId="0" borderId="0" xfId="0" applyNumberFormat="1" applyAlignment="1">
      <alignment horizontal="center"/>
    </xf>
    <xf numFmtId="164" fontId="35" fillId="0" borderId="16" xfId="0" applyNumberFormat="1" applyFont="1" applyBorder="1" applyAlignment="1">
      <alignment horizontal="left"/>
    </xf>
    <xf numFmtId="0" fontId="35" fillId="0" borderId="22" xfId="0" applyFont="1" applyBorder="1" applyAlignment="1">
      <alignment horizontal="center"/>
    </xf>
    <xf numFmtId="0" fontId="35" fillId="18" borderId="6" xfId="0" applyFont="1" applyFill="1" applyBorder="1" applyAlignment="1">
      <alignment horizontal="center"/>
    </xf>
    <xf numFmtId="166" fontId="0" fillId="7" borderId="6" xfId="0" applyNumberFormat="1" applyFill="1" applyBorder="1" applyAlignment="1">
      <alignment horizontal="center"/>
    </xf>
    <xf numFmtId="16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176" fontId="33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78" fontId="20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74" fontId="33" fillId="0" borderId="0" xfId="0" applyNumberFormat="1" applyFont="1" applyAlignment="1">
      <alignment horizontal="center" vertical="center" wrapText="1"/>
    </xf>
    <xf numFmtId="174" fontId="33" fillId="0" borderId="0" xfId="0" applyNumberFormat="1" applyFont="1" applyAlignment="1">
      <alignment horizontal="center" vertical="center"/>
    </xf>
    <xf numFmtId="175" fontId="33" fillId="0" borderId="0" xfId="0" applyNumberFormat="1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174" fontId="52" fillId="0" borderId="0" xfId="0" applyNumberFormat="1" applyFont="1" applyAlignment="1">
      <alignment horizontal="center" vertical="center" wrapText="1"/>
    </xf>
    <xf numFmtId="174" fontId="52" fillId="0" borderId="0" xfId="0" applyNumberFormat="1" applyFont="1" applyAlignment="1">
      <alignment horizontal="center" vertical="center"/>
    </xf>
    <xf numFmtId="175" fontId="52" fillId="0" borderId="0" xfId="0" applyNumberFormat="1" applyFont="1" applyAlignment="1">
      <alignment horizontal="center" vertical="center" wrapText="1"/>
    </xf>
    <xf numFmtId="176" fontId="33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6" fontId="52" fillId="0" borderId="0" xfId="0" applyNumberFormat="1" applyFont="1" applyAlignment="1">
      <alignment horizontal="center" vertical="center"/>
    </xf>
    <xf numFmtId="164" fontId="54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 vertical="center"/>
    </xf>
    <xf numFmtId="164" fontId="50" fillId="0" borderId="0" xfId="0" applyNumberFormat="1" applyFont="1" applyAlignment="1">
      <alignment horizontal="center" vertical="center"/>
    </xf>
    <xf numFmtId="164" fontId="51" fillId="0" borderId="0" xfId="0" applyNumberFormat="1" applyFont="1" applyAlignment="1">
      <alignment horizontal="center" vertical="center"/>
    </xf>
    <xf numFmtId="176" fontId="52" fillId="0" borderId="0" xfId="0" applyNumberFormat="1" applyFont="1" applyAlignment="1">
      <alignment horizontal="center" vertical="center"/>
    </xf>
    <xf numFmtId="176" fontId="52" fillId="0" borderId="0" xfId="0" applyNumberFormat="1" applyFont="1" applyAlignment="1">
      <alignment horizontal="center" vertical="center" wrapText="1"/>
    </xf>
    <xf numFmtId="16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 wrapText="1"/>
    </xf>
    <xf numFmtId="178" fontId="27" fillId="0" borderId="0" xfId="0" applyNumberFormat="1" applyFont="1" applyAlignment="1">
      <alignment horizontal="center" vertical="center" wrapText="1"/>
    </xf>
    <xf numFmtId="164" fontId="52" fillId="0" borderId="0" xfId="0" applyNumberFormat="1" applyFont="1" applyAlignment="1">
      <alignment horizontal="center" vertical="center"/>
    </xf>
    <xf numFmtId="166" fontId="0" fillId="7" borderId="30" xfId="0" applyNumberFormat="1" applyFill="1" applyBorder="1" applyAlignment="1">
      <alignment horizontal="center"/>
    </xf>
    <xf numFmtId="166" fontId="0" fillId="0" borderId="53" xfId="0" applyNumberFormat="1" applyBorder="1" applyAlignment="1">
      <alignment horizontal="center"/>
    </xf>
    <xf numFmtId="0" fontId="35" fillId="0" borderId="6" xfId="0" applyFont="1" applyBorder="1" applyAlignment="1">
      <alignment horizontal="center"/>
    </xf>
    <xf numFmtId="16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178" fontId="12" fillId="0" borderId="0" xfId="0" applyNumberFormat="1" applyFont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74" fontId="21" fillId="0" borderId="0" xfId="0" applyNumberFormat="1" applyFont="1" applyAlignment="1">
      <alignment horizontal="center" vertical="center" wrapText="1"/>
    </xf>
    <xf numFmtId="174" fontId="21" fillId="0" borderId="0" xfId="0" applyNumberFormat="1" applyFont="1" applyAlignment="1">
      <alignment horizontal="center" vertical="center"/>
    </xf>
    <xf numFmtId="175" fontId="21" fillId="0" borderId="0" xfId="0" applyNumberFormat="1" applyFont="1" applyAlignment="1">
      <alignment horizontal="center" vertical="center" wrapText="1"/>
    </xf>
    <xf numFmtId="164" fontId="113" fillId="0" borderId="0" xfId="0" applyNumberFormat="1" applyFont="1" applyAlignment="1">
      <alignment horizontal="center" vertical="center"/>
    </xf>
    <xf numFmtId="164" fontId="114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 wrapText="1"/>
    </xf>
    <xf numFmtId="166" fontId="27" fillId="0" borderId="6" xfId="0" applyNumberFormat="1" applyFont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/>
    </xf>
    <xf numFmtId="166" fontId="52" fillId="0" borderId="53" xfId="0" applyNumberFormat="1" applyFont="1" applyBorder="1" applyAlignment="1">
      <alignment horizontal="center" vertical="center"/>
    </xf>
    <xf numFmtId="176" fontId="52" fillId="7" borderId="6" xfId="0" applyNumberFormat="1" applyFont="1" applyFill="1" applyBorder="1" applyAlignment="1">
      <alignment horizontal="center" vertical="center"/>
    </xf>
    <xf numFmtId="164" fontId="27" fillId="0" borderId="6" xfId="0" applyNumberFormat="1" applyFont="1" applyBorder="1" applyAlignment="1">
      <alignment horizontal="center" vertical="center"/>
    </xf>
    <xf numFmtId="164" fontId="27" fillId="0" borderId="6" xfId="0" applyNumberFormat="1" applyFont="1" applyBorder="1" applyAlignment="1">
      <alignment horizontal="center" vertical="center" wrapText="1"/>
    </xf>
    <xf numFmtId="178" fontId="27" fillId="0" borderId="6" xfId="0" applyNumberFormat="1" applyFont="1" applyBorder="1" applyAlignment="1">
      <alignment horizontal="center" vertical="center" wrapText="1"/>
    </xf>
    <xf numFmtId="164" fontId="52" fillId="10" borderId="6" xfId="0" applyNumberFormat="1" applyFont="1" applyFill="1" applyBorder="1" applyAlignment="1">
      <alignment horizontal="center" vertical="center"/>
    </xf>
    <xf numFmtId="0" fontId="52" fillId="16" borderId="6" xfId="0" applyFont="1" applyFill="1" applyBorder="1" applyAlignment="1">
      <alignment horizontal="center" vertical="center" wrapText="1"/>
    </xf>
    <xf numFmtId="174" fontId="52" fillId="16" borderId="6" xfId="0" applyNumberFormat="1" applyFont="1" applyFill="1" applyBorder="1" applyAlignment="1">
      <alignment horizontal="center" vertical="center" wrapText="1"/>
    </xf>
    <xf numFmtId="174" fontId="52" fillId="16" borderId="6" xfId="0" applyNumberFormat="1" applyFont="1" applyFill="1" applyBorder="1" applyAlignment="1">
      <alignment horizontal="center" vertical="center"/>
    </xf>
    <xf numFmtId="175" fontId="52" fillId="16" borderId="6" xfId="0" applyNumberFormat="1" applyFont="1" applyFill="1" applyBorder="1" applyAlignment="1">
      <alignment horizontal="center" vertical="center" wrapText="1"/>
    </xf>
    <xf numFmtId="174" fontId="52" fillId="2" borderId="6" xfId="0" applyNumberFormat="1" applyFont="1" applyFill="1" applyBorder="1" applyAlignment="1">
      <alignment horizontal="center" vertical="center" wrapText="1"/>
    </xf>
    <xf numFmtId="0" fontId="52" fillId="2" borderId="6" xfId="0" applyFont="1" applyFill="1" applyBorder="1" applyAlignment="1">
      <alignment horizontal="center" vertical="center" wrapText="1"/>
    </xf>
    <xf numFmtId="164" fontId="50" fillId="0" borderId="6" xfId="0" applyNumberFormat="1" applyFont="1" applyBorder="1" applyAlignment="1">
      <alignment horizontal="center" vertical="center"/>
    </xf>
    <xf numFmtId="164" fontId="51" fillId="0" borderId="6" xfId="0" applyNumberFormat="1" applyFont="1" applyBorder="1" applyAlignment="1">
      <alignment horizontal="center" vertical="center"/>
    </xf>
    <xf numFmtId="176" fontId="52" fillId="7" borderId="6" xfId="0" applyNumberFormat="1" applyFont="1" applyFill="1" applyBorder="1" applyAlignment="1">
      <alignment horizontal="center" vertical="center" wrapText="1"/>
    </xf>
    <xf numFmtId="181" fontId="17" fillId="32" borderId="56" xfId="0" applyNumberFormat="1" applyFont="1" applyFill="1" applyBorder="1" applyAlignment="1">
      <alignment horizontal="center"/>
    </xf>
    <xf numFmtId="181" fontId="17" fillId="32" borderId="62" xfId="0" applyNumberFormat="1" applyFont="1" applyFill="1" applyBorder="1" applyAlignment="1">
      <alignment horizontal="center"/>
    </xf>
    <xf numFmtId="181" fontId="17" fillId="32" borderId="54" xfId="0" applyNumberFormat="1" applyFont="1" applyFill="1" applyBorder="1" applyAlignment="1">
      <alignment horizontal="center"/>
    </xf>
    <xf numFmtId="0" fontId="57" fillId="0" borderId="56" xfId="0" applyFont="1" applyBorder="1" applyAlignment="1">
      <alignment horizontal="center" vertical="center"/>
    </xf>
    <xf numFmtId="0" fontId="57" fillId="0" borderId="62" xfId="0" applyFont="1" applyBorder="1" applyAlignment="1">
      <alignment horizontal="center" vertical="center"/>
    </xf>
    <xf numFmtId="0" fontId="57" fillId="0" borderId="54" xfId="0" applyFont="1" applyBorder="1" applyAlignment="1">
      <alignment horizontal="center" vertical="center"/>
    </xf>
    <xf numFmtId="0" fontId="56" fillId="33" borderId="43" xfId="0" applyFont="1" applyFill="1" applyBorder="1" applyAlignment="1">
      <alignment horizontal="center" vertical="center"/>
    </xf>
    <xf numFmtId="0" fontId="56" fillId="33" borderId="44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6" xfId="0" applyBorder="1" applyAlignment="1">
      <alignment horizontal="center"/>
    </xf>
    <xf numFmtId="0" fontId="27" fillId="0" borderId="0" xfId="0" applyFont="1" applyAlignment="1">
      <alignment horizontal="center"/>
    </xf>
    <xf numFmtId="0" fontId="0" fillId="22" borderId="55" xfId="0" applyFill="1" applyBorder="1" applyAlignment="1">
      <alignment horizontal="center"/>
    </xf>
    <xf numFmtId="0" fontId="35" fillId="8" borderId="6" xfId="0" applyFont="1" applyFill="1" applyBorder="1" applyAlignment="1">
      <alignment horizontal="center"/>
    </xf>
    <xf numFmtId="0" fontId="0" fillId="27" borderId="62" xfId="0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28" borderId="14" xfId="0" applyFill="1" applyBorder="1" applyAlignment="1">
      <alignment horizontal="center"/>
    </xf>
    <xf numFmtId="0" fontId="64" fillId="23" borderId="0" xfId="0" applyFont="1" applyFill="1" applyAlignment="1">
      <alignment horizontal="center" vertical="center" wrapText="1"/>
    </xf>
    <xf numFmtId="0" fontId="0" fillId="23" borderId="0" xfId="0" applyFill="1" applyAlignment="1">
      <alignment horizontal="center"/>
    </xf>
    <xf numFmtId="0" fontId="0" fillId="23" borderId="1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67" fillId="29" borderId="0" xfId="0" applyNumberFormat="1" applyFont="1" applyFill="1" applyAlignment="1">
      <alignment horizontal="center"/>
    </xf>
    <xf numFmtId="0" fontId="37" fillId="0" borderId="10" xfId="0" applyFont="1" applyBorder="1" applyAlignment="1">
      <alignment horizontal="center" vertical="center"/>
    </xf>
    <xf numFmtId="0" fontId="36" fillId="0" borderId="3" xfId="0" applyFont="1" applyBorder="1" applyAlignment="1">
      <alignment horizontal="left" vertical="center"/>
    </xf>
    <xf numFmtId="164" fontId="37" fillId="0" borderId="47" xfId="0" applyNumberFormat="1" applyFont="1" applyBorder="1" applyAlignment="1">
      <alignment horizontal="center"/>
    </xf>
    <xf numFmtId="0" fontId="36" fillId="0" borderId="6" xfId="0" applyFont="1" applyBorder="1" applyAlignment="1">
      <alignment horizontal="left" vertical="center"/>
    </xf>
    <xf numFmtId="0" fontId="36" fillId="0" borderId="6" xfId="0" applyFont="1" applyBorder="1" applyAlignment="1">
      <alignment horizontal="left" vertical="center" wrapText="1"/>
    </xf>
    <xf numFmtId="0" fontId="36" fillId="0" borderId="10" xfId="0" applyFont="1" applyBorder="1" applyAlignment="1">
      <alignment horizontal="left" vertical="center"/>
    </xf>
    <xf numFmtId="0" fontId="37" fillId="0" borderId="9" xfId="0" applyFont="1" applyBorder="1" applyAlignment="1">
      <alignment horizontal="center"/>
    </xf>
    <xf numFmtId="164" fontId="37" fillId="0" borderId="10" xfId="0" applyNumberFormat="1" applyFont="1" applyBorder="1" applyAlignment="1">
      <alignment horizontal="center" vertical="center"/>
    </xf>
    <xf numFmtId="175" fontId="37" fillId="0" borderId="10" xfId="0" applyNumberFormat="1" applyFont="1" applyBorder="1" applyAlignment="1">
      <alignment horizontal="center" vertical="center"/>
    </xf>
    <xf numFmtId="0" fontId="36" fillId="27" borderId="45" xfId="0" applyFont="1" applyFill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7" fillId="0" borderId="8" xfId="0" applyFont="1" applyBorder="1"/>
    <xf numFmtId="0" fontId="75" fillId="27" borderId="18" xfId="0" applyFont="1" applyFill="1" applyBorder="1" applyAlignment="1">
      <alignment horizontal="center" vertical="top" wrapText="1"/>
    </xf>
    <xf numFmtId="0" fontId="37" fillId="0" borderId="9" xfId="0" applyFont="1" applyBorder="1"/>
    <xf numFmtId="0" fontId="36" fillId="0" borderId="8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10" borderId="3" xfId="0" applyFont="1" applyFill="1" applyBorder="1" applyAlignment="1">
      <alignment horizontal="center" vertical="center" wrapText="1"/>
    </xf>
    <xf numFmtId="0" fontId="73" fillId="0" borderId="70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7" fillId="0" borderId="2" xfId="0" applyFont="1" applyBorder="1"/>
    <xf numFmtId="0" fontId="36" fillId="10" borderId="2" xfId="0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/>
    </xf>
    <xf numFmtId="0" fontId="36" fillId="0" borderId="52" xfId="0" applyFont="1" applyBorder="1" applyAlignment="1">
      <alignment horizontal="right" vertical="center"/>
    </xf>
    <xf numFmtId="174" fontId="37" fillId="0" borderId="9" xfId="0" applyNumberFormat="1" applyFont="1" applyBorder="1" applyAlignment="1">
      <alignment horizontal="center" wrapText="1"/>
    </xf>
    <xf numFmtId="0" fontId="36" fillId="0" borderId="1" xfId="0" applyFont="1" applyBorder="1" applyAlignment="1">
      <alignment horizontal="center"/>
    </xf>
    <xf numFmtId="0" fontId="37" fillId="10" borderId="45" xfId="0" applyFont="1" applyFill="1" applyBorder="1" applyAlignment="1">
      <alignment horizontal="center" vertical="top" wrapText="1"/>
    </xf>
    <xf numFmtId="0" fontId="36" fillId="27" borderId="6" xfId="0" applyFont="1" applyFill="1" applyBorder="1" applyAlignment="1">
      <alignment horizontal="left" vertical="center"/>
    </xf>
    <xf numFmtId="0" fontId="36" fillId="0" borderId="30" xfId="0" applyFont="1" applyBorder="1" applyAlignment="1">
      <alignment horizontal="left" vertical="center"/>
    </xf>
    <xf numFmtId="0" fontId="36" fillId="27" borderId="46" xfId="0" applyFont="1" applyFill="1" applyBorder="1" applyAlignment="1">
      <alignment horizontal="left" vertical="center"/>
    </xf>
    <xf numFmtId="0" fontId="36" fillId="0" borderId="15" xfId="0" applyFont="1" applyBorder="1" applyAlignment="1">
      <alignment horizontal="center" vertical="center"/>
    </xf>
    <xf numFmtId="17" fontId="69" fillId="0" borderId="56" xfId="0" applyNumberFormat="1" applyFont="1" applyBorder="1" applyAlignment="1">
      <alignment horizontal="center" vertical="top"/>
    </xf>
    <xf numFmtId="0" fontId="36" fillId="0" borderId="1" xfId="0" applyFont="1" applyBorder="1" applyAlignment="1">
      <alignment horizontal="center" vertical="top"/>
    </xf>
    <xf numFmtId="0" fontId="36" fillId="0" borderId="3" xfId="0" applyFont="1" applyBorder="1" applyAlignment="1">
      <alignment horizontal="center" vertical="center" wrapText="1"/>
    </xf>
    <xf numFmtId="0" fontId="78" fillId="28" borderId="1" xfId="0" applyFont="1" applyFill="1" applyBorder="1" applyAlignment="1">
      <alignment horizontal="center"/>
    </xf>
    <xf numFmtId="166" fontId="24" fillId="30" borderId="18" xfId="0" applyNumberFormat="1" applyFont="1" applyFill="1" applyBorder="1" applyAlignment="1">
      <alignment horizontal="center" wrapText="1"/>
    </xf>
    <xf numFmtId="166" fontId="24" fillId="17" borderId="77" xfId="0" applyNumberFormat="1" applyFont="1" applyFill="1" applyBorder="1" applyAlignment="1">
      <alignment horizontal="center" wrapText="1"/>
    </xf>
    <xf numFmtId="174" fontId="16" fillId="0" borderId="19" xfId="0" applyNumberFormat="1" applyFont="1" applyBorder="1" applyAlignment="1">
      <alignment vertical="center"/>
    </xf>
    <xf numFmtId="0" fontId="83" fillId="0" borderId="6" xfId="0" applyFont="1" applyBorder="1" applyAlignment="1">
      <alignment horizontal="center"/>
    </xf>
    <xf numFmtId="0" fontId="85" fillId="0" borderId="6" xfId="0" applyFont="1" applyBorder="1" applyAlignment="1">
      <alignment horizontal="center"/>
    </xf>
    <xf numFmtId="0" fontId="85" fillId="0" borderId="6" xfId="0" applyFont="1" applyBorder="1" applyAlignment="1">
      <alignment horizontal="left"/>
    </xf>
    <xf numFmtId="164" fontId="15" fillId="0" borderId="6" xfId="0" applyNumberFormat="1" applyFont="1" applyBorder="1" applyAlignment="1">
      <alignment horizontal="center" vertical="center"/>
    </xf>
    <xf numFmtId="164" fontId="15" fillId="13" borderId="6" xfId="0" applyNumberFormat="1" applyFont="1" applyFill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164" fontId="15" fillId="13" borderId="6" xfId="0" applyNumberFormat="1" applyFont="1" applyFill="1" applyBorder="1" applyAlignment="1">
      <alignment horizontal="center" vertical="center"/>
    </xf>
    <xf numFmtId="164" fontId="90" fillId="13" borderId="6" xfId="0" applyNumberFormat="1" applyFont="1" applyFill="1" applyBorder="1" applyAlignment="1">
      <alignment horizontal="center" vertical="center" wrapText="1"/>
    </xf>
    <xf numFmtId="164" fontId="88" fillId="13" borderId="20" xfId="0" applyNumberFormat="1" applyFont="1" applyFill="1" applyBorder="1" applyAlignment="1">
      <alignment horizontal="center" vertical="center" wrapText="1"/>
    </xf>
    <xf numFmtId="164" fontId="88" fillId="13" borderId="19" xfId="0" applyNumberFormat="1" applyFont="1" applyFill="1" applyBorder="1" applyAlignment="1">
      <alignment horizontal="center" vertical="center" wrapText="1"/>
    </xf>
    <xf numFmtId="0" fontId="49" fillId="0" borderId="14" xfId="0" applyFont="1" applyBorder="1" applyAlignment="1">
      <alignment horizontal="center"/>
    </xf>
    <xf numFmtId="0" fontId="49" fillId="0" borderId="12" xfId="0" applyFont="1" applyBorder="1" applyAlignment="1">
      <alignment horizontal="left"/>
    </xf>
    <xf numFmtId="0" fontId="49" fillId="0" borderId="17" xfId="0" applyFont="1" applyBorder="1" applyAlignment="1">
      <alignment horizontal="center"/>
    </xf>
    <xf numFmtId="0" fontId="65" fillId="0" borderId="68" xfId="0" applyFont="1" applyBorder="1" applyAlignment="1">
      <alignment horizontal="center" vertical="center"/>
    </xf>
    <xf numFmtId="0" fontId="77" fillId="0" borderId="47" xfId="0" applyFont="1" applyBorder="1" applyAlignment="1">
      <alignment horizontal="center" vertical="center"/>
    </xf>
    <xf numFmtId="0" fontId="65" fillId="0" borderId="38" xfId="0" applyFont="1" applyBorder="1" applyAlignment="1">
      <alignment horizontal="center" vertical="center"/>
    </xf>
    <xf numFmtId="0" fontId="103" fillId="0" borderId="38" xfId="0" applyFont="1" applyBorder="1" applyAlignment="1">
      <alignment horizontal="center" vertical="center"/>
    </xf>
    <xf numFmtId="0" fontId="65" fillId="0" borderId="65" xfId="0" applyFont="1" applyBorder="1" applyAlignment="1">
      <alignment horizontal="center" vertical="center"/>
    </xf>
    <xf numFmtId="0" fontId="103" fillId="0" borderId="65" xfId="0" applyFont="1" applyBorder="1" applyAlignment="1">
      <alignment horizontal="center" vertical="center"/>
    </xf>
    <xf numFmtId="0" fontId="78" fillId="0" borderId="33" xfId="0" applyFont="1" applyBorder="1" applyAlignment="1">
      <alignment horizontal="center" vertical="center"/>
    </xf>
    <xf numFmtId="0" fontId="91" fillId="0" borderId="13" xfId="0" applyFont="1" applyBorder="1" applyAlignment="1">
      <alignment horizontal="center"/>
    </xf>
    <xf numFmtId="0" fontId="76" fillId="0" borderId="59" xfId="0" applyFont="1" applyBorder="1" applyAlignment="1">
      <alignment vertical="top"/>
    </xf>
    <xf numFmtId="0" fontId="92" fillId="0" borderId="5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65" fillId="0" borderId="0" xfId="0" applyFont="1" applyAlignment="1">
      <alignment horizontal="center"/>
    </xf>
    <xf numFmtId="0" fontId="99" fillId="0" borderId="70" xfId="0" applyFont="1" applyBorder="1" applyAlignment="1">
      <alignment horizontal="left" wrapText="1"/>
    </xf>
    <xf numFmtId="0" fontId="100" fillId="0" borderId="70" xfId="0" applyFont="1" applyBorder="1" applyAlignment="1">
      <alignment horizontal="center"/>
    </xf>
    <xf numFmtId="0" fontId="96" fillId="0" borderId="70" xfId="0" applyFont="1" applyBorder="1" applyAlignment="1">
      <alignment horizontal="center"/>
    </xf>
    <xf numFmtId="0" fontId="77" fillId="0" borderId="45" xfId="0" applyFont="1" applyBorder="1" applyAlignment="1">
      <alignment horizontal="left" vertical="center" wrapText="1"/>
    </xf>
    <xf numFmtId="0" fontId="77" fillId="0" borderId="47" xfId="0" applyFont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7" fillId="0" borderId="54" xfId="0" applyFont="1" applyBorder="1" applyAlignment="1">
      <alignment horizontal="center" vertical="center" wrapText="1"/>
    </xf>
    <xf numFmtId="0" fontId="77" fillId="0" borderId="54" xfId="0" applyFont="1" applyBorder="1" applyAlignment="1">
      <alignment horizontal="center" vertical="center"/>
    </xf>
    <xf numFmtId="0" fontId="110" fillId="0" borderId="43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66" fontId="0" fillId="0" borderId="6" xfId="0" applyNumberFormat="1" applyBorder="1" applyAlignment="1">
      <alignment horizontal="center"/>
    </xf>
  </cellXfs>
  <cellStyles count="15">
    <cellStyle name="Comma 2" xfId="1" xr:uid="{00000000-0005-0000-0000-000006000000}"/>
    <cellStyle name="Comma 82" xfId="2" xr:uid="{00000000-0005-0000-0000-000007000000}"/>
    <cellStyle name="Normal" xfId="0" builtinId="0"/>
    <cellStyle name="Normal 10" xfId="11" xr:uid="{B1F41564-C086-4598-9495-7FA3B22886F5}"/>
    <cellStyle name="Normal 11" xfId="12" xr:uid="{E2C8A79E-00A4-463C-B2A4-8D5F7AA1F8CD}"/>
    <cellStyle name="Normal 12" xfId="13" xr:uid="{075A96F1-9B6C-4716-B43B-A82C1D1A9B91}"/>
    <cellStyle name="Normal 13" xfId="14" xr:uid="{42032B65-F002-47DF-8C26-F26FC56F2F4A}"/>
    <cellStyle name="Normal 2" xfId="3" xr:uid="{00000000-0005-0000-0000-000008000000}"/>
    <cellStyle name="Normal 3" xfId="4" xr:uid="{F80BD15E-FC8A-4A0C-9FA8-F947A487F5F3}"/>
    <cellStyle name="Normal 4" xfId="5" xr:uid="{3545AA28-1557-4DF5-9D47-171FCF2793E3}"/>
    <cellStyle name="Normal 5" xfId="6" xr:uid="{AD88EA0F-277E-47B2-A4E3-853812B50313}"/>
    <cellStyle name="Normal 6" xfId="7" xr:uid="{72182B04-683F-4418-B64E-6AB3AAF1F2A0}"/>
    <cellStyle name="Normal 7" xfId="8" xr:uid="{8B5DA1F6-2CE7-465E-BD02-596728166CAC}"/>
    <cellStyle name="Normal 8" xfId="9" xr:uid="{A0BF69EA-1E60-4B8A-9042-A7FA9787A07F}"/>
    <cellStyle name="Normal 9" xfId="10" xr:uid="{EE9AD2C9-1800-402A-A093-94C130AAC569}"/>
  </cellStyles>
  <dxfs count="1642">
    <dxf>
      <font>
        <color rgb="FFFFFFFF"/>
      </font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sz val="11"/>
        <color rgb="FF000000"/>
        <name val="Calibri"/>
        <family val="2"/>
        <charset val="1"/>
      </font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  <fill>
        <patternFill>
          <bgColor theme="4" tint="0.39988402966399123"/>
        </patternFill>
      </fill>
    </dxf>
    <dxf>
      <fill>
        <patternFill>
          <bgColor theme="0"/>
        </patternFill>
      </fill>
    </dxf>
    <dxf>
      <fill>
        <patternFill>
          <bgColor theme="7"/>
        </patternFill>
      </fill>
    </dxf>
    <dxf>
      <font>
        <color rgb="FFFFFFFF"/>
      </font>
    </dxf>
    <dxf>
      <font>
        <color rgb="FF70AD47"/>
      </font>
    </dxf>
    <dxf>
      <font>
        <color rgb="FFFF0000"/>
      </font>
    </dxf>
    <dxf>
      <font>
        <color rgb="FF70AD47"/>
      </font>
    </dxf>
    <dxf>
      <font>
        <strike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70AD47"/>
      </font>
      <fill>
        <patternFill>
          <bgColor theme="0"/>
        </patternFill>
      </fill>
    </dxf>
    <dxf>
      <font>
        <color rgb="FFFF0000"/>
      </font>
    </dxf>
    <dxf>
      <font>
        <color rgb="FF00B050"/>
      </font>
    </dxf>
    <dxf>
      <font>
        <color rgb="FFE7E6E6"/>
      </font>
      <fill>
        <patternFill>
          <bgColor theme="2"/>
        </patternFill>
      </fill>
    </dxf>
    <dxf>
      <font>
        <color rgb="FFFF0000"/>
      </font>
    </dxf>
    <dxf>
      <font>
        <color rgb="FF70AD47"/>
      </font>
    </dxf>
    <dxf>
      <font>
        <color rgb="FFFF0000"/>
      </font>
    </dxf>
    <dxf>
      <font>
        <color rgb="FF70AD47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  <fill>
        <patternFill>
          <bgColor theme="5"/>
        </patternFill>
      </fill>
    </dxf>
    <dxf>
      <fill>
        <patternFill>
          <bgColor theme="7"/>
        </patternFill>
      </fill>
    </dxf>
    <dxf>
      <font>
        <color rgb="FFFFFFFF"/>
      </font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FF"/>
      </font>
    </dxf>
    <dxf>
      <fill>
        <patternFill>
          <bgColor rgb="FF00B0F0"/>
        </patternFill>
      </fill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C5E0B4"/>
      <rgbColor rgb="FFFBE5D6"/>
      <rgbColor rgb="FFFFFF00"/>
      <rgbColor rgb="FFFF00FF"/>
      <rgbColor rgb="FF9DC3E6"/>
      <rgbColor rgb="FF9C0006"/>
      <rgbColor rgb="FFD0CECE"/>
      <rgbColor rgb="FF0D0D0D"/>
      <rgbColor rgb="FF70AD47"/>
      <rgbColor rgb="FFD6DCE5"/>
      <rgbColor rgb="FF2F5597"/>
      <rgbColor rgb="FFBFBFBF"/>
      <rgbColor rgb="FF767171"/>
      <rgbColor rgb="FF8FAADC"/>
      <rgbColor rgb="FF7030A0"/>
      <rgbColor rgb="FFF2F2F2"/>
      <rgbColor rgb="FFCCFFFF"/>
      <rgbColor rgb="FF2A282B"/>
      <rgbColor rgb="FFF4B183"/>
      <rgbColor rgb="FF2E75B6"/>
      <rgbColor rgb="FFBDD7EE"/>
      <rgbColor rgb="FF110F08"/>
      <rgbColor rgb="FFD9D9D9"/>
      <rgbColor rgb="FFFFD966"/>
      <rgbColor rgb="FFA9D18E"/>
      <rgbColor rgb="FFE7E6E6"/>
      <rgbColor rgb="FF000300"/>
      <rgbColor rgb="FFC9C9C9"/>
      <rgbColor rgb="FFFFE699"/>
      <rgbColor rgb="FF00CCFF"/>
      <rgbColor rgb="FFDAE3F3"/>
      <rgbColor rgb="FFE2F0D9"/>
      <rgbColor rgb="FFFFFF99"/>
      <rgbColor rgb="FF99CCFF"/>
      <rgbColor rgb="FFFF99CC"/>
      <rgbColor rgb="FFB4C7E7"/>
      <rgbColor rgb="FFFFCC99"/>
      <rgbColor rgb="FF4472C4"/>
      <rgbColor rgb="FF00B0F0"/>
      <rgbColor rgb="FF92D050"/>
      <rgbColor rgb="FFFFC000"/>
      <rgbColor rgb="FFFFC7CE"/>
      <rgbColor rgb="FFED7D31"/>
      <rgbColor rgb="FF44546A"/>
      <rgbColor rgb="FFADB9CA"/>
      <rgbColor rgb="FF002060"/>
      <rgbColor rgb="FF00B050"/>
      <rgbColor rgb="FF1F1E22"/>
      <rgbColor rgb="FF2F2D03"/>
      <rgbColor rgb="FF494905"/>
      <rgbColor rgb="FF3A3A3B"/>
      <rgbColor rgb="FF203864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186120</xdr:colOff>
      <xdr:row>0</xdr:row>
      <xdr:rowOff>237240</xdr:rowOff>
    </xdr:from>
    <xdr:to>
      <xdr:col>20</xdr:col>
      <xdr:colOff>365400</xdr:colOff>
      <xdr:row>1</xdr:row>
      <xdr:rowOff>217800</xdr:rowOff>
    </xdr:to>
    <xdr:pic>
      <xdr:nvPicPr>
        <xdr:cNvPr id="2" name="Picture 2" descr="isi logo.gif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37240"/>
          <a:ext cx="103608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0</xdr:row>
      <xdr:rowOff>68760</xdr:rowOff>
    </xdr:from>
    <xdr:to>
      <xdr:col>3</xdr:col>
      <xdr:colOff>14760</xdr:colOff>
      <xdr:row>3</xdr:row>
      <xdr:rowOff>131400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687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34</xdr:row>
      <xdr:rowOff>68760</xdr:rowOff>
    </xdr:from>
    <xdr:to>
      <xdr:col>3</xdr:col>
      <xdr:colOff>14760</xdr:colOff>
      <xdr:row>37</xdr:row>
      <xdr:rowOff>131400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8974800"/>
          <a:ext cx="2265840" cy="11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68</xdr:row>
      <xdr:rowOff>68760</xdr:rowOff>
    </xdr:from>
    <xdr:to>
      <xdr:col>3</xdr:col>
      <xdr:colOff>14760</xdr:colOff>
      <xdr:row>71</xdr:row>
      <xdr:rowOff>131400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78804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102</xdr:row>
      <xdr:rowOff>68760</xdr:rowOff>
    </xdr:from>
    <xdr:to>
      <xdr:col>3</xdr:col>
      <xdr:colOff>14760</xdr:colOff>
      <xdr:row>105</xdr:row>
      <xdr:rowOff>131400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67865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136</xdr:row>
      <xdr:rowOff>68760</xdr:rowOff>
    </xdr:from>
    <xdr:to>
      <xdr:col>3</xdr:col>
      <xdr:colOff>14760</xdr:colOff>
      <xdr:row>139</xdr:row>
      <xdr:rowOff>131400</xdr:rowOff>
    </xdr:to>
    <xdr:pic>
      <xdr:nvPicPr>
        <xdr:cNvPr id="7" name="Pictur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56922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170</xdr:row>
      <xdr:rowOff>68760</xdr:rowOff>
    </xdr:from>
    <xdr:to>
      <xdr:col>3</xdr:col>
      <xdr:colOff>14760</xdr:colOff>
      <xdr:row>173</xdr:row>
      <xdr:rowOff>131400</xdr:rowOff>
    </xdr:to>
    <xdr:pic>
      <xdr:nvPicPr>
        <xdr:cNvPr id="8" name="Picture 13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45982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204</xdr:row>
      <xdr:rowOff>68760</xdr:rowOff>
    </xdr:from>
    <xdr:to>
      <xdr:col>3</xdr:col>
      <xdr:colOff>14760</xdr:colOff>
      <xdr:row>207</xdr:row>
      <xdr:rowOff>131400</xdr:rowOff>
    </xdr:to>
    <xdr:pic>
      <xdr:nvPicPr>
        <xdr:cNvPr id="9" name="Picture 15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535039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238</xdr:row>
      <xdr:rowOff>68760</xdr:rowOff>
    </xdr:from>
    <xdr:to>
      <xdr:col>3</xdr:col>
      <xdr:colOff>14760</xdr:colOff>
      <xdr:row>241</xdr:row>
      <xdr:rowOff>131400</xdr:rowOff>
    </xdr:to>
    <xdr:pic>
      <xdr:nvPicPr>
        <xdr:cNvPr id="10" name="Picture 17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624099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272</xdr:row>
      <xdr:rowOff>68760</xdr:rowOff>
    </xdr:from>
    <xdr:to>
      <xdr:col>3</xdr:col>
      <xdr:colOff>14760</xdr:colOff>
      <xdr:row>275</xdr:row>
      <xdr:rowOff>131400</xdr:rowOff>
    </xdr:to>
    <xdr:pic>
      <xdr:nvPicPr>
        <xdr:cNvPr id="11" name="Picture 19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713156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306</xdr:row>
      <xdr:rowOff>68760</xdr:rowOff>
    </xdr:from>
    <xdr:to>
      <xdr:col>3</xdr:col>
      <xdr:colOff>14760</xdr:colOff>
      <xdr:row>309</xdr:row>
      <xdr:rowOff>131400</xdr:rowOff>
    </xdr:to>
    <xdr:pic>
      <xdr:nvPicPr>
        <xdr:cNvPr id="12" name="Picture 2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802216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340</xdr:row>
      <xdr:rowOff>68760</xdr:rowOff>
    </xdr:from>
    <xdr:to>
      <xdr:col>3</xdr:col>
      <xdr:colOff>14760</xdr:colOff>
      <xdr:row>343</xdr:row>
      <xdr:rowOff>131400</xdr:rowOff>
    </xdr:to>
    <xdr:pic>
      <xdr:nvPicPr>
        <xdr:cNvPr id="13" name="Picture 23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891273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374</xdr:row>
      <xdr:rowOff>68760</xdr:rowOff>
    </xdr:from>
    <xdr:to>
      <xdr:col>3</xdr:col>
      <xdr:colOff>14760</xdr:colOff>
      <xdr:row>377</xdr:row>
      <xdr:rowOff>131400</xdr:rowOff>
    </xdr:to>
    <xdr:pic>
      <xdr:nvPicPr>
        <xdr:cNvPr id="14" name="Picture 25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980334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408</xdr:row>
      <xdr:rowOff>68760</xdr:rowOff>
    </xdr:from>
    <xdr:to>
      <xdr:col>3</xdr:col>
      <xdr:colOff>14760</xdr:colOff>
      <xdr:row>411</xdr:row>
      <xdr:rowOff>131400</xdr:rowOff>
    </xdr:to>
    <xdr:pic>
      <xdr:nvPicPr>
        <xdr:cNvPr id="15" name="Picture 27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06939440"/>
          <a:ext cx="2265840" cy="11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442</xdr:row>
      <xdr:rowOff>68760</xdr:rowOff>
    </xdr:from>
    <xdr:to>
      <xdr:col>3</xdr:col>
      <xdr:colOff>14760</xdr:colOff>
      <xdr:row>445</xdr:row>
      <xdr:rowOff>131400</xdr:rowOff>
    </xdr:to>
    <xdr:pic>
      <xdr:nvPicPr>
        <xdr:cNvPr id="16" name="Picture 29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158451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476</xdr:row>
      <xdr:rowOff>68760</xdr:rowOff>
    </xdr:from>
    <xdr:to>
      <xdr:col>3</xdr:col>
      <xdr:colOff>14760</xdr:colOff>
      <xdr:row>479</xdr:row>
      <xdr:rowOff>131400</xdr:rowOff>
    </xdr:to>
    <xdr:pic>
      <xdr:nvPicPr>
        <xdr:cNvPr id="17" name="Picture 3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24751160"/>
          <a:ext cx="2265840" cy="11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510</xdr:row>
      <xdr:rowOff>68760</xdr:rowOff>
    </xdr:from>
    <xdr:to>
      <xdr:col>3</xdr:col>
      <xdr:colOff>14760</xdr:colOff>
      <xdr:row>513</xdr:row>
      <xdr:rowOff>131400</xdr:rowOff>
    </xdr:to>
    <xdr:pic>
      <xdr:nvPicPr>
        <xdr:cNvPr id="18" name="Picture 33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336568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544</xdr:row>
      <xdr:rowOff>68760</xdr:rowOff>
    </xdr:from>
    <xdr:to>
      <xdr:col>3</xdr:col>
      <xdr:colOff>14760</xdr:colOff>
      <xdr:row>547</xdr:row>
      <xdr:rowOff>131400</xdr:rowOff>
    </xdr:to>
    <xdr:pic>
      <xdr:nvPicPr>
        <xdr:cNvPr id="19" name="Picture 35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425628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578</xdr:row>
      <xdr:rowOff>68760</xdr:rowOff>
    </xdr:from>
    <xdr:to>
      <xdr:col>3</xdr:col>
      <xdr:colOff>14760</xdr:colOff>
      <xdr:row>581</xdr:row>
      <xdr:rowOff>131400</xdr:rowOff>
    </xdr:to>
    <xdr:pic>
      <xdr:nvPicPr>
        <xdr:cNvPr id="20" name="Picture 37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514685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612</xdr:row>
      <xdr:rowOff>68760</xdr:rowOff>
    </xdr:from>
    <xdr:to>
      <xdr:col>3</xdr:col>
      <xdr:colOff>14760</xdr:colOff>
      <xdr:row>615</xdr:row>
      <xdr:rowOff>131400</xdr:rowOff>
    </xdr:to>
    <xdr:pic>
      <xdr:nvPicPr>
        <xdr:cNvPr id="21" name="Picture 39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603746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646</xdr:row>
      <xdr:rowOff>68760</xdr:rowOff>
    </xdr:from>
    <xdr:to>
      <xdr:col>3</xdr:col>
      <xdr:colOff>14760</xdr:colOff>
      <xdr:row>649</xdr:row>
      <xdr:rowOff>131400</xdr:rowOff>
    </xdr:to>
    <xdr:pic>
      <xdr:nvPicPr>
        <xdr:cNvPr id="22" name="Picture 4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692802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680</xdr:row>
      <xdr:rowOff>68760</xdr:rowOff>
    </xdr:from>
    <xdr:to>
      <xdr:col>3</xdr:col>
      <xdr:colOff>14760</xdr:colOff>
      <xdr:row>683</xdr:row>
      <xdr:rowOff>131400</xdr:rowOff>
    </xdr:to>
    <xdr:pic>
      <xdr:nvPicPr>
        <xdr:cNvPr id="23" name="Picture 43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781863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714</xdr:row>
      <xdr:rowOff>68760</xdr:rowOff>
    </xdr:from>
    <xdr:to>
      <xdr:col>3</xdr:col>
      <xdr:colOff>14760</xdr:colOff>
      <xdr:row>717</xdr:row>
      <xdr:rowOff>131400</xdr:rowOff>
    </xdr:to>
    <xdr:pic>
      <xdr:nvPicPr>
        <xdr:cNvPr id="24" name="Picture 45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870920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748</xdr:row>
      <xdr:rowOff>68760</xdr:rowOff>
    </xdr:from>
    <xdr:to>
      <xdr:col>3</xdr:col>
      <xdr:colOff>14760</xdr:colOff>
      <xdr:row>751</xdr:row>
      <xdr:rowOff>131400</xdr:rowOff>
    </xdr:to>
    <xdr:pic>
      <xdr:nvPicPr>
        <xdr:cNvPr id="25" name="Picture 47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1959980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782</xdr:row>
      <xdr:rowOff>68760</xdr:rowOff>
    </xdr:from>
    <xdr:to>
      <xdr:col>3</xdr:col>
      <xdr:colOff>14760</xdr:colOff>
      <xdr:row>785</xdr:row>
      <xdr:rowOff>131400</xdr:rowOff>
    </xdr:to>
    <xdr:pic>
      <xdr:nvPicPr>
        <xdr:cNvPr id="26" name="Picture 49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049037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816</xdr:row>
      <xdr:rowOff>68760</xdr:rowOff>
    </xdr:from>
    <xdr:to>
      <xdr:col>3</xdr:col>
      <xdr:colOff>14760</xdr:colOff>
      <xdr:row>819</xdr:row>
      <xdr:rowOff>131400</xdr:rowOff>
    </xdr:to>
    <xdr:pic>
      <xdr:nvPicPr>
        <xdr:cNvPr id="27" name="Picture 51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138097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850</xdr:row>
      <xdr:rowOff>68760</xdr:rowOff>
    </xdr:from>
    <xdr:to>
      <xdr:col>3</xdr:col>
      <xdr:colOff>14760</xdr:colOff>
      <xdr:row>853</xdr:row>
      <xdr:rowOff>131400</xdr:rowOff>
    </xdr:to>
    <xdr:pic>
      <xdr:nvPicPr>
        <xdr:cNvPr id="28" name="Picture 53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22715800"/>
          <a:ext cx="2265840" cy="11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884</xdr:row>
      <xdr:rowOff>68760</xdr:rowOff>
    </xdr:from>
    <xdr:to>
      <xdr:col>3</xdr:col>
      <xdr:colOff>14760</xdr:colOff>
      <xdr:row>887</xdr:row>
      <xdr:rowOff>131400</xdr:rowOff>
    </xdr:to>
    <xdr:pic>
      <xdr:nvPicPr>
        <xdr:cNvPr id="29" name="Picture 55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316214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918</xdr:row>
      <xdr:rowOff>68760</xdr:rowOff>
    </xdr:from>
    <xdr:to>
      <xdr:col>3</xdr:col>
      <xdr:colOff>14760</xdr:colOff>
      <xdr:row>921</xdr:row>
      <xdr:rowOff>131400</xdr:rowOff>
    </xdr:to>
    <xdr:pic>
      <xdr:nvPicPr>
        <xdr:cNvPr id="30" name="Picture 57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405275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952</xdr:row>
      <xdr:rowOff>68760</xdr:rowOff>
    </xdr:from>
    <xdr:to>
      <xdr:col>3</xdr:col>
      <xdr:colOff>14760</xdr:colOff>
      <xdr:row>955</xdr:row>
      <xdr:rowOff>131400</xdr:rowOff>
    </xdr:to>
    <xdr:pic>
      <xdr:nvPicPr>
        <xdr:cNvPr id="31" name="Picture 59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494332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986</xdr:row>
      <xdr:rowOff>68760</xdr:rowOff>
    </xdr:from>
    <xdr:to>
      <xdr:col>3</xdr:col>
      <xdr:colOff>14760</xdr:colOff>
      <xdr:row>989</xdr:row>
      <xdr:rowOff>131400</xdr:rowOff>
    </xdr:to>
    <xdr:pic>
      <xdr:nvPicPr>
        <xdr:cNvPr id="32" name="Picture 6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583392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1020</xdr:row>
      <xdr:rowOff>68760</xdr:rowOff>
    </xdr:from>
    <xdr:to>
      <xdr:col>3</xdr:col>
      <xdr:colOff>14760</xdr:colOff>
      <xdr:row>1023</xdr:row>
      <xdr:rowOff>131400</xdr:rowOff>
    </xdr:to>
    <xdr:pic>
      <xdr:nvPicPr>
        <xdr:cNvPr id="33" name="Picture 63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672449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1054</xdr:row>
      <xdr:rowOff>68760</xdr:rowOff>
    </xdr:from>
    <xdr:to>
      <xdr:col>3</xdr:col>
      <xdr:colOff>14760</xdr:colOff>
      <xdr:row>1057</xdr:row>
      <xdr:rowOff>131400</xdr:rowOff>
    </xdr:to>
    <xdr:pic>
      <xdr:nvPicPr>
        <xdr:cNvPr id="34" name="Picture 65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761509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1088</xdr:row>
      <xdr:rowOff>68760</xdr:rowOff>
    </xdr:from>
    <xdr:to>
      <xdr:col>3</xdr:col>
      <xdr:colOff>14760</xdr:colOff>
      <xdr:row>1091</xdr:row>
      <xdr:rowOff>131400</xdr:rowOff>
    </xdr:to>
    <xdr:pic>
      <xdr:nvPicPr>
        <xdr:cNvPr id="35" name="Picture 67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850566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1122</xdr:row>
      <xdr:rowOff>68760</xdr:rowOff>
    </xdr:from>
    <xdr:to>
      <xdr:col>3</xdr:col>
      <xdr:colOff>14760</xdr:colOff>
      <xdr:row>1125</xdr:row>
      <xdr:rowOff>131400</xdr:rowOff>
    </xdr:to>
    <xdr:pic>
      <xdr:nvPicPr>
        <xdr:cNvPr id="36" name="Picture 69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939626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1156</xdr:row>
      <xdr:rowOff>68760</xdr:rowOff>
    </xdr:from>
    <xdr:to>
      <xdr:col>3</xdr:col>
      <xdr:colOff>14760</xdr:colOff>
      <xdr:row>1159</xdr:row>
      <xdr:rowOff>131400</xdr:rowOff>
    </xdr:to>
    <xdr:pic>
      <xdr:nvPicPr>
        <xdr:cNvPr id="37" name="Picture 71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028683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1190</xdr:row>
      <xdr:rowOff>68760</xdr:rowOff>
    </xdr:from>
    <xdr:to>
      <xdr:col>3</xdr:col>
      <xdr:colOff>14760</xdr:colOff>
      <xdr:row>1193</xdr:row>
      <xdr:rowOff>131400</xdr:rowOff>
    </xdr:to>
    <xdr:pic>
      <xdr:nvPicPr>
        <xdr:cNvPr id="38" name="Picture 73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117744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1224</xdr:row>
      <xdr:rowOff>68760</xdr:rowOff>
    </xdr:from>
    <xdr:to>
      <xdr:col>3</xdr:col>
      <xdr:colOff>14760</xdr:colOff>
      <xdr:row>1227</xdr:row>
      <xdr:rowOff>131400</xdr:rowOff>
    </xdr:to>
    <xdr:pic>
      <xdr:nvPicPr>
        <xdr:cNvPr id="39" name="Picture 75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20680440"/>
          <a:ext cx="2265840" cy="11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1258</xdr:row>
      <xdr:rowOff>68760</xdr:rowOff>
    </xdr:from>
    <xdr:to>
      <xdr:col>3</xdr:col>
      <xdr:colOff>14760</xdr:colOff>
      <xdr:row>1261</xdr:row>
      <xdr:rowOff>131400</xdr:rowOff>
    </xdr:to>
    <xdr:pic>
      <xdr:nvPicPr>
        <xdr:cNvPr id="40" name="Picture 77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295861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1292</xdr:row>
      <xdr:rowOff>68760</xdr:rowOff>
    </xdr:from>
    <xdr:to>
      <xdr:col>3</xdr:col>
      <xdr:colOff>14760</xdr:colOff>
      <xdr:row>1295</xdr:row>
      <xdr:rowOff>131400</xdr:rowOff>
    </xdr:to>
    <xdr:pic>
      <xdr:nvPicPr>
        <xdr:cNvPr id="41" name="Picture 79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38492160"/>
          <a:ext cx="2265840" cy="11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1326</xdr:row>
      <xdr:rowOff>68760</xdr:rowOff>
    </xdr:from>
    <xdr:to>
      <xdr:col>3</xdr:col>
      <xdr:colOff>14760</xdr:colOff>
      <xdr:row>1329</xdr:row>
      <xdr:rowOff>131400</xdr:rowOff>
    </xdr:to>
    <xdr:pic>
      <xdr:nvPicPr>
        <xdr:cNvPr id="42" name="Picture 8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473978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1360</xdr:row>
      <xdr:rowOff>68760</xdr:rowOff>
    </xdr:from>
    <xdr:to>
      <xdr:col>3</xdr:col>
      <xdr:colOff>14760</xdr:colOff>
      <xdr:row>1363</xdr:row>
      <xdr:rowOff>131400</xdr:rowOff>
    </xdr:to>
    <xdr:pic>
      <xdr:nvPicPr>
        <xdr:cNvPr id="43" name="Picture 83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563038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1394</xdr:row>
      <xdr:rowOff>68760</xdr:rowOff>
    </xdr:from>
    <xdr:to>
      <xdr:col>3</xdr:col>
      <xdr:colOff>14760</xdr:colOff>
      <xdr:row>1397</xdr:row>
      <xdr:rowOff>131400</xdr:rowOff>
    </xdr:to>
    <xdr:pic>
      <xdr:nvPicPr>
        <xdr:cNvPr id="44" name="Picture 85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652095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1428</xdr:row>
      <xdr:rowOff>68760</xdr:rowOff>
    </xdr:from>
    <xdr:to>
      <xdr:col>3</xdr:col>
      <xdr:colOff>14760</xdr:colOff>
      <xdr:row>1431</xdr:row>
      <xdr:rowOff>131400</xdr:rowOff>
    </xdr:to>
    <xdr:pic>
      <xdr:nvPicPr>
        <xdr:cNvPr id="45" name="Picture 87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741156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1462</xdr:row>
      <xdr:rowOff>68760</xdr:rowOff>
    </xdr:from>
    <xdr:to>
      <xdr:col>3</xdr:col>
      <xdr:colOff>14760</xdr:colOff>
      <xdr:row>1465</xdr:row>
      <xdr:rowOff>131400</xdr:rowOff>
    </xdr:to>
    <xdr:pic>
      <xdr:nvPicPr>
        <xdr:cNvPr id="46" name="Picture 89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830212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1496</xdr:row>
      <xdr:rowOff>68760</xdr:rowOff>
    </xdr:from>
    <xdr:to>
      <xdr:col>3</xdr:col>
      <xdr:colOff>14760</xdr:colOff>
      <xdr:row>1499</xdr:row>
      <xdr:rowOff>131400</xdr:rowOff>
    </xdr:to>
    <xdr:pic>
      <xdr:nvPicPr>
        <xdr:cNvPr id="47" name="Picture 91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3919273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1530</xdr:row>
      <xdr:rowOff>68760</xdr:rowOff>
    </xdr:from>
    <xdr:to>
      <xdr:col>3</xdr:col>
      <xdr:colOff>14760</xdr:colOff>
      <xdr:row>1533</xdr:row>
      <xdr:rowOff>131400</xdr:rowOff>
    </xdr:to>
    <xdr:pic>
      <xdr:nvPicPr>
        <xdr:cNvPr id="48" name="Picture 93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008330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1564</xdr:row>
      <xdr:rowOff>68760</xdr:rowOff>
    </xdr:from>
    <xdr:to>
      <xdr:col>3</xdr:col>
      <xdr:colOff>14760</xdr:colOff>
      <xdr:row>1567</xdr:row>
      <xdr:rowOff>131400</xdr:rowOff>
    </xdr:to>
    <xdr:pic>
      <xdr:nvPicPr>
        <xdr:cNvPr id="49" name="Picture 95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097390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1598</xdr:row>
      <xdr:rowOff>68760</xdr:rowOff>
    </xdr:from>
    <xdr:to>
      <xdr:col>3</xdr:col>
      <xdr:colOff>14760</xdr:colOff>
      <xdr:row>1601</xdr:row>
      <xdr:rowOff>131400</xdr:rowOff>
    </xdr:to>
    <xdr:pic>
      <xdr:nvPicPr>
        <xdr:cNvPr id="50" name="Picture 97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186447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1632</xdr:row>
      <xdr:rowOff>68760</xdr:rowOff>
    </xdr:from>
    <xdr:to>
      <xdr:col>3</xdr:col>
      <xdr:colOff>14760</xdr:colOff>
      <xdr:row>1635</xdr:row>
      <xdr:rowOff>131400</xdr:rowOff>
    </xdr:to>
    <xdr:pic>
      <xdr:nvPicPr>
        <xdr:cNvPr id="51" name="Picture 99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275507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1666</xdr:row>
      <xdr:rowOff>68760</xdr:rowOff>
    </xdr:from>
    <xdr:to>
      <xdr:col>3</xdr:col>
      <xdr:colOff>14760</xdr:colOff>
      <xdr:row>1669</xdr:row>
      <xdr:rowOff>131400</xdr:rowOff>
    </xdr:to>
    <xdr:pic>
      <xdr:nvPicPr>
        <xdr:cNvPr id="52" name="Picture 101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36456800"/>
          <a:ext cx="2265840" cy="11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1700</xdr:row>
      <xdr:rowOff>68760</xdr:rowOff>
    </xdr:from>
    <xdr:to>
      <xdr:col>3</xdr:col>
      <xdr:colOff>14760</xdr:colOff>
      <xdr:row>1703</xdr:row>
      <xdr:rowOff>131400</xdr:rowOff>
    </xdr:to>
    <xdr:pic>
      <xdr:nvPicPr>
        <xdr:cNvPr id="53" name="Picture 103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453624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1734</xdr:row>
      <xdr:rowOff>68760</xdr:rowOff>
    </xdr:from>
    <xdr:to>
      <xdr:col>3</xdr:col>
      <xdr:colOff>14760</xdr:colOff>
      <xdr:row>1737</xdr:row>
      <xdr:rowOff>131400</xdr:rowOff>
    </xdr:to>
    <xdr:pic>
      <xdr:nvPicPr>
        <xdr:cNvPr id="54" name="Picture 105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542685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1768</xdr:row>
      <xdr:rowOff>68760</xdr:rowOff>
    </xdr:from>
    <xdr:to>
      <xdr:col>3</xdr:col>
      <xdr:colOff>14760</xdr:colOff>
      <xdr:row>1771</xdr:row>
      <xdr:rowOff>131400</xdr:rowOff>
    </xdr:to>
    <xdr:pic>
      <xdr:nvPicPr>
        <xdr:cNvPr id="55" name="Picture 107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631742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1802</xdr:row>
      <xdr:rowOff>68760</xdr:rowOff>
    </xdr:from>
    <xdr:to>
      <xdr:col>3</xdr:col>
      <xdr:colOff>14760</xdr:colOff>
      <xdr:row>1805</xdr:row>
      <xdr:rowOff>131400</xdr:rowOff>
    </xdr:to>
    <xdr:pic>
      <xdr:nvPicPr>
        <xdr:cNvPr id="56" name="Picture 109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720802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1836</xdr:row>
      <xdr:rowOff>68760</xdr:rowOff>
    </xdr:from>
    <xdr:to>
      <xdr:col>3</xdr:col>
      <xdr:colOff>14760</xdr:colOff>
      <xdr:row>1839</xdr:row>
      <xdr:rowOff>131400</xdr:rowOff>
    </xdr:to>
    <xdr:pic>
      <xdr:nvPicPr>
        <xdr:cNvPr id="57" name="Picture 111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809859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1870</xdr:row>
      <xdr:rowOff>68760</xdr:rowOff>
    </xdr:from>
    <xdr:to>
      <xdr:col>3</xdr:col>
      <xdr:colOff>14760</xdr:colOff>
      <xdr:row>1873</xdr:row>
      <xdr:rowOff>131400</xdr:rowOff>
    </xdr:to>
    <xdr:pic>
      <xdr:nvPicPr>
        <xdr:cNvPr id="58" name="Picture 113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898919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1904</xdr:row>
      <xdr:rowOff>68760</xdr:rowOff>
    </xdr:from>
    <xdr:to>
      <xdr:col>3</xdr:col>
      <xdr:colOff>14760</xdr:colOff>
      <xdr:row>1907</xdr:row>
      <xdr:rowOff>131400</xdr:rowOff>
    </xdr:to>
    <xdr:pic>
      <xdr:nvPicPr>
        <xdr:cNvPr id="59" name="Picture 115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49879764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1938</xdr:row>
      <xdr:rowOff>68760</xdr:rowOff>
    </xdr:from>
    <xdr:to>
      <xdr:col>3</xdr:col>
      <xdr:colOff>14760</xdr:colOff>
      <xdr:row>1941</xdr:row>
      <xdr:rowOff>131400</xdr:rowOff>
    </xdr:to>
    <xdr:pic>
      <xdr:nvPicPr>
        <xdr:cNvPr id="60" name="Picture 117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50770368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1972</xdr:row>
      <xdr:rowOff>68760</xdr:rowOff>
    </xdr:from>
    <xdr:to>
      <xdr:col>3</xdr:col>
      <xdr:colOff>14760</xdr:colOff>
      <xdr:row>1975</xdr:row>
      <xdr:rowOff>131400</xdr:rowOff>
    </xdr:to>
    <xdr:pic>
      <xdr:nvPicPr>
        <xdr:cNvPr id="61" name="Picture 119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51660936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2006</xdr:row>
      <xdr:rowOff>68760</xdr:rowOff>
    </xdr:from>
    <xdr:to>
      <xdr:col>3</xdr:col>
      <xdr:colOff>14760</xdr:colOff>
      <xdr:row>2009</xdr:row>
      <xdr:rowOff>131400</xdr:rowOff>
    </xdr:to>
    <xdr:pic>
      <xdr:nvPicPr>
        <xdr:cNvPr id="62" name="Picture 121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52551540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2040</xdr:row>
      <xdr:rowOff>68760</xdr:rowOff>
    </xdr:from>
    <xdr:to>
      <xdr:col>3</xdr:col>
      <xdr:colOff>14760</xdr:colOff>
      <xdr:row>2043</xdr:row>
      <xdr:rowOff>131400</xdr:rowOff>
    </xdr:to>
    <xdr:pic>
      <xdr:nvPicPr>
        <xdr:cNvPr id="63" name="Picture 123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534421440"/>
          <a:ext cx="2265840" cy="11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2074</xdr:row>
      <xdr:rowOff>68760</xdr:rowOff>
    </xdr:from>
    <xdr:to>
      <xdr:col>3</xdr:col>
      <xdr:colOff>14760</xdr:colOff>
      <xdr:row>2077</xdr:row>
      <xdr:rowOff>131400</xdr:rowOff>
    </xdr:to>
    <xdr:pic>
      <xdr:nvPicPr>
        <xdr:cNvPr id="64" name="Picture 125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543327120"/>
          <a:ext cx="2265840" cy="111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34</xdr:row>
      <xdr:rowOff>237240</xdr:rowOff>
    </xdr:from>
    <xdr:to>
      <xdr:col>20</xdr:col>
      <xdr:colOff>324000</xdr:colOff>
      <xdr:row>35</xdr:row>
      <xdr:rowOff>218880</xdr:rowOff>
    </xdr:to>
    <xdr:pic>
      <xdr:nvPicPr>
        <xdr:cNvPr id="65" name="Picture 4" descr="isi logo.gif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91432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68</xdr:row>
      <xdr:rowOff>237240</xdr:rowOff>
    </xdr:from>
    <xdr:to>
      <xdr:col>20</xdr:col>
      <xdr:colOff>324000</xdr:colOff>
      <xdr:row>69</xdr:row>
      <xdr:rowOff>218880</xdr:rowOff>
    </xdr:to>
    <xdr:pic>
      <xdr:nvPicPr>
        <xdr:cNvPr id="66" name="Picture 6" descr="isi logo.gif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80489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102</xdr:row>
      <xdr:rowOff>237240</xdr:rowOff>
    </xdr:from>
    <xdr:to>
      <xdr:col>20</xdr:col>
      <xdr:colOff>324000</xdr:colOff>
      <xdr:row>103</xdr:row>
      <xdr:rowOff>218880</xdr:rowOff>
    </xdr:to>
    <xdr:pic>
      <xdr:nvPicPr>
        <xdr:cNvPr id="67" name="Picture 8" descr="isi logo.gif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69550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136</xdr:row>
      <xdr:rowOff>237240</xdr:rowOff>
    </xdr:from>
    <xdr:to>
      <xdr:col>20</xdr:col>
      <xdr:colOff>324000</xdr:colOff>
      <xdr:row>137</xdr:row>
      <xdr:rowOff>218880</xdr:rowOff>
    </xdr:to>
    <xdr:pic>
      <xdr:nvPicPr>
        <xdr:cNvPr id="68" name="Picture 10" descr="isi logo.gif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58606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170</xdr:row>
      <xdr:rowOff>237240</xdr:rowOff>
    </xdr:from>
    <xdr:to>
      <xdr:col>20</xdr:col>
      <xdr:colOff>324000</xdr:colOff>
      <xdr:row>171</xdr:row>
      <xdr:rowOff>218880</xdr:rowOff>
    </xdr:to>
    <xdr:pic>
      <xdr:nvPicPr>
        <xdr:cNvPr id="69" name="Picture 12" descr="isi logo.gif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47667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204</xdr:row>
      <xdr:rowOff>237240</xdr:rowOff>
    </xdr:from>
    <xdr:to>
      <xdr:col>20</xdr:col>
      <xdr:colOff>324000</xdr:colOff>
      <xdr:row>205</xdr:row>
      <xdr:rowOff>218880</xdr:rowOff>
    </xdr:to>
    <xdr:pic>
      <xdr:nvPicPr>
        <xdr:cNvPr id="70" name="Picture 14" descr="isi logo.gif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536724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238</xdr:row>
      <xdr:rowOff>237240</xdr:rowOff>
    </xdr:from>
    <xdr:to>
      <xdr:col>20</xdr:col>
      <xdr:colOff>324000</xdr:colOff>
      <xdr:row>239</xdr:row>
      <xdr:rowOff>218880</xdr:rowOff>
    </xdr:to>
    <xdr:pic>
      <xdr:nvPicPr>
        <xdr:cNvPr id="71" name="Picture 16" descr="isi logo.gif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625784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272</xdr:row>
      <xdr:rowOff>237240</xdr:rowOff>
    </xdr:from>
    <xdr:to>
      <xdr:col>20</xdr:col>
      <xdr:colOff>324000</xdr:colOff>
      <xdr:row>273</xdr:row>
      <xdr:rowOff>218880</xdr:rowOff>
    </xdr:to>
    <xdr:pic>
      <xdr:nvPicPr>
        <xdr:cNvPr id="72" name="Picture 18" descr="isi logo.gif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714841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306</xdr:row>
      <xdr:rowOff>237240</xdr:rowOff>
    </xdr:from>
    <xdr:to>
      <xdr:col>20</xdr:col>
      <xdr:colOff>324000</xdr:colOff>
      <xdr:row>307</xdr:row>
      <xdr:rowOff>218880</xdr:rowOff>
    </xdr:to>
    <xdr:pic>
      <xdr:nvPicPr>
        <xdr:cNvPr id="73" name="Picture 20" descr="isi logo.gif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803901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340</xdr:row>
      <xdr:rowOff>237240</xdr:rowOff>
    </xdr:from>
    <xdr:to>
      <xdr:col>20</xdr:col>
      <xdr:colOff>324000</xdr:colOff>
      <xdr:row>341</xdr:row>
      <xdr:rowOff>218880</xdr:rowOff>
    </xdr:to>
    <xdr:pic>
      <xdr:nvPicPr>
        <xdr:cNvPr id="74" name="Picture 22" descr="isi logo.gif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892958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374</xdr:row>
      <xdr:rowOff>237240</xdr:rowOff>
    </xdr:from>
    <xdr:to>
      <xdr:col>20</xdr:col>
      <xdr:colOff>324000</xdr:colOff>
      <xdr:row>375</xdr:row>
      <xdr:rowOff>218880</xdr:rowOff>
    </xdr:to>
    <xdr:pic>
      <xdr:nvPicPr>
        <xdr:cNvPr id="75" name="Picture 24" descr="isi logo.gif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982018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408</xdr:row>
      <xdr:rowOff>237240</xdr:rowOff>
    </xdr:from>
    <xdr:to>
      <xdr:col>20</xdr:col>
      <xdr:colOff>324000</xdr:colOff>
      <xdr:row>409</xdr:row>
      <xdr:rowOff>219240</xdr:rowOff>
    </xdr:to>
    <xdr:pic>
      <xdr:nvPicPr>
        <xdr:cNvPr id="76" name="Picture 26" descr="isi logo.gif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071079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442</xdr:row>
      <xdr:rowOff>237240</xdr:rowOff>
    </xdr:from>
    <xdr:to>
      <xdr:col>20</xdr:col>
      <xdr:colOff>324000</xdr:colOff>
      <xdr:row>443</xdr:row>
      <xdr:rowOff>218880</xdr:rowOff>
    </xdr:to>
    <xdr:pic>
      <xdr:nvPicPr>
        <xdr:cNvPr id="77" name="Picture 28" descr="isi logo.gif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160136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476</xdr:row>
      <xdr:rowOff>237240</xdr:rowOff>
    </xdr:from>
    <xdr:to>
      <xdr:col>20</xdr:col>
      <xdr:colOff>324000</xdr:colOff>
      <xdr:row>477</xdr:row>
      <xdr:rowOff>218880</xdr:rowOff>
    </xdr:to>
    <xdr:pic>
      <xdr:nvPicPr>
        <xdr:cNvPr id="78" name="Picture 30" descr="isi logo.gif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249196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510</xdr:row>
      <xdr:rowOff>237240</xdr:rowOff>
    </xdr:from>
    <xdr:to>
      <xdr:col>20</xdr:col>
      <xdr:colOff>324000</xdr:colOff>
      <xdr:row>511</xdr:row>
      <xdr:rowOff>218880</xdr:rowOff>
    </xdr:to>
    <xdr:pic>
      <xdr:nvPicPr>
        <xdr:cNvPr id="79" name="Picture 32" descr="isi logo.gif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338253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544</xdr:row>
      <xdr:rowOff>237240</xdr:rowOff>
    </xdr:from>
    <xdr:to>
      <xdr:col>20</xdr:col>
      <xdr:colOff>324000</xdr:colOff>
      <xdr:row>545</xdr:row>
      <xdr:rowOff>218880</xdr:rowOff>
    </xdr:to>
    <xdr:pic>
      <xdr:nvPicPr>
        <xdr:cNvPr id="80" name="Picture 34" descr="isi logo.gif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427313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578</xdr:row>
      <xdr:rowOff>237240</xdr:rowOff>
    </xdr:from>
    <xdr:to>
      <xdr:col>20</xdr:col>
      <xdr:colOff>324000</xdr:colOff>
      <xdr:row>579</xdr:row>
      <xdr:rowOff>218880</xdr:rowOff>
    </xdr:to>
    <xdr:pic>
      <xdr:nvPicPr>
        <xdr:cNvPr id="81" name="Picture 36" descr="isi logo.gif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516370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612</xdr:row>
      <xdr:rowOff>237240</xdr:rowOff>
    </xdr:from>
    <xdr:to>
      <xdr:col>20</xdr:col>
      <xdr:colOff>324000</xdr:colOff>
      <xdr:row>613</xdr:row>
      <xdr:rowOff>218880</xdr:rowOff>
    </xdr:to>
    <xdr:pic>
      <xdr:nvPicPr>
        <xdr:cNvPr id="82" name="Picture 38" descr="isi logo.gif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605430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646</xdr:row>
      <xdr:rowOff>237240</xdr:rowOff>
    </xdr:from>
    <xdr:to>
      <xdr:col>20</xdr:col>
      <xdr:colOff>324000</xdr:colOff>
      <xdr:row>647</xdr:row>
      <xdr:rowOff>218880</xdr:rowOff>
    </xdr:to>
    <xdr:pic>
      <xdr:nvPicPr>
        <xdr:cNvPr id="83" name="Picture 40" descr="isi logo.gif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694487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680</xdr:row>
      <xdr:rowOff>237240</xdr:rowOff>
    </xdr:from>
    <xdr:to>
      <xdr:col>20</xdr:col>
      <xdr:colOff>324000</xdr:colOff>
      <xdr:row>681</xdr:row>
      <xdr:rowOff>218880</xdr:rowOff>
    </xdr:to>
    <xdr:pic>
      <xdr:nvPicPr>
        <xdr:cNvPr id="84" name="Picture 42" descr="isi logo.gif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783548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714</xdr:row>
      <xdr:rowOff>237240</xdr:rowOff>
    </xdr:from>
    <xdr:to>
      <xdr:col>20</xdr:col>
      <xdr:colOff>324000</xdr:colOff>
      <xdr:row>715</xdr:row>
      <xdr:rowOff>218880</xdr:rowOff>
    </xdr:to>
    <xdr:pic>
      <xdr:nvPicPr>
        <xdr:cNvPr id="85" name="Picture 44" descr="isi logo.gif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872604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748</xdr:row>
      <xdr:rowOff>237240</xdr:rowOff>
    </xdr:from>
    <xdr:to>
      <xdr:col>20</xdr:col>
      <xdr:colOff>324000</xdr:colOff>
      <xdr:row>749</xdr:row>
      <xdr:rowOff>218880</xdr:rowOff>
    </xdr:to>
    <xdr:pic>
      <xdr:nvPicPr>
        <xdr:cNvPr id="86" name="Picture 46" descr="isi logo.gif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1961665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782</xdr:row>
      <xdr:rowOff>237240</xdr:rowOff>
    </xdr:from>
    <xdr:to>
      <xdr:col>20</xdr:col>
      <xdr:colOff>324000</xdr:colOff>
      <xdr:row>783</xdr:row>
      <xdr:rowOff>218880</xdr:rowOff>
    </xdr:to>
    <xdr:pic>
      <xdr:nvPicPr>
        <xdr:cNvPr id="87" name="Picture 48" descr="isi logo.gif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050722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816</xdr:row>
      <xdr:rowOff>237240</xdr:rowOff>
    </xdr:from>
    <xdr:to>
      <xdr:col>20</xdr:col>
      <xdr:colOff>324000</xdr:colOff>
      <xdr:row>817</xdr:row>
      <xdr:rowOff>218880</xdr:rowOff>
    </xdr:to>
    <xdr:pic>
      <xdr:nvPicPr>
        <xdr:cNvPr id="88" name="Picture 50" descr="isi logo.gif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139782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850</xdr:row>
      <xdr:rowOff>237240</xdr:rowOff>
    </xdr:from>
    <xdr:to>
      <xdr:col>20</xdr:col>
      <xdr:colOff>324000</xdr:colOff>
      <xdr:row>851</xdr:row>
      <xdr:rowOff>218880</xdr:rowOff>
    </xdr:to>
    <xdr:pic>
      <xdr:nvPicPr>
        <xdr:cNvPr id="89" name="Picture 52" descr="isi logo.gif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228842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884</xdr:row>
      <xdr:rowOff>237240</xdr:rowOff>
    </xdr:from>
    <xdr:to>
      <xdr:col>20</xdr:col>
      <xdr:colOff>324000</xdr:colOff>
      <xdr:row>885</xdr:row>
      <xdr:rowOff>218880</xdr:rowOff>
    </xdr:to>
    <xdr:pic>
      <xdr:nvPicPr>
        <xdr:cNvPr id="90" name="Picture 54" descr="isi logo.gif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317899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918</xdr:row>
      <xdr:rowOff>237240</xdr:rowOff>
    </xdr:from>
    <xdr:to>
      <xdr:col>20</xdr:col>
      <xdr:colOff>324000</xdr:colOff>
      <xdr:row>919</xdr:row>
      <xdr:rowOff>218880</xdr:rowOff>
    </xdr:to>
    <xdr:pic>
      <xdr:nvPicPr>
        <xdr:cNvPr id="91" name="Picture 56" descr="isi logo.gif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406960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952</xdr:row>
      <xdr:rowOff>237240</xdr:rowOff>
    </xdr:from>
    <xdr:to>
      <xdr:col>20</xdr:col>
      <xdr:colOff>324000</xdr:colOff>
      <xdr:row>953</xdr:row>
      <xdr:rowOff>218880</xdr:rowOff>
    </xdr:to>
    <xdr:pic>
      <xdr:nvPicPr>
        <xdr:cNvPr id="92" name="Picture 58" descr="isi logo.gif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496016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986</xdr:row>
      <xdr:rowOff>237240</xdr:rowOff>
    </xdr:from>
    <xdr:to>
      <xdr:col>20</xdr:col>
      <xdr:colOff>324000</xdr:colOff>
      <xdr:row>987</xdr:row>
      <xdr:rowOff>218880</xdr:rowOff>
    </xdr:to>
    <xdr:pic>
      <xdr:nvPicPr>
        <xdr:cNvPr id="93" name="Picture 60" descr="isi logo.gif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585077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1020</xdr:row>
      <xdr:rowOff>237240</xdr:rowOff>
    </xdr:from>
    <xdr:to>
      <xdr:col>20</xdr:col>
      <xdr:colOff>324000</xdr:colOff>
      <xdr:row>1021</xdr:row>
      <xdr:rowOff>218880</xdr:rowOff>
    </xdr:to>
    <xdr:pic>
      <xdr:nvPicPr>
        <xdr:cNvPr id="94" name="Picture 62" descr="isi logo.gif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674134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1054</xdr:row>
      <xdr:rowOff>237240</xdr:rowOff>
    </xdr:from>
    <xdr:to>
      <xdr:col>20</xdr:col>
      <xdr:colOff>324000</xdr:colOff>
      <xdr:row>1055</xdr:row>
      <xdr:rowOff>218880</xdr:rowOff>
    </xdr:to>
    <xdr:pic>
      <xdr:nvPicPr>
        <xdr:cNvPr id="95" name="Picture 64" descr="isi logo.gif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763194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1088</xdr:row>
      <xdr:rowOff>237240</xdr:rowOff>
    </xdr:from>
    <xdr:to>
      <xdr:col>20</xdr:col>
      <xdr:colOff>324000</xdr:colOff>
      <xdr:row>1089</xdr:row>
      <xdr:rowOff>218880</xdr:rowOff>
    </xdr:to>
    <xdr:pic>
      <xdr:nvPicPr>
        <xdr:cNvPr id="96" name="Picture 66" descr="isi logo.gif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852251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1122</xdr:row>
      <xdr:rowOff>237240</xdr:rowOff>
    </xdr:from>
    <xdr:to>
      <xdr:col>20</xdr:col>
      <xdr:colOff>324000</xdr:colOff>
      <xdr:row>1123</xdr:row>
      <xdr:rowOff>218880</xdr:rowOff>
    </xdr:to>
    <xdr:pic>
      <xdr:nvPicPr>
        <xdr:cNvPr id="97" name="Picture 68" descr="isi logo.gif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2941311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1156</xdr:row>
      <xdr:rowOff>237240</xdr:rowOff>
    </xdr:from>
    <xdr:to>
      <xdr:col>20</xdr:col>
      <xdr:colOff>324000</xdr:colOff>
      <xdr:row>1157</xdr:row>
      <xdr:rowOff>218880</xdr:rowOff>
    </xdr:to>
    <xdr:pic>
      <xdr:nvPicPr>
        <xdr:cNvPr id="98" name="Picture 70" descr="isi logo.gif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030368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1190</xdr:row>
      <xdr:rowOff>237240</xdr:rowOff>
    </xdr:from>
    <xdr:to>
      <xdr:col>20</xdr:col>
      <xdr:colOff>324000</xdr:colOff>
      <xdr:row>1191</xdr:row>
      <xdr:rowOff>218880</xdr:rowOff>
    </xdr:to>
    <xdr:pic>
      <xdr:nvPicPr>
        <xdr:cNvPr id="99" name="Picture 72" descr="isi logo.gif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119428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1224</xdr:row>
      <xdr:rowOff>237240</xdr:rowOff>
    </xdr:from>
    <xdr:to>
      <xdr:col>20</xdr:col>
      <xdr:colOff>324000</xdr:colOff>
      <xdr:row>1225</xdr:row>
      <xdr:rowOff>219240</xdr:rowOff>
    </xdr:to>
    <xdr:pic>
      <xdr:nvPicPr>
        <xdr:cNvPr id="100" name="Picture 74" descr="isi logo.gif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208489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1258</xdr:row>
      <xdr:rowOff>237240</xdr:rowOff>
    </xdr:from>
    <xdr:to>
      <xdr:col>20</xdr:col>
      <xdr:colOff>324000</xdr:colOff>
      <xdr:row>1259</xdr:row>
      <xdr:rowOff>218880</xdr:rowOff>
    </xdr:to>
    <xdr:pic>
      <xdr:nvPicPr>
        <xdr:cNvPr id="101" name="Picture 76" descr="isi logo.gif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297546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1292</xdr:row>
      <xdr:rowOff>237240</xdr:rowOff>
    </xdr:from>
    <xdr:to>
      <xdr:col>20</xdr:col>
      <xdr:colOff>324000</xdr:colOff>
      <xdr:row>1293</xdr:row>
      <xdr:rowOff>218880</xdr:rowOff>
    </xdr:to>
    <xdr:pic>
      <xdr:nvPicPr>
        <xdr:cNvPr id="102" name="Picture 78" descr="isi logo.gif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386606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1326</xdr:row>
      <xdr:rowOff>237240</xdr:rowOff>
    </xdr:from>
    <xdr:to>
      <xdr:col>20</xdr:col>
      <xdr:colOff>324000</xdr:colOff>
      <xdr:row>1327</xdr:row>
      <xdr:rowOff>218880</xdr:rowOff>
    </xdr:to>
    <xdr:pic>
      <xdr:nvPicPr>
        <xdr:cNvPr id="103" name="Picture 80" descr="isi logo.gif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475663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1360</xdr:row>
      <xdr:rowOff>237240</xdr:rowOff>
    </xdr:from>
    <xdr:to>
      <xdr:col>20</xdr:col>
      <xdr:colOff>324000</xdr:colOff>
      <xdr:row>1361</xdr:row>
      <xdr:rowOff>218880</xdr:rowOff>
    </xdr:to>
    <xdr:pic>
      <xdr:nvPicPr>
        <xdr:cNvPr id="104" name="Picture 82" descr="isi logo.gif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564723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1394</xdr:row>
      <xdr:rowOff>237240</xdr:rowOff>
    </xdr:from>
    <xdr:to>
      <xdr:col>20</xdr:col>
      <xdr:colOff>324000</xdr:colOff>
      <xdr:row>1395</xdr:row>
      <xdr:rowOff>218880</xdr:rowOff>
    </xdr:to>
    <xdr:pic>
      <xdr:nvPicPr>
        <xdr:cNvPr id="105" name="Picture 84" descr="isi logo.gif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653780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1428</xdr:row>
      <xdr:rowOff>237240</xdr:rowOff>
    </xdr:from>
    <xdr:to>
      <xdr:col>20</xdr:col>
      <xdr:colOff>324000</xdr:colOff>
      <xdr:row>1429</xdr:row>
      <xdr:rowOff>218880</xdr:rowOff>
    </xdr:to>
    <xdr:pic>
      <xdr:nvPicPr>
        <xdr:cNvPr id="106" name="Picture 86" descr="isi logo.gif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742840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1462</xdr:row>
      <xdr:rowOff>237240</xdr:rowOff>
    </xdr:from>
    <xdr:to>
      <xdr:col>20</xdr:col>
      <xdr:colOff>324000</xdr:colOff>
      <xdr:row>1463</xdr:row>
      <xdr:rowOff>218880</xdr:rowOff>
    </xdr:to>
    <xdr:pic>
      <xdr:nvPicPr>
        <xdr:cNvPr id="107" name="Picture 88" descr="isi logo.gif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831897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1496</xdr:row>
      <xdr:rowOff>237240</xdr:rowOff>
    </xdr:from>
    <xdr:to>
      <xdr:col>20</xdr:col>
      <xdr:colOff>324000</xdr:colOff>
      <xdr:row>1497</xdr:row>
      <xdr:rowOff>218880</xdr:rowOff>
    </xdr:to>
    <xdr:pic>
      <xdr:nvPicPr>
        <xdr:cNvPr id="108" name="Picture 90" descr="isi logo.gif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3920958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1530</xdr:row>
      <xdr:rowOff>237240</xdr:rowOff>
    </xdr:from>
    <xdr:to>
      <xdr:col>20</xdr:col>
      <xdr:colOff>324000</xdr:colOff>
      <xdr:row>1531</xdr:row>
      <xdr:rowOff>218880</xdr:rowOff>
    </xdr:to>
    <xdr:pic>
      <xdr:nvPicPr>
        <xdr:cNvPr id="109" name="Picture 92" descr="isi logo.gif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010014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1564</xdr:row>
      <xdr:rowOff>237240</xdr:rowOff>
    </xdr:from>
    <xdr:to>
      <xdr:col>20</xdr:col>
      <xdr:colOff>324000</xdr:colOff>
      <xdr:row>1565</xdr:row>
      <xdr:rowOff>218880</xdr:rowOff>
    </xdr:to>
    <xdr:pic>
      <xdr:nvPicPr>
        <xdr:cNvPr id="110" name="Picture 94" descr="isi logo.gif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099075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1598</xdr:row>
      <xdr:rowOff>237240</xdr:rowOff>
    </xdr:from>
    <xdr:to>
      <xdr:col>20</xdr:col>
      <xdr:colOff>324000</xdr:colOff>
      <xdr:row>1599</xdr:row>
      <xdr:rowOff>218880</xdr:rowOff>
    </xdr:to>
    <xdr:pic>
      <xdr:nvPicPr>
        <xdr:cNvPr id="111" name="Picture 96" descr="isi logo.gif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188132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1632</xdr:row>
      <xdr:rowOff>237240</xdr:rowOff>
    </xdr:from>
    <xdr:to>
      <xdr:col>20</xdr:col>
      <xdr:colOff>324000</xdr:colOff>
      <xdr:row>1633</xdr:row>
      <xdr:rowOff>218880</xdr:rowOff>
    </xdr:to>
    <xdr:pic>
      <xdr:nvPicPr>
        <xdr:cNvPr id="112" name="Picture 98" descr="isi logo.gif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277192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1666</xdr:row>
      <xdr:rowOff>237240</xdr:rowOff>
    </xdr:from>
    <xdr:to>
      <xdr:col>20</xdr:col>
      <xdr:colOff>324000</xdr:colOff>
      <xdr:row>1667</xdr:row>
      <xdr:rowOff>218880</xdr:rowOff>
    </xdr:to>
    <xdr:pic>
      <xdr:nvPicPr>
        <xdr:cNvPr id="113" name="Picture 100" descr="isi logo.gif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366252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1700</xdr:row>
      <xdr:rowOff>237240</xdr:rowOff>
    </xdr:from>
    <xdr:to>
      <xdr:col>20</xdr:col>
      <xdr:colOff>324000</xdr:colOff>
      <xdr:row>1701</xdr:row>
      <xdr:rowOff>218880</xdr:rowOff>
    </xdr:to>
    <xdr:pic>
      <xdr:nvPicPr>
        <xdr:cNvPr id="114" name="Picture 102" descr="isi logo.gif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455309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1734</xdr:row>
      <xdr:rowOff>237240</xdr:rowOff>
    </xdr:from>
    <xdr:to>
      <xdr:col>20</xdr:col>
      <xdr:colOff>324000</xdr:colOff>
      <xdr:row>1735</xdr:row>
      <xdr:rowOff>218880</xdr:rowOff>
    </xdr:to>
    <xdr:pic>
      <xdr:nvPicPr>
        <xdr:cNvPr id="115" name="Picture 104" descr="isi logo.gif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544370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1768</xdr:row>
      <xdr:rowOff>237240</xdr:rowOff>
    </xdr:from>
    <xdr:to>
      <xdr:col>20</xdr:col>
      <xdr:colOff>324000</xdr:colOff>
      <xdr:row>1769</xdr:row>
      <xdr:rowOff>218880</xdr:rowOff>
    </xdr:to>
    <xdr:pic>
      <xdr:nvPicPr>
        <xdr:cNvPr id="116" name="Picture 106" descr="isi logo.gif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633426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1802</xdr:row>
      <xdr:rowOff>237240</xdr:rowOff>
    </xdr:from>
    <xdr:to>
      <xdr:col>20</xdr:col>
      <xdr:colOff>324000</xdr:colOff>
      <xdr:row>1803</xdr:row>
      <xdr:rowOff>218880</xdr:rowOff>
    </xdr:to>
    <xdr:pic>
      <xdr:nvPicPr>
        <xdr:cNvPr id="117" name="Picture 108" descr="isi logo.gif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722487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1836</xdr:row>
      <xdr:rowOff>237240</xdr:rowOff>
    </xdr:from>
    <xdr:to>
      <xdr:col>20</xdr:col>
      <xdr:colOff>324000</xdr:colOff>
      <xdr:row>1837</xdr:row>
      <xdr:rowOff>218880</xdr:rowOff>
    </xdr:to>
    <xdr:pic>
      <xdr:nvPicPr>
        <xdr:cNvPr id="118" name="Picture 110" descr="isi logo.gif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811544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1870</xdr:row>
      <xdr:rowOff>237240</xdr:rowOff>
    </xdr:from>
    <xdr:to>
      <xdr:col>20</xdr:col>
      <xdr:colOff>324000</xdr:colOff>
      <xdr:row>1871</xdr:row>
      <xdr:rowOff>218880</xdr:rowOff>
    </xdr:to>
    <xdr:pic>
      <xdr:nvPicPr>
        <xdr:cNvPr id="119" name="Picture 112" descr="isi logo.gif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900604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1904</xdr:row>
      <xdr:rowOff>237240</xdr:rowOff>
    </xdr:from>
    <xdr:to>
      <xdr:col>20</xdr:col>
      <xdr:colOff>324000</xdr:colOff>
      <xdr:row>1905</xdr:row>
      <xdr:rowOff>218880</xdr:rowOff>
    </xdr:to>
    <xdr:pic>
      <xdr:nvPicPr>
        <xdr:cNvPr id="120" name="Picture 114" descr="isi logo.gif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4989661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1938</xdr:row>
      <xdr:rowOff>237240</xdr:rowOff>
    </xdr:from>
    <xdr:to>
      <xdr:col>20</xdr:col>
      <xdr:colOff>324000</xdr:colOff>
      <xdr:row>1939</xdr:row>
      <xdr:rowOff>218880</xdr:rowOff>
    </xdr:to>
    <xdr:pic>
      <xdr:nvPicPr>
        <xdr:cNvPr id="121" name="Picture 116" descr="isi logo.gif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50787216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1972</xdr:row>
      <xdr:rowOff>237240</xdr:rowOff>
    </xdr:from>
    <xdr:to>
      <xdr:col>20</xdr:col>
      <xdr:colOff>324000</xdr:colOff>
      <xdr:row>1973</xdr:row>
      <xdr:rowOff>218880</xdr:rowOff>
    </xdr:to>
    <xdr:pic>
      <xdr:nvPicPr>
        <xdr:cNvPr id="122" name="Picture 118" descr="isi logo.gif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51677784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2006</xdr:row>
      <xdr:rowOff>237240</xdr:rowOff>
    </xdr:from>
    <xdr:to>
      <xdr:col>20</xdr:col>
      <xdr:colOff>324000</xdr:colOff>
      <xdr:row>2007</xdr:row>
      <xdr:rowOff>218880</xdr:rowOff>
    </xdr:to>
    <xdr:pic>
      <xdr:nvPicPr>
        <xdr:cNvPr id="123" name="Picture 120" descr="isi logo.gif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52568388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2040</xdr:row>
      <xdr:rowOff>237240</xdr:rowOff>
    </xdr:from>
    <xdr:to>
      <xdr:col>20</xdr:col>
      <xdr:colOff>324000</xdr:colOff>
      <xdr:row>2041</xdr:row>
      <xdr:rowOff>219240</xdr:rowOff>
    </xdr:to>
    <xdr:pic>
      <xdr:nvPicPr>
        <xdr:cNvPr id="124" name="Picture 122" descr="isi logo.gif">
          <a:extLst>
            <a:ext uri="{FF2B5EF4-FFF2-40B4-BE49-F238E27FC236}">
              <a16:creationId xmlns:a16="http://schemas.microsoft.com/office/drawing/2014/main" id="{00000000-0008-0000-1000-00007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53458992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186120</xdr:colOff>
      <xdr:row>2074</xdr:row>
      <xdr:rowOff>237240</xdr:rowOff>
    </xdr:from>
    <xdr:to>
      <xdr:col>20</xdr:col>
      <xdr:colOff>324000</xdr:colOff>
      <xdr:row>2075</xdr:row>
      <xdr:rowOff>218880</xdr:rowOff>
    </xdr:to>
    <xdr:pic>
      <xdr:nvPicPr>
        <xdr:cNvPr id="125" name="Picture 124" descr="isi logo.gif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70280" y="543495600"/>
          <a:ext cx="994680" cy="56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W594"/>
  <sheetViews>
    <sheetView tabSelected="1" zoomScaleNormal="100" workbookViewId="0">
      <pane xSplit="1" topLeftCell="B1" activePane="topRight" state="frozen"/>
      <selection activeCell="A467" sqref="A467"/>
      <selection pane="topRight" activeCell="A19" sqref="A19:S36"/>
    </sheetView>
  </sheetViews>
  <sheetFormatPr defaultColWidth="8.85546875" defaultRowHeight="15" customHeight="1"/>
  <cols>
    <col min="1" max="1" width="9.140625" style="2" customWidth="1"/>
    <col min="2" max="2" width="10.140625" style="2" customWidth="1"/>
    <col min="3" max="3" width="10" style="2" customWidth="1"/>
    <col min="4" max="4" width="5" style="2" customWidth="1"/>
    <col min="5" max="5" width="10" style="2" customWidth="1"/>
    <col min="6" max="6" width="5" style="2" customWidth="1"/>
    <col min="7" max="7" width="10" style="2" customWidth="1"/>
    <col min="8" max="8" width="5" style="2" customWidth="1"/>
    <col min="9" max="9" width="10" style="2" customWidth="1"/>
    <col min="10" max="10" width="5" style="2" customWidth="1"/>
    <col min="11" max="11" width="10" style="2" customWidth="1"/>
    <col min="12" max="12" width="5" style="2" customWidth="1"/>
    <col min="13" max="13" width="10" style="2" customWidth="1"/>
    <col min="14" max="14" width="8.28515625" style="2" customWidth="1"/>
    <col min="15" max="15" width="10" style="2" customWidth="1"/>
    <col min="16" max="16" width="5" style="2" customWidth="1"/>
    <col min="17" max="17" width="10" style="2" customWidth="1"/>
    <col min="18" max="18" width="5.7109375" style="2" customWidth="1"/>
    <col min="19" max="19" width="10" style="2" customWidth="1"/>
    <col min="20" max="20" width="6.5703125" style="2" customWidth="1"/>
    <col min="21" max="21" width="8.5703125" style="2" customWidth="1"/>
    <col min="22" max="23" width="8.85546875" style="2"/>
    <col min="24" max="24" width="10.7109375" style="2" customWidth="1"/>
    <col min="25" max="16384" width="8.85546875" style="2"/>
  </cols>
  <sheetData>
    <row r="1" spans="1:23" ht="14.25" customHeight="1">
      <c r="A1" s="1244" t="s">
        <v>0</v>
      </c>
      <c r="B1" s="1244"/>
      <c r="C1" s="1244"/>
      <c r="D1" s="1244"/>
      <c r="E1" s="1244"/>
      <c r="F1" s="1244"/>
      <c r="G1" s="1244"/>
      <c r="H1" s="1244"/>
      <c r="I1" s="1244"/>
      <c r="J1" s="1244"/>
      <c r="K1" s="1244"/>
      <c r="L1" s="1244"/>
      <c r="M1" s="1244"/>
      <c r="N1" s="1244"/>
      <c r="O1" s="1244"/>
      <c r="P1" s="1244"/>
      <c r="Q1" s="1244"/>
      <c r="R1" s="1244"/>
      <c r="S1" s="1244"/>
      <c r="U1" s="1"/>
      <c r="V1" s="1"/>
    </row>
    <row r="2" spans="1:23" ht="15" customHeight="1">
      <c r="A2" s="1245" t="s">
        <v>1</v>
      </c>
      <c r="B2" s="1246" t="s">
        <v>2</v>
      </c>
      <c r="C2" s="1246"/>
      <c r="D2" s="1246" t="s">
        <v>3</v>
      </c>
      <c r="E2" s="1246"/>
      <c r="F2" s="1247" t="s">
        <v>4</v>
      </c>
      <c r="G2" s="1247"/>
      <c r="H2" s="1246" t="s">
        <v>5</v>
      </c>
      <c r="I2" s="1246"/>
      <c r="J2" s="1246" t="s">
        <v>6</v>
      </c>
      <c r="K2" s="1246"/>
      <c r="L2" s="1246" t="s">
        <v>7</v>
      </c>
      <c r="M2" s="1246"/>
      <c r="N2" s="1248" t="s">
        <v>8</v>
      </c>
      <c r="O2" s="1248"/>
      <c r="P2" s="1248" t="s">
        <v>9</v>
      </c>
      <c r="Q2" s="1248"/>
      <c r="R2" s="1249" t="s">
        <v>10</v>
      </c>
      <c r="S2" s="1249"/>
      <c r="U2" s="1"/>
      <c r="V2" s="1"/>
    </row>
    <row r="3" spans="1:23" ht="36" customHeight="1">
      <c r="A3" s="1245"/>
      <c r="B3" s="3" t="s">
        <v>11</v>
      </c>
      <c r="C3" s="4" t="s">
        <v>12</v>
      </c>
      <c r="D3" s="3" t="s">
        <v>11</v>
      </c>
      <c r="E3" s="4" t="s">
        <v>12</v>
      </c>
      <c r="F3" s="5" t="s">
        <v>11</v>
      </c>
      <c r="G3" s="6" t="s">
        <v>12</v>
      </c>
      <c r="H3" s="3" t="s">
        <v>11</v>
      </c>
      <c r="I3" s="4" t="s">
        <v>12</v>
      </c>
      <c r="J3" s="4" t="s">
        <v>11</v>
      </c>
      <c r="K3" s="4" t="s">
        <v>12</v>
      </c>
      <c r="L3" s="4" t="s">
        <v>11</v>
      </c>
      <c r="M3" s="4" t="s">
        <v>12</v>
      </c>
      <c r="N3" s="4" t="s">
        <v>11</v>
      </c>
      <c r="O3" s="4" t="s">
        <v>12</v>
      </c>
      <c r="P3" s="4" t="s">
        <v>11</v>
      </c>
      <c r="Q3" s="4" t="s">
        <v>12</v>
      </c>
      <c r="R3" s="4" t="s">
        <v>11</v>
      </c>
      <c r="S3" s="7" t="s">
        <v>12</v>
      </c>
      <c r="U3" s="1237" t="s">
        <v>13</v>
      </c>
      <c r="V3" s="1237"/>
    </row>
    <row r="4" spans="1:23" ht="13.5" customHeight="1">
      <c r="A4" s="8" t="s">
        <v>14</v>
      </c>
      <c r="B4" s="9"/>
      <c r="C4" s="10"/>
      <c r="D4" s="11"/>
      <c r="E4" s="10"/>
      <c r="F4" s="12"/>
      <c r="G4" s="10"/>
      <c r="H4" s="9"/>
      <c r="I4" s="13"/>
      <c r="J4" s="14"/>
      <c r="K4" s="10"/>
      <c r="L4" s="15"/>
      <c r="M4" s="10"/>
      <c r="N4" s="14">
        <v>0</v>
      </c>
      <c r="O4" s="16">
        <f>(N4*0.57)</f>
        <v>0</v>
      </c>
      <c r="P4" s="14">
        <v>0</v>
      </c>
      <c r="Q4" s="16">
        <v>0</v>
      </c>
      <c r="R4" s="14">
        <v>0</v>
      </c>
      <c r="S4" s="17">
        <v>0</v>
      </c>
      <c r="T4" s="18"/>
      <c r="U4" s="19"/>
      <c r="V4" s="19">
        <f t="shared" ref="V4:V14" si="0">U4-P4</f>
        <v>0</v>
      </c>
      <c r="W4" s="16">
        <f>U4*0.57</f>
        <v>0</v>
      </c>
    </row>
    <row r="5" spans="1:23" ht="13.5" customHeight="1">
      <c r="A5" s="20" t="s">
        <v>15</v>
      </c>
      <c r="B5" s="9"/>
      <c r="C5" s="10"/>
      <c r="E5" s="10"/>
      <c r="F5" s="12"/>
      <c r="G5" s="10"/>
      <c r="H5" s="9"/>
      <c r="I5" s="21"/>
      <c r="J5" s="14"/>
      <c r="K5" s="10"/>
      <c r="L5" s="15"/>
      <c r="M5" s="10"/>
      <c r="N5" s="14">
        <v>0</v>
      </c>
      <c r="O5" s="16">
        <f>(N5*5.25*0.095)</f>
        <v>0</v>
      </c>
      <c r="P5" s="14">
        <v>0</v>
      </c>
      <c r="Q5" s="16">
        <v>0</v>
      </c>
      <c r="R5" s="14">
        <v>0</v>
      </c>
      <c r="S5" s="17">
        <v>0</v>
      </c>
      <c r="T5" s="18"/>
      <c r="U5" s="19"/>
      <c r="V5" s="19">
        <f t="shared" si="0"/>
        <v>0</v>
      </c>
      <c r="W5" s="16">
        <f>U5*0.798</f>
        <v>0</v>
      </c>
    </row>
    <row r="6" spans="1:23" ht="13.5" customHeight="1">
      <c r="A6" s="22" t="s">
        <v>16</v>
      </c>
      <c r="B6" s="9"/>
      <c r="C6" s="10"/>
      <c r="D6" s="14"/>
      <c r="E6" s="10"/>
      <c r="F6" s="23"/>
      <c r="G6" s="10"/>
      <c r="H6" s="9"/>
      <c r="I6" s="13"/>
      <c r="J6" s="14"/>
      <c r="K6" s="10"/>
      <c r="L6" s="14"/>
      <c r="M6" s="10"/>
      <c r="N6" s="14">
        <v>73</v>
      </c>
      <c r="O6" s="16">
        <f>N6*0.095</f>
        <v>6.9350000000000005</v>
      </c>
      <c r="P6" s="14">
        <f>Q6/0.095</f>
        <v>72.747368421052627</v>
      </c>
      <c r="Q6" s="16">
        <v>6.9109999999999996</v>
      </c>
      <c r="R6" s="14">
        <f t="shared" ref="R6:R14" si="1">N6-P6</f>
        <v>0.25263157894737276</v>
      </c>
      <c r="S6" s="17">
        <f t="shared" ref="S6:S14" si="2">O6-Q6</f>
        <v>2.4000000000000909E-2</v>
      </c>
      <c r="U6" s="19">
        <v>118</v>
      </c>
      <c r="V6" s="19">
        <f t="shared" si="0"/>
        <v>45.252631578947373</v>
      </c>
      <c r="W6" s="16">
        <f>(U6*0.095)</f>
        <v>11.21</v>
      </c>
    </row>
    <row r="7" spans="1:23" ht="13.5" customHeight="1">
      <c r="A7" s="22" t="s">
        <v>17</v>
      </c>
      <c r="B7" s="9"/>
      <c r="C7" s="10"/>
      <c r="D7" s="14"/>
      <c r="E7" s="10"/>
      <c r="F7" s="23"/>
      <c r="G7" s="10"/>
      <c r="H7" s="9"/>
      <c r="I7" s="13"/>
      <c r="J7" s="14"/>
      <c r="K7" s="10"/>
      <c r="L7" s="14"/>
      <c r="M7" s="10"/>
      <c r="N7" s="14">
        <v>95</v>
      </c>
      <c r="O7" s="16">
        <f>N7*6*0.132335</f>
        <v>75.43095000000001</v>
      </c>
      <c r="P7" s="14">
        <f>Q7/6/0.132335</f>
        <v>94.293522751602623</v>
      </c>
      <c r="Q7" s="16">
        <v>74.87</v>
      </c>
      <c r="R7" s="14">
        <f t="shared" si="1"/>
        <v>0.70647724839737691</v>
      </c>
      <c r="S7" s="17">
        <f t="shared" si="2"/>
        <v>0.56095000000000539</v>
      </c>
      <c r="T7" s="24"/>
      <c r="U7" s="19">
        <v>47</v>
      </c>
      <c r="V7" s="19">
        <f t="shared" si="0"/>
        <v>-47.293522751602623</v>
      </c>
      <c r="W7" s="16">
        <f>U7*6*0.132335</f>
        <v>37.318470000000005</v>
      </c>
    </row>
    <row r="8" spans="1:23" ht="13.5" customHeight="1">
      <c r="A8" s="22" t="s">
        <v>18</v>
      </c>
      <c r="B8" s="9"/>
      <c r="C8" s="10"/>
      <c r="D8" s="14"/>
      <c r="E8" s="10"/>
      <c r="F8" s="23"/>
      <c r="G8" s="10"/>
      <c r="H8" s="9"/>
      <c r="I8" s="13"/>
      <c r="J8" s="14"/>
      <c r="K8" s="10"/>
      <c r="L8" s="14"/>
      <c r="M8" s="10"/>
      <c r="N8" s="14">
        <v>50</v>
      </c>
      <c r="O8" s="16">
        <f>N8*5*0.132335</f>
        <v>33.083750000000002</v>
      </c>
      <c r="P8" s="14">
        <f>Q8/5/0.132335</f>
        <v>50.000377828994594</v>
      </c>
      <c r="Q8" s="16">
        <f>34.364-1.28</f>
        <v>33.083999999999996</v>
      </c>
      <c r="R8" s="14">
        <f t="shared" si="1"/>
        <v>-3.7782899459415376E-4</v>
      </c>
      <c r="S8" s="17">
        <f t="shared" si="2"/>
        <v>-2.4999999999408828E-4</v>
      </c>
      <c r="U8" s="19">
        <v>17</v>
      </c>
      <c r="V8" s="19">
        <f t="shared" si="0"/>
        <v>-33.000377828994594</v>
      </c>
      <c r="W8" s="16">
        <f>U8*5*0.132335</f>
        <v>11.248475000000001</v>
      </c>
    </row>
    <row r="9" spans="1:23" ht="13.5" customHeight="1">
      <c r="A9" s="22" t="s">
        <v>19</v>
      </c>
      <c r="B9" s="9"/>
      <c r="C9" s="10"/>
      <c r="D9" s="14"/>
      <c r="E9" s="10"/>
      <c r="F9" s="23"/>
      <c r="G9" s="10"/>
      <c r="H9" s="9"/>
      <c r="I9" s="13"/>
      <c r="J9" s="14"/>
      <c r="K9" s="10"/>
      <c r="L9" s="14"/>
      <c r="M9" s="10"/>
      <c r="N9" s="14">
        <v>63</v>
      </c>
      <c r="O9" s="16">
        <f>N9*4*0.132335</f>
        <v>33.348420000000004</v>
      </c>
      <c r="P9" s="14">
        <f>Q9/4/0.132335</f>
        <v>62.519363735973094</v>
      </c>
      <c r="Q9" s="16">
        <f>25.935+5.879+1.28</f>
        <v>33.094000000000001</v>
      </c>
      <c r="R9" s="14">
        <f t="shared" si="1"/>
        <v>0.48063626402690574</v>
      </c>
      <c r="S9" s="17">
        <f t="shared" si="2"/>
        <v>0.2544200000000032</v>
      </c>
      <c r="U9" s="19">
        <v>27</v>
      </c>
      <c r="V9" s="19">
        <f t="shared" si="0"/>
        <v>-35.519363735973094</v>
      </c>
      <c r="W9" s="16">
        <f>U9*4*0.132335</f>
        <v>14.29218</v>
      </c>
    </row>
    <row r="10" spans="1:23" ht="13.5" customHeight="1">
      <c r="A10" s="22" t="s">
        <v>20</v>
      </c>
      <c r="B10" s="9"/>
      <c r="C10" s="10"/>
      <c r="D10" s="14"/>
      <c r="E10" s="10"/>
      <c r="F10" s="23"/>
      <c r="G10" s="10"/>
      <c r="H10" s="9"/>
      <c r="I10" s="13"/>
      <c r="J10" s="14"/>
      <c r="K10" s="10"/>
      <c r="L10" s="14"/>
      <c r="M10" s="10"/>
      <c r="N10" s="14">
        <v>308</v>
      </c>
      <c r="O10" s="16">
        <f>N10*3*0.132335</f>
        <v>122.27754</v>
      </c>
      <c r="P10" s="14">
        <f>Q10/3/0.132335</f>
        <v>308.00115867558344</v>
      </c>
      <c r="Q10" s="16">
        <f>128.157-5.879</f>
        <v>122.27800000000001</v>
      </c>
      <c r="R10" s="14">
        <f t="shared" si="1"/>
        <v>-1.1586755834400719E-3</v>
      </c>
      <c r="S10" s="17">
        <f t="shared" si="2"/>
        <v>-4.6000000000390173E-4</v>
      </c>
      <c r="T10" s="24"/>
      <c r="U10" s="19">
        <v>19</v>
      </c>
      <c r="V10" s="19">
        <f t="shared" si="0"/>
        <v>-289.00115867558344</v>
      </c>
      <c r="W10" s="16">
        <f>U10*3*0.132335</f>
        <v>7.5430950000000001</v>
      </c>
    </row>
    <row r="11" spans="1:23" ht="13.5" customHeight="1">
      <c r="A11" s="22" t="s">
        <v>21</v>
      </c>
      <c r="B11" s="9"/>
      <c r="C11" s="10"/>
      <c r="D11" s="14"/>
      <c r="E11" s="10"/>
      <c r="F11" s="23"/>
      <c r="G11" s="10"/>
      <c r="H11" s="9"/>
      <c r="I11" s="13"/>
      <c r="J11" s="14"/>
      <c r="K11" s="10"/>
      <c r="L11" s="14"/>
      <c r="M11" s="10"/>
      <c r="N11" s="14">
        <v>0</v>
      </c>
      <c r="O11" s="16">
        <f>N11*0.198005</f>
        <v>0</v>
      </c>
      <c r="P11" s="14">
        <f>Q11/0.198005</f>
        <v>0</v>
      </c>
      <c r="Q11" s="16">
        <v>0</v>
      </c>
      <c r="R11" s="14">
        <f t="shared" si="1"/>
        <v>0</v>
      </c>
      <c r="S11" s="17">
        <f t="shared" si="2"/>
        <v>0</v>
      </c>
      <c r="U11" s="19">
        <v>0</v>
      </c>
      <c r="V11" s="19">
        <f t="shared" si="0"/>
        <v>0</v>
      </c>
      <c r="W11" s="16">
        <f>U11*0.198005</f>
        <v>0</v>
      </c>
    </row>
    <row r="12" spans="1:23" ht="13.5" customHeight="1">
      <c r="A12" s="22" t="s">
        <v>22</v>
      </c>
      <c r="B12" s="9"/>
      <c r="C12" s="10"/>
      <c r="D12" s="14"/>
      <c r="E12" s="10"/>
      <c r="F12" s="23"/>
      <c r="G12" s="10"/>
      <c r="H12" s="9"/>
      <c r="I12" s="13"/>
      <c r="J12" s="14"/>
      <c r="K12" s="10"/>
      <c r="L12" s="14"/>
      <c r="M12" s="10"/>
      <c r="N12" s="14">
        <f>57-5</f>
        <v>52</v>
      </c>
      <c r="O12" s="16">
        <f>N12*5*0.198005</f>
        <v>51.481299999999997</v>
      </c>
      <c r="P12" s="14">
        <f>Q12/5/0.198005</f>
        <v>51.049215928890689</v>
      </c>
      <c r="Q12" s="16">
        <v>50.54</v>
      </c>
      <c r="R12" s="14">
        <f t="shared" si="1"/>
        <v>0.95078407110931096</v>
      </c>
      <c r="S12" s="17">
        <f t="shared" si="2"/>
        <v>0.94129999999999825</v>
      </c>
      <c r="U12" s="19">
        <v>4</v>
      </c>
      <c r="V12" s="19">
        <f t="shared" si="0"/>
        <v>-47.049215928890689</v>
      </c>
      <c r="W12" s="16">
        <f>U12*5*0.198005</f>
        <v>3.9600999999999997</v>
      </c>
    </row>
    <row r="13" spans="1:23" ht="14.25" customHeight="1">
      <c r="A13" s="22" t="s">
        <v>23</v>
      </c>
      <c r="B13" s="9"/>
      <c r="C13" s="10"/>
      <c r="D13" s="14"/>
      <c r="E13" s="10"/>
      <c r="F13" s="23"/>
      <c r="G13" s="10"/>
      <c r="H13" s="9"/>
      <c r="I13" s="13"/>
      <c r="J13" s="14"/>
      <c r="K13" s="10"/>
      <c r="L13" s="14"/>
      <c r="M13" s="10"/>
      <c r="N13" s="14">
        <f>118-1</f>
        <v>117</v>
      </c>
      <c r="O13" s="16">
        <f>N13*4*0.198005</f>
        <v>92.666339999999991</v>
      </c>
      <c r="P13" s="14">
        <f>Q13/4/0.198005</f>
        <v>103.89889144213531</v>
      </c>
      <c r="Q13" s="16">
        <v>82.29</v>
      </c>
      <c r="R13" s="14">
        <f t="shared" si="1"/>
        <v>13.101108557864691</v>
      </c>
      <c r="S13" s="17">
        <f t="shared" si="2"/>
        <v>10.376339999999985</v>
      </c>
      <c r="U13" s="19">
        <v>21</v>
      </c>
      <c r="V13" s="19">
        <f t="shared" si="0"/>
        <v>-82.898891442135309</v>
      </c>
      <c r="W13" s="16">
        <f>U13*4*0.198005</f>
        <v>16.63242</v>
      </c>
    </row>
    <row r="14" spans="1:23" ht="13.5" customHeight="1">
      <c r="A14" s="25" t="s">
        <v>24</v>
      </c>
      <c r="B14" s="26"/>
      <c r="C14" s="27"/>
      <c r="D14" s="28"/>
      <c r="E14" s="27"/>
      <c r="F14" s="29"/>
      <c r="G14" s="27"/>
      <c r="H14" s="26"/>
      <c r="I14" s="30"/>
      <c r="J14" s="28"/>
      <c r="K14" s="27"/>
      <c r="L14" s="28"/>
      <c r="M14" s="27"/>
      <c r="N14" s="28">
        <f>431+6</f>
        <v>437</v>
      </c>
      <c r="O14" s="31">
        <f>N14*3*0.198005</f>
        <v>259.58455499999997</v>
      </c>
      <c r="P14" s="28">
        <f>Q14/3/0.198005</f>
        <v>437.3408078920566</v>
      </c>
      <c r="Q14" s="31">
        <v>259.78699999999998</v>
      </c>
      <c r="R14" s="28">
        <f t="shared" si="1"/>
        <v>-0.34080789205660267</v>
      </c>
      <c r="S14" s="32">
        <f t="shared" si="2"/>
        <v>-0.20244500000001153</v>
      </c>
      <c r="U14" s="33">
        <v>235</v>
      </c>
      <c r="V14" s="19">
        <f t="shared" si="0"/>
        <v>-202.3408078920566</v>
      </c>
      <c r="W14" s="16">
        <f>U14*3*0.198005</f>
        <v>139.593525</v>
      </c>
    </row>
    <row r="15" spans="1:23" ht="14.25" customHeight="1">
      <c r="A15" s="34"/>
      <c r="C15" s="21">
        <f>SUM(C4:C14)</f>
        <v>0</v>
      </c>
      <c r="E15" s="21">
        <f>SUM(E4:E14)</f>
        <v>0</v>
      </c>
      <c r="G15" s="21">
        <f>SUM(G4:G14)</f>
        <v>0</v>
      </c>
      <c r="H15" s="21"/>
      <c r="I15" s="21">
        <f>SUM(I4:I14)</f>
        <v>0</v>
      </c>
      <c r="K15" s="21">
        <f>SUM(K4:K14)</f>
        <v>0</v>
      </c>
      <c r="M15" s="21">
        <f>SUM(M4:M14)</f>
        <v>0</v>
      </c>
      <c r="N15" s="35"/>
      <c r="O15" s="21">
        <f>SUM(O4:O14)</f>
        <v>674.80785500000002</v>
      </c>
      <c r="Q15" s="21">
        <f>SUM(Q4:Q14)</f>
        <v>662.85400000000004</v>
      </c>
      <c r="S15" s="36">
        <f>SUM(S4:S14)</f>
        <v>11.953854999999983</v>
      </c>
    </row>
    <row r="16" spans="1:23" ht="14.25" customHeight="1">
      <c r="A16" s="34"/>
      <c r="S16" s="37"/>
    </row>
    <row r="17" spans="1:23" ht="14.2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40"/>
    </row>
    <row r="18" spans="1:23" ht="15" customHeight="1" thickBot="1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3"/>
    </row>
    <row r="19" spans="1:23" ht="15.75" customHeight="1" thickBot="1">
      <c r="A19" s="1244">
        <f>Prod.!A4</f>
        <v>46296</v>
      </c>
      <c r="B19" s="1244"/>
      <c r="C19" s="1244"/>
      <c r="D19" s="1244"/>
      <c r="E19" s="1244"/>
      <c r="F19" s="1244"/>
      <c r="G19" s="1244"/>
      <c r="H19" s="1244"/>
      <c r="I19" s="1244"/>
      <c r="J19" s="1244"/>
      <c r="K19" s="1244"/>
      <c r="L19" s="1244"/>
      <c r="M19" s="1244"/>
      <c r="N19" s="1244"/>
      <c r="O19" s="1244"/>
      <c r="P19" s="1244"/>
      <c r="Q19" s="1244"/>
      <c r="R19" s="1244"/>
      <c r="S19" s="1244"/>
      <c r="U19" s="1"/>
      <c r="V19" s="1"/>
    </row>
    <row r="20" spans="1:23" ht="15" customHeight="1" thickBot="1">
      <c r="A20" s="1245" t="s">
        <v>1</v>
      </c>
      <c r="B20" s="1246" t="s">
        <v>2</v>
      </c>
      <c r="C20" s="1246"/>
      <c r="D20" s="1246" t="s">
        <v>3</v>
      </c>
      <c r="E20" s="1246"/>
      <c r="F20" s="1247" t="s">
        <v>4</v>
      </c>
      <c r="G20" s="1247"/>
      <c r="H20" s="1246" t="s">
        <v>5</v>
      </c>
      <c r="I20" s="1246"/>
      <c r="J20" s="1246" t="s">
        <v>6</v>
      </c>
      <c r="K20" s="1246"/>
      <c r="L20" s="1246" t="s">
        <v>7</v>
      </c>
      <c r="M20" s="1246"/>
      <c r="N20" s="1248" t="s">
        <v>8</v>
      </c>
      <c r="O20" s="1248"/>
      <c r="P20" s="1248" t="s">
        <v>9</v>
      </c>
      <c r="Q20" s="1248"/>
      <c r="R20" s="1249" t="s">
        <v>10</v>
      </c>
      <c r="S20" s="1249"/>
      <c r="U20" s="1"/>
      <c r="V20" s="1"/>
    </row>
    <row r="21" spans="1:23" ht="36" customHeight="1">
      <c r="A21" s="1245"/>
      <c r="B21" s="3" t="s">
        <v>11</v>
      </c>
      <c r="C21" s="4" t="s">
        <v>12</v>
      </c>
      <c r="D21" s="3" t="s">
        <v>11</v>
      </c>
      <c r="E21" s="4" t="s">
        <v>12</v>
      </c>
      <c r="F21" s="5" t="s">
        <v>11</v>
      </c>
      <c r="G21" s="6" t="s">
        <v>12</v>
      </c>
      <c r="H21" s="3" t="s">
        <v>11</v>
      </c>
      <c r="I21" s="4" t="s">
        <v>12</v>
      </c>
      <c r="J21" s="4" t="s">
        <v>11</v>
      </c>
      <c r="K21" s="4" t="s">
        <v>12</v>
      </c>
      <c r="L21" s="4" t="s">
        <v>11</v>
      </c>
      <c r="M21" s="4" t="s">
        <v>12</v>
      </c>
      <c r="N21" s="4" t="s">
        <v>11</v>
      </c>
      <c r="O21" s="4" t="s">
        <v>12</v>
      </c>
      <c r="P21" s="4" t="s">
        <v>11</v>
      </c>
      <c r="Q21" s="4" t="s">
        <v>12</v>
      </c>
      <c r="R21" s="4" t="s">
        <v>11</v>
      </c>
      <c r="S21" s="7" t="s">
        <v>12</v>
      </c>
      <c r="U21" s="1237"/>
      <c r="V21" s="1237"/>
    </row>
    <row r="22" spans="1:23" ht="15" customHeight="1">
      <c r="A22" s="8" t="s">
        <v>14</v>
      </c>
      <c r="B22" s="9">
        <f t="shared" ref="B22:B32" si="3">D22+J22</f>
        <v>0</v>
      </c>
      <c r="C22" s="10">
        <f>B22*0.57</f>
        <v>0</v>
      </c>
      <c r="D22" s="11"/>
      <c r="E22" s="10">
        <f>D22*0.57</f>
        <v>0</v>
      </c>
      <c r="F22" s="12"/>
      <c r="G22" s="10">
        <f>F22*0.57</f>
        <v>0</v>
      </c>
      <c r="H22" s="9">
        <f>I22/6/0.095</f>
        <v>0</v>
      </c>
      <c r="I22" s="13"/>
      <c r="J22" s="14">
        <f>Prod.!M16</f>
        <v>0</v>
      </c>
      <c r="K22" s="10">
        <f>(J22*0.57)</f>
        <v>0</v>
      </c>
      <c r="L22" s="15"/>
      <c r="M22" s="10"/>
      <c r="N22" s="14">
        <f t="shared" ref="N22:N32" si="4">((J22+L22+N4)-(F22+H22))</f>
        <v>0</v>
      </c>
      <c r="O22" s="16">
        <f>(N22*0.57)</f>
        <v>0</v>
      </c>
      <c r="P22" s="14">
        <f>Q22/6/0.095</f>
        <v>0</v>
      </c>
      <c r="Q22" s="16">
        <f t="shared" ref="Q22:Q27" si="5">(Q4+K22+M22)-(G22+I22)</f>
        <v>0</v>
      </c>
      <c r="R22" s="14">
        <f t="shared" ref="R22:R32" si="6">N22-P22</f>
        <v>0</v>
      </c>
      <c r="S22" s="17">
        <f t="shared" ref="S22:S32" si="7">O22-Q22</f>
        <v>0</v>
      </c>
      <c r="T22" s="18"/>
      <c r="U22" s="44"/>
      <c r="V22" s="19">
        <f t="shared" ref="V22:V32" si="8">U22-P22</f>
        <v>0</v>
      </c>
      <c r="W22" s="16">
        <f>U22*0.57</f>
        <v>0</v>
      </c>
    </row>
    <row r="23" spans="1:23" ht="15" customHeight="1">
      <c r="A23" s="20" t="s">
        <v>15</v>
      </c>
      <c r="B23" s="9">
        <f t="shared" si="3"/>
        <v>0</v>
      </c>
      <c r="C23" s="10">
        <f>B23*5.25*0.095</f>
        <v>0</v>
      </c>
      <c r="E23" s="10">
        <f>D23*5.25*0.095</f>
        <v>0</v>
      </c>
      <c r="F23" s="12"/>
      <c r="G23" s="10">
        <f>F23*5.25*0.095</f>
        <v>0</v>
      </c>
      <c r="H23" s="9">
        <f>I23/5.25/0.095</f>
        <v>0</v>
      </c>
      <c r="I23" s="21"/>
      <c r="J23" s="14"/>
      <c r="K23" s="10">
        <f>J23*5.25*0.095</f>
        <v>0</v>
      </c>
      <c r="L23" s="15"/>
      <c r="M23" s="10"/>
      <c r="N23" s="14">
        <f t="shared" si="4"/>
        <v>0</v>
      </c>
      <c r="O23" s="16">
        <f>(N23*5.25*0.095)</f>
        <v>0</v>
      </c>
      <c r="P23" s="14">
        <f>Q23/5.25/0.095</f>
        <v>0</v>
      </c>
      <c r="Q23" s="16">
        <f t="shared" si="5"/>
        <v>0</v>
      </c>
      <c r="R23" s="14">
        <f t="shared" si="6"/>
        <v>0</v>
      </c>
      <c r="S23" s="17">
        <f t="shared" si="7"/>
        <v>0</v>
      </c>
      <c r="T23" s="45"/>
      <c r="V23" s="19">
        <f t="shared" si="8"/>
        <v>0</v>
      </c>
      <c r="W23" s="16">
        <f>U23*0.798</f>
        <v>0</v>
      </c>
    </row>
    <row r="24" spans="1:23" ht="15" customHeight="1">
      <c r="A24" s="22" t="s">
        <v>16</v>
      </c>
      <c r="B24" s="9">
        <f t="shared" si="3"/>
        <v>0</v>
      </c>
      <c r="C24" s="10">
        <f>B24*0.095</f>
        <v>0</v>
      </c>
      <c r="D24" s="14">
        <f>Prod.!S18</f>
        <v>0</v>
      </c>
      <c r="E24" s="10">
        <f>D24*0.095</f>
        <v>0</v>
      </c>
      <c r="F24" s="23"/>
      <c r="G24" s="10">
        <f>F24*0.095</f>
        <v>0</v>
      </c>
      <c r="H24" s="9">
        <f>I24/0.095</f>
        <v>0</v>
      </c>
      <c r="I24" s="13"/>
      <c r="J24" s="14">
        <f>Prod.!J16*3+Prod.!K16*4+Prod.!L16*5</f>
        <v>0</v>
      </c>
      <c r="K24" s="10">
        <f>J24*0.095</f>
        <v>0</v>
      </c>
      <c r="L24" s="14"/>
      <c r="M24" s="10"/>
      <c r="N24" s="14">
        <f t="shared" si="4"/>
        <v>73</v>
      </c>
      <c r="O24" s="16">
        <f>N24*0.095</f>
        <v>6.9350000000000005</v>
      </c>
      <c r="P24" s="14">
        <f>Q24/0.095</f>
        <v>72.747368421052627</v>
      </c>
      <c r="Q24" s="16">
        <f t="shared" si="5"/>
        <v>6.9109999999999996</v>
      </c>
      <c r="R24" s="14">
        <f t="shared" si="6"/>
        <v>0.25263157894737276</v>
      </c>
      <c r="S24" s="17">
        <f t="shared" si="7"/>
        <v>2.4000000000000909E-2</v>
      </c>
      <c r="U24" s="19">
        <v>118</v>
      </c>
      <c r="V24" s="19">
        <f t="shared" si="8"/>
        <v>45.252631578947373</v>
      </c>
      <c r="W24" s="16">
        <f>(U24*0.095)</f>
        <v>11.21</v>
      </c>
    </row>
    <row r="25" spans="1:23" ht="15" customHeight="1">
      <c r="A25" s="22" t="s">
        <v>17</v>
      </c>
      <c r="B25" s="9">
        <f t="shared" si="3"/>
        <v>0</v>
      </c>
      <c r="C25" s="10">
        <f>B25*6*0.132335</f>
        <v>0</v>
      </c>
      <c r="D25" s="14">
        <f>Prod.!S17</f>
        <v>0</v>
      </c>
      <c r="E25" s="10">
        <f>D25*6*0.132335</f>
        <v>0</v>
      </c>
      <c r="F25" s="23">
        <f>Prod.!M17</f>
        <v>0</v>
      </c>
      <c r="G25" s="10">
        <f>F25*6*0.132335</f>
        <v>0</v>
      </c>
      <c r="H25" s="9">
        <f>I25/6/0.132335</f>
        <v>0</v>
      </c>
      <c r="I25" s="13"/>
      <c r="J25" s="14">
        <f>Prod.!Y17</f>
        <v>0</v>
      </c>
      <c r="K25" s="10">
        <f>J25*6*0.132335</f>
        <v>0</v>
      </c>
      <c r="L25" s="14">
        <f>M25/6/0.132335</f>
        <v>0</v>
      </c>
      <c r="M25" s="10">
        <f>Prod.!AR5</f>
        <v>0</v>
      </c>
      <c r="N25" s="14">
        <f t="shared" si="4"/>
        <v>95</v>
      </c>
      <c r="O25" s="16">
        <f>N25*6*0.132335</f>
        <v>75.43095000000001</v>
      </c>
      <c r="P25" s="14">
        <f>Q25/6/0.132335</f>
        <v>94.293522751602623</v>
      </c>
      <c r="Q25" s="16">
        <f t="shared" si="5"/>
        <v>74.87</v>
      </c>
      <c r="R25" s="14">
        <f t="shared" si="6"/>
        <v>0.70647724839737691</v>
      </c>
      <c r="S25" s="17">
        <f t="shared" si="7"/>
        <v>0.56095000000000539</v>
      </c>
      <c r="U25" s="19">
        <v>465</v>
      </c>
      <c r="V25" s="19">
        <f t="shared" si="8"/>
        <v>370.70647724839739</v>
      </c>
      <c r="W25" s="16">
        <f>U25*6*0.132335</f>
        <v>369.21465000000001</v>
      </c>
    </row>
    <row r="26" spans="1:23" ht="15" customHeight="1">
      <c r="A26" s="22" t="s">
        <v>18</v>
      </c>
      <c r="B26" s="9">
        <f t="shared" si="3"/>
        <v>0</v>
      </c>
      <c r="C26" s="10">
        <f>B26*5*0.132335</f>
        <v>0</v>
      </c>
      <c r="D26" s="14">
        <f>Prod.!R17</f>
        <v>0</v>
      </c>
      <c r="E26" s="10">
        <f>D26*5*0.132335</f>
        <v>0</v>
      </c>
      <c r="F26" s="23">
        <f>Prod.!L17</f>
        <v>0</v>
      </c>
      <c r="G26" s="10">
        <f>F26*5*0.132335</f>
        <v>0</v>
      </c>
      <c r="H26" s="9">
        <f>I26/5/0.132335</f>
        <v>0</v>
      </c>
      <c r="I26" s="13"/>
      <c r="J26" s="14">
        <f>Prod.!X17</f>
        <v>0</v>
      </c>
      <c r="K26" s="10">
        <f>J26*5*0.132335</f>
        <v>0</v>
      </c>
      <c r="L26" s="14">
        <f>M26/5/0.132335</f>
        <v>0</v>
      </c>
      <c r="M26" s="10">
        <f>Prod.!AR6</f>
        <v>0</v>
      </c>
      <c r="N26" s="14">
        <f t="shared" si="4"/>
        <v>50</v>
      </c>
      <c r="O26" s="16">
        <f>N26*5*0.132335</f>
        <v>33.083750000000002</v>
      </c>
      <c r="P26" s="14">
        <f>Q26/5/0.132335</f>
        <v>50.000377828994594</v>
      </c>
      <c r="Q26" s="16">
        <f t="shared" si="5"/>
        <v>33.083999999999996</v>
      </c>
      <c r="R26" s="14">
        <f t="shared" si="6"/>
        <v>-3.7782899459415376E-4</v>
      </c>
      <c r="S26" s="17">
        <f t="shared" si="7"/>
        <v>-2.4999999999408828E-4</v>
      </c>
      <c r="U26" s="19">
        <v>38</v>
      </c>
      <c r="V26" s="19">
        <f t="shared" si="8"/>
        <v>-12.000377828994594</v>
      </c>
      <c r="W26" s="16">
        <f>U26*5*0.132335</f>
        <v>25.143650000000001</v>
      </c>
    </row>
    <row r="27" spans="1:23" ht="15" customHeight="1">
      <c r="A27" s="22" t="s">
        <v>19</v>
      </c>
      <c r="B27" s="9">
        <f t="shared" si="3"/>
        <v>0</v>
      </c>
      <c r="C27" s="10">
        <f>B27*4*0.132335</f>
        <v>0</v>
      </c>
      <c r="D27" s="14">
        <f>Prod.!Q17</f>
        <v>0</v>
      </c>
      <c r="E27" s="10">
        <f>D27*4*0.132335</f>
        <v>0</v>
      </c>
      <c r="F27" s="23">
        <f>Prod.!K17</f>
        <v>0</v>
      </c>
      <c r="G27" s="10">
        <f>F27*4*0.132335</f>
        <v>0</v>
      </c>
      <c r="H27" s="9">
        <f>I27/4/0.132335</f>
        <v>0</v>
      </c>
      <c r="I27" s="13"/>
      <c r="J27" s="14">
        <f>Prod.!W17</f>
        <v>0</v>
      </c>
      <c r="K27" s="10">
        <f>J27*4*0.132335</f>
        <v>0</v>
      </c>
      <c r="L27" s="14">
        <f>M27/4/0.132335</f>
        <v>0</v>
      </c>
      <c r="M27" s="10">
        <f>Prod.!AR7</f>
        <v>0</v>
      </c>
      <c r="N27" s="14">
        <f t="shared" si="4"/>
        <v>63</v>
      </c>
      <c r="O27" s="16">
        <f>N27*4*0.132335</f>
        <v>33.348420000000004</v>
      </c>
      <c r="P27" s="14">
        <f>Q27/4/0.132335</f>
        <v>62.519363735973094</v>
      </c>
      <c r="Q27" s="16">
        <f t="shared" si="5"/>
        <v>33.094000000000001</v>
      </c>
      <c r="R27" s="14">
        <f t="shared" si="6"/>
        <v>0.48063626402690574</v>
      </c>
      <c r="S27" s="17">
        <f t="shared" si="7"/>
        <v>0.2544200000000032</v>
      </c>
      <c r="U27" s="19">
        <v>158</v>
      </c>
      <c r="V27" s="19">
        <f t="shared" si="8"/>
        <v>95.480636264026913</v>
      </c>
      <c r="W27" s="16">
        <f>U27*4*0.132335</f>
        <v>83.635720000000006</v>
      </c>
    </row>
    <row r="28" spans="1:23" ht="15" customHeight="1">
      <c r="A28" s="22" t="s">
        <v>20</v>
      </c>
      <c r="B28" s="9">
        <f t="shared" si="3"/>
        <v>0</v>
      </c>
      <c r="C28" s="10">
        <f>B28*3*0.132335</f>
        <v>0</v>
      </c>
      <c r="D28" s="14">
        <f>Prod.!P17</f>
        <v>0</v>
      </c>
      <c r="E28" s="10">
        <f>D28*3*0.132335</f>
        <v>0</v>
      </c>
      <c r="F28" s="23">
        <f>Prod.!J17</f>
        <v>0</v>
      </c>
      <c r="G28" s="10">
        <f>F28*3*0.132335</f>
        <v>0</v>
      </c>
      <c r="H28" s="9">
        <f>I28/3/0.132335</f>
        <v>0</v>
      </c>
      <c r="I28" s="13"/>
      <c r="J28" s="14">
        <f>Prod.!V17</f>
        <v>0</v>
      </c>
      <c r="K28" s="10">
        <f>J28*3*0.132335</f>
        <v>0</v>
      </c>
      <c r="L28" s="14">
        <f>M28/3/0.132335</f>
        <v>0</v>
      </c>
      <c r="M28" s="10">
        <f>Prod.!AR8</f>
        <v>0</v>
      </c>
      <c r="N28" s="14">
        <f t="shared" si="4"/>
        <v>308</v>
      </c>
      <c r="O28" s="16">
        <f>N28*3*0.132335</f>
        <v>122.27754</v>
      </c>
      <c r="P28" s="14">
        <f>Q28/3/0.132335</f>
        <v>308.00115867558344</v>
      </c>
      <c r="Q28" s="16">
        <f>(Q10+K28+M28)-(G28+I28)</f>
        <v>122.27800000000001</v>
      </c>
      <c r="R28" s="14">
        <f t="shared" si="6"/>
        <v>-1.1586755834400719E-3</v>
      </c>
      <c r="S28" s="17">
        <f t="shared" si="7"/>
        <v>-4.6000000000390173E-4</v>
      </c>
      <c r="U28" s="19">
        <v>383</v>
      </c>
      <c r="V28" s="19">
        <f t="shared" si="8"/>
        <v>74.99884132441656</v>
      </c>
      <c r="W28" s="16">
        <f>U28*3*0.132335</f>
        <v>152.05291500000001</v>
      </c>
    </row>
    <row r="29" spans="1:23" ht="15" customHeight="1">
      <c r="A29" s="22" t="s">
        <v>21</v>
      </c>
      <c r="B29" s="9">
        <f t="shared" si="3"/>
        <v>0</v>
      </c>
      <c r="C29" s="10">
        <f>B29*0.198005</f>
        <v>0</v>
      </c>
      <c r="D29" s="14"/>
      <c r="E29" s="10">
        <f>D29*0.198005</f>
        <v>0</v>
      </c>
      <c r="F29" s="23"/>
      <c r="G29" s="10">
        <f>F29*0.198005</f>
        <v>0</v>
      </c>
      <c r="H29" s="9">
        <f>I29/0.095</f>
        <v>0</v>
      </c>
      <c r="I29" s="13"/>
      <c r="J29" s="14"/>
      <c r="K29" s="10">
        <f>J29*0.198005</f>
        <v>0</v>
      </c>
      <c r="L29" s="14"/>
      <c r="M29" s="10"/>
      <c r="N29" s="14">
        <f t="shared" si="4"/>
        <v>0</v>
      </c>
      <c r="O29" s="16">
        <f>N29*0.198005</f>
        <v>0</v>
      </c>
      <c r="P29" s="14">
        <f>Q29/0.198005</f>
        <v>0</v>
      </c>
      <c r="Q29" s="16">
        <f>(Q11+K29+M29)-(G29+I29)</f>
        <v>0</v>
      </c>
      <c r="R29" s="14">
        <f t="shared" si="6"/>
        <v>0</v>
      </c>
      <c r="S29" s="17">
        <f t="shared" si="7"/>
        <v>0</v>
      </c>
      <c r="U29" s="19">
        <v>0</v>
      </c>
      <c r="V29" s="19">
        <f t="shared" si="8"/>
        <v>0</v>
      </c>
      <c r="W29" s="16">
        <f>U29*0.198005</f>
        <v>0</v>
      </c>
    </row>
    <row r="30" spans="1:23" ht="15" customHeight="1">
      <c r="A30" s="22" t="s">
        <v>22</v>
      </c>
      <c r="B30" s="9">
        <f t="shared" si="3"/>
        <v>0</v>
      </c>
      <c r="C30" s="10">
        <f>B30*5*0.198005</f>
        <v>0</v>
      </c>
      <c r="D30" s="14">
        <f>Prod.!R18</f>
        <v>0</v>
      </c>
      <c r="E30" s="10">
        <f>D30*5*0.198005</f>
        <v>0</v>
      </c>
      <c r="F30" s="23">
        <f>Prod.!L18</f>
        <v>0</v>
      </c>
      <c r="G30" s="10">
        <f>F30*5*0.198005</f>
        <v>0</v>
      </c>
      <c r="H30" s="9">
        <f>I30/5/0.198005</f>
        <v>0</v>
      </c>
      <c r="I30" s="13"/>
      <c r="J30" s="14">
        <f>Prod.!X18</f>
        <v>0</v>
      </c>
      <c r="K30" s="10">
        <f>J30*5*0.198005</f>
        <v>0</v>
      </c>
      <c r="L30" s="14">
        <f>M30/5/0.198005</f>
        <v>0</v>
      </c>
      <c r="M30" s="10">
        <f>Prod.!AR14</f>
        <v>0</v>
      </c>
      <c r="N30" s="14">
        <f t="shared" si="4"/>
        <v>52</v>
      </c>
      <c r="O30" s="16">
        <f>N30*5*0.198005</f>
        <v>51.481299999999997</v>
      </c>
      <c r="P30" s="14">
        <f>Q30/5/0.198005</f>
        <v>51.049215928890689</v>
      </c>
      <c r="Q30" s="16">
        <f>(Q12+K30+M30)-(G30+I30)</f>
        <v>50.54</v>
      </c>
      <c r="R30" s="14">
        <f t="shared" si="6"/>
        <v>0.95078407110931096</v>
      </c>
      <c r="S30" s="17">
        <f t="shared" si="7"/>
        <v>0.94129999999999825</v>
      </c>
      <c r="U30" s="19">
        <v>93</v>
      </c>
      <c r="V30" s="19">
        <f t="shared" si="8"/>
        <v>41.950784071109311</v>
      </c>
      <c r="W30" s="16">
        <f>U30*5*0.198005</f>
        <v>92.072324999999992</v>
      </c>
    </row>
    <row r="31" spans="1:23" ht="15" customHeight="1">
      <c r="A31" s="22" t="s">
        <v>23</v>
      </c>
      <c r="B31" s="9">
        <f t="shared" si="3"/>
        <v>0</v>
      </c>
      <c r="C31" s="10">
        <f>B31*4*0.198005</f>
        <v>0</v>
      </c>
      <c r="D31" s="14">
        <f>Prod.!Q18</f>
        <v>0</v>
      </c>
      <c r="E31" s="10">
        <f>D31*4*0.198005</f>
        <v>0</v>
      </c>
      <c r="F31" s="23">
        <f>Prod.!K18</f>
        <v>0</v>
      </c>
      <c r="G31" s="10">
        <f>F31*4*0.198005</f>
        <v>0</v>
      </c>
      <c r="H31" s="9">
        <f>I31/4/0.198005</f>
        <v>0</v>
      </c>
      <c r="I31" s="13"/>
      <c r="J31" s="14">
        <f>Prod.!W18</f>
        <v>0</v>
      </c>
      <c r="K31" s="10">
        <f>J31*4*0.198005</f>
        <v>0</v>
      </c>
      <c r="L31" s="14">
        <f>M31/4/0.198005</f>
        <v>0</v>
      </c>
      <c r="M31" s="10">
        <f>Prod.!AR15</f>
        <v>0</v>
      </c>
      <c r="N31" s="14">
        <f t="shared" si="4"/>
        <v>117</v>
      </c>
      <c r="O31" s="16">
        <f>N31*4*0.198005</f>
        <v>92.666339999999991</v>
      </c>
      <c r="P31" s="14">
        <f>Q31/4/0.198005</f>
        <v>103.89889144213531</v>
      </c>
      <c r="Q31" s="16">
        <f>(Q13+K31+M31)-(G31+I31)</f>
        <v>82.29</v>
      </c>
      <c r="R31" s="14">
        <f t="shared" si="6"/>
        <v>13.101108557864691</v>
      </c>
      <c r="S31" s="17">
        <f t="shared" si="7"/>
        <v>10.376339999999985</v>
      </c>
      <c r="U31" s="19">
        <v>134</v>
      </c>
      <c r="V31" s="19">
        <f t="shared" si="8"/>
        <v>30.101108557864691</v>
      </c>
      <c r="W31" s="16">
        <f>U31*4*0.198005</f>
        <v>106.13068</v>
      </c>
    </row>
    <row r="32" spans="1:23" ht="15.75" customHeight="1" thickBot="1">
      <c r="A32" s="25" t="s">
        <v>24</v>
      </c>
      <c r="B32" s="26">
        <f t="shared" si="3"/>
        <v>0</v>
      </c>
      <c r="C32" s="27">
        <f>B32*3*0.198005</f>
        <v>0</v>
      </c>
      <c r="D32" s="28">
        <f>Prod.!P18</f>
        <v>0</v>
      </c>
      <c r="E32" s="27">
        <f>D32*3*0.198005</f>
        <v>0</v>
      </c>
      <c r="F32" s="29">
        <f>Prod.!J18</f>
        <v>0</v>
      </c>
      <c r="G32" s="27">
        <f>F32*3*0.198005</f>
        <v>0</v>
      </c>
      <c r="H32" s="26">
        <f>I32/3/0.198005</f>
        <v>0</v>
      </c>
      <c r="I32" s="30"/>
      <c r="J32" s="28">
        <f>Prod.!V18</f>
        <v>0</v>
      </c>
      <c r="K32" s="27">
        <f>J32*3*0.198005</f>
        <v>0</v>
      </c>
      <c r="L32" s="28">
        <f>M32/3/0.198005</f>
        <v>0</v>
      </c>
      <c r="M32" s="27">
        <f>Prod.!AR16</f>
        <v>0</v>
      </c>
      <c r="N32" s="28">
        <f t="shared" si="4"/>
        <v>437</v>
      </c>
      <c r="O32" s="31">
        <f>N32*3*0.198005</f>
        <v>259.58455499999997</v>
      </c>
      <c r="P32" s="28">
        <f>Q32/3/0.198005</f>
        <v>437.3408078920566</v>
      </c>
      <c r="Q32" s="31">
        <f>(Q14+K32+M32)-(G32+I32)</f>
        <v>259.78699999999998</v>
      </c>
      <c r="R32" s="28">
        <f t="shared" si="6"/>
        <v>-0.34080789205660267</v>
      </c>
      <c r="S32" s="32">
        <f t="shared" si="7"/>
        <v>-0.20244500000001153</v>
      </c>
      <c r="U32" s="33">
        <v>837</v>
      </c>
      <c r="V32" s="19">
        <f t="shared" si="8"/>
        <v>399.6591921079434</v>
      </c>
      <c r="W32" s="16">
        <f>U32*3*0.198005</f>
        <v>497.19055499999996</v>
      </c>
    </row>
    <row r="33" spans="1:23" ht="14.25" customHeight="1">
      <c r="A33" s="34"/>
      <c r="C33" s="21">
        <f>SUM(C22:C32)</f>
        <v>0</v>
      </c>
      <c r="E33" s="21">
        <f>SUM(E22:E32)</f>
        <v>0</v>
      </c>
      <c r="G33" s="21">
        <f>SUM(G22:G32)</f>
        <v>0</v>
      </c>
      <c r="H33" s="21"/>
      <c r="I33" s="21">
        <f>SUM(I22:I32)</f>
        <v>0</v>
      </c>
      <c r="K33" s="21">
        <f>SUM(K22:K32)</f>
        <v>0</v>
      </c>
      <c r="M33" s="21">
        <f>SUM(M22:M32)</f>
        <v>0</v>
      </c>
      <c r="O33" s="21">
        <f>SUM(O22:O32)</f>
        <v>674.80785500000002</v>
      </c>
      <c r="Q33" s="21">
        <f>SUM(Q22:Q32)</f>
        <v>662.85400000000004</v>
      </c>
      <c r="S33" s="36">
        <f>SUM(S22:S32)</f>
        <v>11.953854999999983</v>
      </c>
    </row>
    <row r="34" spans="1:23" ht="14.25" customHeight="1">
      <c r="A34" s="34"/>
      <c r="S34" s="37"/>
      <c r="T34" s="21"/>
      <c r="U34" s="21"/>
      <c r="V34" s="24"/>
    </row>
    <row r="35" spans="1:23" ht="14.25" customHeight="1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40"/>
      <c r="T35" s="21"/>
      <c r="U35" s="21"/>
    </row>
    <row r="36" spans="1:23" ht="15" customHeight="1" thickBot="1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3"/>
      <c r="U36" s="21"/>
      <c r="V36" s="21"/>
    </row>
    <row r="37" spans="1:23" ht="15.75" customHeight="1">
      <c r="A37" s="1241"/>
      <c r="B37" s="1241"/>
      <c r="C37" s="1241"/>
      <c r="D37" s="1241"/>
      <c r="E37" s="1241"/>
      <c r="F37" s="1241"/>
      <c r="G37" s="1241"/>
      <c r="H37" s="1241"/>
      <c r="I37" s="1241"/>
      <c r="J37" s="1241"/>
      <c r="K37" s="1241"/>
      <c r="L37" s="1241"/>
      <c r="M37" s="1241"/>
      <c r="N37" s="1241"/>
      <c r="O37" s="1241"/>
      <c r="P37" s="1241"/>
      <c r="Q37" s="1241"/>
      <c r="R37" s="1241"/>
      <c r="S37" s="1241"/>
      <c r="U37" s="1"/>
      <c r="V37" s="1"/>
    </row>
    <row r="38" spans="1:23" ht="15" customHeight="1">
      <c r="A38" s="1242"/>
      <c r="B38" s="1242"/>
      <c r="C38" s="1242"/>
      <c r="D38" s="1242"/>
      <c r="E38" s="1242"/>
      <c r="F38" s="1242"/>
      <c r="G38" s="1242"/>
      <c r="H38" s="1242"/>
      <c r="I38" s="1242"/>
      <c r="J38" s="1242"/>
      <c r="K38" s="1242"/>
      <c r="L38" s="1242"/>
      <c r="M38" s="1242"/>
      <c r="N38" s="1243"/>
      <c r="O38" s="1243"/>
      <c r="P38" s="1243"/>
      <c r="Q38" s="1243"/>
      <c r="R38" s="1242"/>
      <c r="S38" s="1242"/>
      <c r="U38" s="1"/>
      <c r="V38" s="1"/>
    </row>
    <row r="39" spans="1:23" ht="36" customHeight="1">
      <c r="A39" s="1242"/>
      <c r="B39" s="985"/>
      <c r="C39" s="985"/>
      <c r="D39" s="985"/>
      <c r="E39" s="985"/>
      <c r="F39" s="985"/>
      <c r="G39" s="985"/>
      <c r="H39" s="985"/>
      <c r="I39" s="985"/>
      <c r="J39" s="985"/>
      <c r="K39" s="985"/>
      <c r="L39" s="985"/>
      <c r="M39" s="985"/>
      <c r="N39" s="985"/>
      <c r="O39" s="985"/>
      <c r="P39" s="985"/>
      <c r="Q39" s="985"/>
      <c r="R39" s="985"/>
      <c r="S39" s="986"/>
      <c r="U39" s="1237"/>
      <c r="V39" s="1237"/>
    </row>
    <row r="40" spans="1:23" ht="15" customHeight="1">
      <c r="A40" s="990"/>
      <c r="B40" s="24"/>
      <c r="C40" s="21"/>
      <c r="D40" s="1"/>
      <c r="E40" s="21"/>
      <c r="F40" s="1"/>
      <c r="G40" s="21"/>
      <c r="H40" s="24"/>
      <c r="I40" s="991"/>
      <c r="J40" s="24"/>
      <c r="K40" s="21"/>
      <c r="L40" s="992"/>
      <c r="M40" s="21"/>
      <c r="N40" s="24"/>
      <c r="O40" s="21"/>
      <c r="P40" s="24"/>
      <c r="Q40" s="21"/>
      <c r="R40" s="24"/>
      <c r="S40" s="21"/>
      <c r="T40" s="18"/>
      <c r="U40" s="44"/>
      <c r="V40" s="19"/>
      <c r="W40" s="21"/>
    </row>
    <row r="41" spans="1:23" ht="15" customHeight="1">
      <c r="A41" s="990"/>
      <c r="B41" s="24"/>
      <c r="C41" s="21"/>
      <c r="E41" s="21"/>
      <c r="F41" s="1"/>
      <c r="G41" s="21"/>
      <c r="H41" s="24"/>
      <c r="I41" s="21"/>
      <c r="J41" s="24"/>
      <c r="K41" s="21"/>
      <c r="L41" s="992"/>
      <c r="M41" s="21"/>
      <c r="N41" s="24"/>
      <c r="O41" s="21"/>
      <c r="P41" s="24"/>
      <c r="Q41" s="21"/>
      <c r="R41" s="24"/>
      <c r="S41" s="21"/>
      <c r="T41" s="45"/>
      <c r="V41" s="19"/>
      <c r="W41" s="21"/>
    </row>
    <row r="42" spans="1:23" ht="15" customHeight="1">
      <c r="B42" s="24"/>
      <c r="C42" s="21"/>
      <c r="D42" s="24"/>
      <c r="E42" s="21"/>
      <c r="F42" s="24"/>
      <c r="G42" s="21"/>
      <c r="H42" s="24"/>
      <c r="I42" s="991"/>
      <c r="J42" s="24"/>
      <c r="K42" s="21"/>
      <c r="L42" s="24"/>
      <c r="M42" s="21"/>
      <c r="N42" s="24"/>
      <c r="O42" s="21"/>
      <c r="P42" s="24"/>
      <c r="Q42" s="21"/>
      <c r="R42" s="24"/>
      <c r="S42" s="21"/>
      <c r="U42" s="19"/>
      <c r="V42" s="19"/>
      <c r="W42" s="21"/>
    </row>
    <row r="43" spans="1:23" ht="15" customHeight="1">
      <c r="B43" s="24"/>
      <c r="C43" s="21"/>
      <c r="D43" s="24"/>
      <c r="E43" s="21"/>
      <c r="F43" s="24"/>
      <c r="G43" s="21"/>
      <c r="H43" s="24"/>
      <c r="I43" s="991"/>
      <c r="J43" s="24"/>
      <c r="K43" s="21"/>
      <c r="L43" s="24"/>
      <c r="M43" s="21"/>
      <c r="N43" s="24"/>
      <c r="O43" s="21"/>
      <c r="P43" s="24"/>
      <c r="Q43" s="21"/>
      <c r="R43" s="24"/>
      <c r="S43" s="21"/>
      <c r="U43" s="19"/>
      <c r="V43" s="19"/>
      <c r="W43" s="21"/>
    </row>
    <row r="44" spans="1:23" ht="15" customHeight="1">
      <c r="B44" s="24"/>
      <c r="C44" s="21"/>
      <c r="D44" s="24"/>
      <c r="E44" s="21"/>
      <c r="F44" s="24"/>
      <c r="G44" s="21"/>
      <c r="H44" s="24"/>
      <c r="I44" s="991"/>
      <c r="J44" s="24"/>
      <c r="K44" s="21"/>
      <c r="L44" s="24"/>
      <c r="M44" s="21"/>
      <c r="N44" s="24"/>
      <c r="O44" s="21"/>
      <c r="P44" s="24"/>
      <c r="Q44" s="21"/>
      <c r="R44" s="24"/>
      <c r="S44" s="21"/>
      <c r="U44" s="19"/>
      <c r="V44" s="19"/>
      <c r="W44" s="21"/>
    </row>
    <row r="45" spans="1:23" ht="15" customHeight="1">
      <c r="B45" s="24"/>
      <c r="C45" s="21"/>
      <c r="D45" s="24"/>
      <c r="E45" s="21"/>
      <c r="F45" s="24"/>
      <c r="G45" s="21"/>
      <c r="H45" s="24"/>
      <c r="I45" s="991"/>
      <c r="J45" s="24"/>
      <c r="K45" s="21"/>
      <c r="L45" s="24"/>
      <c r="M45" s="21"/>
      <c r="N45" s="24"/>
      <c r="O45" s="21"/>
      <c r="P45" s="24"/>
      <c r="Q45" s="21"/>
      <c r="R45" s="24"/>
      <c r="S45" s="21"/>
      <c r="U45" s="19"/>
      <c r="V45" s="19"/>
      <c r="W45" s="21"/>
    </row>
    <row r="46" spans="1:23" ht="15" customHeight="1">
      <c r="B46" s="24"/>
      <c r="C46" s="21"/>
      <c r="D46" s="24"/>
      <c r="E46" s="21"/>
      <c r="F46" s="24"/>
      <c r="G46" s="21"/>
      <c r="H46" s="24"/>
      <c r="I46" s="991"/>
      <c r="J46" s="24"/>
      <c r="K46" s="21"/>
      <c r="L46" s="24"/>
      <c r="M46" s="21"/>
      <c r="N46" s="24"/>
      <c r="O46" s="21"/>
      <c r="P46" s="24"/>
      <c r="Q46" s="21"/>
      <c r="R46" s="24"/>
      <c r="S46" s="21"/>
      <c r="U46" s="19"/>
      <c r="V46" s="19"/>
      <c r="W46" s="21"/>
    </row>
    <row r="47" spans="1:23" ht="15" customHeight="1">
      <c r="B47" s="24"/>
      <c r="C47" s="21"/>
      <c r="D47" s="24"/>
      <c r="E47" s="21"/>
      <c r="F47" s="24"/>
      <c r="G47" s="21"/>
      <c r="H47" s="24"/>
      <c r="I47" s="991"/>
      <c r="J47" s="24"/>
      <c r="K47" s="21"/>
      <c r="L47" s="24"/>
      <c r="M47" s="21"/>
      <c r="N47" s="24"/>
      <c r="O47" s="21"/>
      <c r="P47" s="24"/>
      <c r="Q47" s="21"/>
      <c r="R47" s="24"/>
      <c r="S47" s="21"/>
      <c r="U47" s="19"/>
      <c r="V47" s="19"/>
      <c r="W47" s="21"/>
    </row>
    <row r="48" spans="1:23" ht="15" customHeight="1">
      <c r="B48" s="24"/>
      <c r="C48" s="21"/>
      <c r="D48" s="24"/>
      <c r="E48" s="21"/>
      <c r="F48" s="24"/>
      <c r="G48" s="21"/>
      <c r="H48" s="24"/>
      <c r="I48" s="991"/>
      <c r="J48" s="24"/>
      <c r="K48" s="21"/>
      <c r="L48" s="24"/>
      <c r="M48" s="21"/>
      <c r="N48" s="24"/>
      <c r="O48" s="21"/>
      <c r="P48" s="24"/>
      <c r="Q48" s="21"/>
      <c r="R48" s="24"/>
      <c r="S48" s="21"/>
      <c r="U48" s="19"/>
      <c r="V48" s="19"/>
      <c r="W48" s="21"/>
    </row>
    <row r="49" spans="1:23" ht="15" customHeight="1">
      <c r="B49" s="24"/>
      <c r="C49" s="21"/>
      <c r="D49" s="24"/>
      <c r="E49" s="21"/>
      <c r="F49" s="24"/>
      <c r="G49" s="21"/>
      <c r="H49" s="24"/>
      <c r="I49" s="991"/>
      <c r="J49" s="24"/>
      <c r="K49" s="21"/>
      <c r="L49" s="24"/>
      <c r="M49" s="21"/>
      <c r="N49" s="24"/>
      <c r="O49" s="21"/>
      <c r="P49" s="24"/>
      <c r="Q49" s="21"/>
      <c r="R49" s="24"/>
      <c r="S49" s="21"/>
      <c r="U49" s="19"/>
      <c r="V49" s="19"/>
      <c r="W49" s="21"/>
    </row>
    <row r="50" spans="1:23" ht="15.75" customHeight="1">
      <c r="B50" s="24"/>
      <c r="C50" s="21"/>
      <c r="D50" s="24"/>
      <c r="E50" s="21"/>
      <c r="F50" s="24"/>
      <c r="G50" s="21"/>
      <c r="H50" s="24"/>
      <c r="I50" s="991"/>
      <c r="J50" s="24"/>
      <c r="K50" s="21"/>
      <c r="L50" s="24"/>
      <c r="M50" s="21"/>
      <c r="N50" s="24"/>
      <c r="O50" s="21"/>
      <c r="P50" s="24"/>
      <c r="Q50" s="21"/>
      <c r="R50" s="24"/>
      <c r="S50" s="21"/>
      <c r="U50" s="33"/>
      <c r="V50" s="19"/>
      <c r="W50" s="21"/>
    </row>
    <row r="51" spans="1:23" ht="14.25" customHeight="1">
      <c r="C51" s="21"/>
      <c r="E51" s="21"/>
      <c r="G51" s="21"/>
      <c r="H51" s="21"/>
      <c r="I51" s="21"/>
      <c r="K51" s="21"/>
      <c r="M51" s="21"/>
      <c r="O51" s="21"/>
      <c r="Q51" s="21"/>
      <c r="S51" s="21"/>
    </row>
    <row r="52" spans="1:23" ht="14.25" customHeight="1">
      <c r="T52" s="21"/>
      <c r="U52" s="21"/>
      <c r="V52" s="24"/>
    </row>
    <row r="53" spans="1:23" ht="14.25" customHeight="1">
      <c r="T53" s="21"/>
      <c r="U53" s="21"/>
    </row>
    <row r="54" spans="1:23" ht="15" customHeight="1">
      <c r="U54" s="21"/>
      <c r="V54" s="21"/>
    </row>
    <row r="55" spans="1:23" ht="15.75" customHeight="1">
      <c r="A55" s="1241"/>
      <c r="B55" s="1241"/>
      <c r="C55" s="1241"/>
      <c r="D55" s="1241"/>
      <c r="E55" s="1241"/>
      <c r="F55" s="1241"/>
      <c r="G55" s="1241"/>
      <c r="H55" s="1241"/>
      <c r="I55" s="1241"/>
      <c r="J55" s="1241"/>
      <c r="K55" s="1241"/>
      <c r="L55" s="1241"/>
      <c r="M55" s="1241"/>
      <c r="N55" s="1241"/>
      <c r="O55" s="1241"/>
      <c r="P55" s="1241"/>
      <c r="Q55" s="1241"/>
      <c r="R55" s="1241"/>
      <c r="S55" s="1241"/>
      <c r="U55" s="1"/>
      <c r="V55" s="1"/>
    </row>
    <row r="56" spans="1:23" ht="15" customHeight="1">
      <c r="A56" s="1242"/>
      <c r="B56" s="1242"/>
      <c r="C56" s="1242"/>
      <c r="D56" s="1242"/>
      <c r="E56" s="1242"/>
      <c r="F56" s="1242"/>
      <c r="G56" s="1242"/>
      <c r="H56" s="1242"/>
      <c r="I56" s="1242"/>
      <c r="J56" s="1242"/>
      <c r="K56" s="1242"/>
      <c r="L56" s="1242"/>
      <c r="M56" s="1242"/>
      <c r="N56" s="1243"/>
      <c r="O56" s="1243"/>
      <c r="P56" s="1243"/>
      <c r="Q56" s="1243"/>
      <c r="R56" s="1242"/>
      <c r="S56" s="1242"/>
      <c r="U56" s="1"/>
      <c r="V56" s="1"/>
    </row>
    <row r="57" spans="1:23" ht="36" customHeight="1">
      <c r="A57" s="1242"/>
      <c r="B57" s="985"/>
      <c r="C57" s="985"/>
      <c r="D57" s="985"/>
      <c r="E57" s="985"/>
      <c r="F57" s="985"/>
      <c r="G57" s="985"/>
      <c r="H57" s="985"/>
      <c r="I57" s="985"/>
      <c r="J57" s="985"/>
      <c r="K57" s="985"/>
      <c r="L57" s="985"/>
      <c r="M57" s="985"/>
      <c r="N57" s="985"/>
      <c r="O57" s="985"/>
      <c r="P57" s="985"/>
      <c r="Q57" s="985"/>
      <c r="R57" s="985"/>
      <c r="S57" s="986"/>
      <c r="U57" s="1237"/>
      <c r="V57" s="1237"/>
    </row>
    <row r="58" spans="1:23" ht="15" customHeight="1">
      <c r="A58" s="990"/>
      <c r="B58" s="24"/>
      <c r="C58" s="21"/>
      <c r="D58" s="1"/>
      <c r="E58" s="21"/>
      <c r="F58" s="1"/>
      <c r="G58" s="21"/>
      <c r="H58" s="24"/>
      <c r="I58" s="991"/>
      <c r="J58" s="24"/>
      <c r="K58" s="21"/>
      <c r="L58" s="992"/>
      <c r="M58" s="21"/>
      <c r="N58" s="24"/>
      <c r="O58" s="21"/>
      <c r="P58" s="24"/>
      <c r="Q58" s="21"/>
      <c r="R58" s="24"/>
      <c r="S58" s="21"/>
      <c r="T58" s="18"/>
      <c r="U58" s="44"/>
      <c r="V58" s="19"/>
      <c r="W58" s="21"/>
    </row>
    <row r="59" spans="1:23" ht="15" customHeight="1">
      <c r="A59" s="990"/>
      <c r="B59" s="24"/>
      <c r="C59" s="21"/>
      <c r="E59" s="21"/>
      <c r="F59" s="1"/>
      <c r="G59" s="21"/>
      <c r="H59" s="24"/>
      <c r="I59" s="21"/>
      <c r="J59" s="24"/>
      <c r="K59" s="21"/>
      <c r="L59" s="992"/>
      <c r="M59" s="21"/>
      <c r="N59" s="24"/>
      <c r="O59" s="21"/>
      <c r="P59" s="24"/>
      <c r="Q59" s="21"/>
      <c r="R59" s="24"/>
      <c r="S59" s="21"/>
      <c r="T59" s="45"/>
      <c r="V59" s="19"/>
      <c r="W59" s="21"/>
    </row>
    <row r="60" spans="1:23" ht="15" customHeight="1">
      <c r="B60" s="24"/>
      <c r="C60" s="21"/>
      <c r="D60" s="24"/>
      <c r="E60" s="21"/>
      <c r="F60" s="24"/>
      <c r="G60" s="21"/>
      <c r="H60" s="24"/>
      <c r="I60" s="991"/>
      <c r="J60" s="24"/>
      <c r="K60" s="21"/>
      <c r="L60" s="24"/>
      <c r="M60" s="21"/>
      <c r="N60" s="24"/>
      <c r="O60" s="21"/>
      <c r="P60" s="24"/>
      <c r="Q60" s="21"/>
      <c r="R60" s="24"/>
      <c r="S60" s="21"/>
      <c r="U60" s="19"/>
      <c r="V60" s="19"/>
      <c r="W60" s="21"/>
    </row>
    <row r="61" spans="1:23" ht="15" customHeight="1">
      <c r="B61" s="24"/>
      <c r="C61" s="21"/>
      <c r="D61" s="24"/>
      <c r="E61" s="21"/>
      <c r="F61" s="24"/>
      <c r="G61" s="21"/>
      <c r="H61" s="24"/>
      <c r="I61" s="991"/>
      <c r="J61" s="24"/>
      <c r="K61" s="21"/>
      <c r="L61" s="24"/>
      <c r="M61" s="21"/>
      <c r="N61" s="24"/>
      <c r="O61" s="21"/>
      <c r="P61" s="24"/>
      <c r="Q61" s="21"/>
      <c r="R61" s="24"/>
      <c r="S61" s="21"/>
      <c r="U61" s="19"/>
      <c r="V61" s="19"/>
      <c r="W61" s="21"/>
    </row>
    <row r="62" spans="1:23" ht="15" customHeight="1">
      <c r="B62" s="24"/>
      <c r="C62" s="21"/>
      <c r="D62" s="24"/>
      <c r="E62" s="21"/>
      <c r="F62" s="24"/>
      <c r="G62" s="21"/>
      <c r="H62" s="24"/>
      <c r="I62" s="991"/>
      <c r="J62" s="24"/>
      <c r="K62" s="21"/>
      <c r="L62" s="24"/>
      <c r="M62" s="21"/>
      <c r="N62" s="24"/>
      <c r="O62" s="21"/>
      <c r="P62" s="24"/>
      <c r="Q62" s="21"/>
      <c r="R62" s="24"/>
      <c r="S62" s="21"/>
      <c r="U62" s="19"/>
      <c r="V62" s="19"/>
      <c r="W62" s="21"/>
    </row>
    <row r="63" spans="1:23" ht="15" customHeight="1">
      <c r="B63" s="24"/>
      <c r="C63" s="21"/>
      <c r="D63" s="24"/>
      <c r="E63" s="21"/>
      <c r="F63" s="24"/>
      <c r="G63" s="21"/>
      <c r="H63" s="24"/>
      <c r="I63" s="991"/>
      <c r="J63" s="24"/>
      <c r="K63" s="21"/>
      <c r="L63" s="24"/>
      <c r="M63" s="21"/>
      <c r="N63" s="24"/>
      <c r="O63" s="21"/>
      <c r="P63" s="24"/>
      <c r="Q63" s="21"/>
      <c r="R63" s="24"/>
      <c r="S63" s="21"/>
      <c r="U63" s="19"/>
      <c r="V63" s="19"/>
      <c r="W63" s="21"/>
    </row>
    <row r="64" spans="1:23" ht="15" customHeight="1">
      <c r="B64" s="24"/>
      <c r="C64" s="21"/>
      <c r="D64" s="24"/>
      <c r="E64" s="21"/>
      <c r="F64" s="24"/>
      <c r="G64" s="21"/>
      <c r="H64" s="24"/>
      <c r="I64" s="991"/>
      <c r="J64" s="24"/>
      <c r="K64" s="21"/>
      <c r="L64" s="24"/>
      <c r="M64" s="21"/>
      <c r="N64" s="24"/>
      <c r="O64" s="21"/>
      <c r="P64" s="24"/>
      <c r="Q64" s="21"/>
      <c r="R64" s="24"/>
      <c r="S64" s="21"/>
      <c r="U64" s="19"/>
      <c r="V64" s="19"/>
      <c r="W64" s="21"/>
    </row>
    <row r="65" spans="1:23" ht="15" customHeight="1">
      <c r="B65" s="24"/>
      <c r="C65" s="21"/>
      <c r="D65" s="24"/>
      <c r="E65" s="21"/>
      <c r="F65" s="24"/>
      <c r="G65" s="21"/>
      <c r="H65" s="24"/>
      <c r="I65" s="991"/>
      <c r="J65" s="24"/>
      <c r="K65" s="21"/>
      <c r="L65" s="24"/>
      <c r="M65" s="21"/>
      <c r="N65" s="24"/>
      <c r="O65" s="21"/>
      <c r="P65" s="24"/>
      <c r="Q65" s="21"/>
      <c r="R65" s="24"/>
      <c r="S65" s="21"/>
      <c r="U65" s="19"/>
      <c r="V65" s="19"/>
      <c r="W65" s="21"/>
    </row>
    <row r="66" spans="1:23" ht="15" customHeight="1">
      <c r="B66" s="24"/>
      <c r="C66" s="21"/>
      <c r="D66" s="24"/>
      <c r="E66" s="21"/>
      <c r="F66" s="24"/>
      <c r="G66" s="21"/>
      <c r="H66" s="24"/>
      <c r="I66" s="991"/>
      <c r="J66" s="24"/>
      <c r="K66" s="21"/>
      <c r="L66" s="24"/>
      <c r="M66" s="21"/>
      <c r="N66" s="24"/>
      <c r="O66" s="21"/>
      <c r="P66" s="24"/>
      <c r="Q66" s="21"/>
      <c r="R66" s="24"/>
      <c r="S66" s="21"/>
      <c r="U66" s="19"/>
      <c r="V66" s="19"/>
      <c r="W66" s="21"/>
    </row>
    <row r="67" spans="1:23" ht="15" customHeight="1">
      <c r="B67" s="24"/>
      <c r="C67" s="21"/>
      <c r="D67" s="24"/>
      <c r="E67" s="21"/>
      <c r="F67" s="24"/>
      <c r="G67" s="21"/>
      <c r="H67" s="24"/>
      <c r="I67" s="991"/>
      <c r="J67" s="24"/>
      <c r="K67" s="21"/>
      <c r="L67" s="24"/>
      <c r="M67" s="21"/>
      <c r="N67" s="24"/>
      <c r="O67" s="21"/>
      <c r="P67" s="24"/>
      <c r="Q67" s="21"/>
      <c r="R67" s="24"/>
      <c r="S67" s="21"/>
      <c r="U67" s="19"/>
      <c r="V67" s="19"/>
      <c r="W67" s="21"/>
    </row>
    <row r="68" spans="1:23" ht="15.75" customHeight="1">
      <c r="B68" s="24"/>
      <c r="C68" s="21"/>
      <c r="D68" s="24"/>
      <c r="E68" s="21"/>
      <c r="F68" s="24"/>
      <c r="G68" s="21"/>
      <c r="H68" s="24"/>
      <c r="I68" s="991"/>
      <c r="J68" s="24"/>
      <c r="K68" s="21"/>
      <c r="L68" s="24"/>
      <c r="M68" s="21"/>
      <c r="N68" s="24"/>
      <c r="O68" s="21"/>
      <c r="P68" s="24"/>
      <c r="Q68" s="21"/>
      <c r="R68" s="24"/>
      <c r="S68" s="21"/>
      <c r="U68" s="33"/>
      <c r="V68" s="19"/>
      <c r="W68" s="21"/>
    </row>
    <row r="69" spans="1:23" ht="14.25" customHeight="1">
      <c r="C69" s="21"/>
      <c r="E69" s="21"/>
      <c r="G69" s="21"/>
      <c r="H69" s="21"/>
      <c r="I69" s="21"/>
      <c r="K69" s="21"/>
      <c r="M69" s="21"/>
      <c r="O69" s="21"/>
      <c r="Q69" s="21"/>
      <c r="S69" s="21"/>
    </row>
    <row r="70" spans="1:23" ht="14.25" customHeight="1">
      <c r="T70" s="21"/>
      <c r="U70" s="21"/>
      <c r="V70" s="24"/>
    </row>
    <row r="71" spans="1:23" ht="14.25" customHeight="1">
      <c r="T71" s="21"/>
      <c r="U71" s="21"/>
    </row>
    <row r="72" spans="1:23" ht="15" customHeight="1">
      <c r="U72" s="21"/>
      <c r="V72" s="21"/>
    </row>
    <row r="73" spans="1:23" ht="15.75" customHeight="1">
      <c r="A73" s="1238"/>
      <c r="B73" s="1238"/>
      <c r="C73" s="1238"/>
      <c r="D73" s="1238"/>
      <c r="E73" s="1238"/>
      <c r="F73" s="1238"/>
      <c r="G73" s="1238"/>
      <c r="H73" s="1238"/>
      <c r="I73" s="1238"/>
      <c r="J73" s="1238"/>
      <c r="K73" s="1238"/>
      <c r="L73" s="1238"/>
      <c r="M73" s="1238"/>
      <c r="N73" s="1238"/>
      <c r="O73" s="1238"/>
      <c r="P73" s="1238"/>
      <c r="Q73" s="1238"/>
      <c r="R73" s="1238"/>
      <c r="S73" s="1238"/>
      <c r="U73" s="1"/>
      <c r="V73" s="1"/>
    </row>
    <row r="74" spans="1:23" ht="15" customHeight="1">
      <c r="A74" s="1239"/>
      <c r="B74" s="1239"/>
      <c r="C74" s="1239"/>
      <c r="D74" s="1239"/>
      <c r="E74" s="1239"/>
      <c r="F74" s="1239"/>
      <c r="G74" s="1239"/>
      <c r="H74" s="1239"/>
      <c r="I74" s="1239"/>
      <c r="J74" s="1239"/>
      <c r="K74" s="1239"/>
      <c r="L74" s="1239"/>
      <c r="M74" s="1239"/>
      <c r="N74" s="1240"/>
      <c r="O74" s="1240"/>
      <c r="P74" s="1240"/>
      <c r="Q74" s="1240"/>
      <c r="R74" s="1239"/>
      <c r="S74" s="1239"/>
      <c r="U74" s="1"/>
      <c r="V74" s="1"/>
    </row>
    <row r="75" spans="1:23" ht="36" customHeight="1">
      <c r="A75" s="1239"/>
      <c r="B75" s="1165"/>
      <c r="C75" s="1165"/>
      <c r="D75" s="1165"/>
      <c r="E75" s="1165"/>
      <c r="F75" s="1165"/>
      <c r="G75" s="1165"/>
      <c r="H75" s="1165"/>
      <c r="I75" s="1165"/>
      <c r="J75" s="1165"/>
      <c r="K75" s="1165"/>
      <c r="L75" s="1165"/>
      <c r="M75" s="1165"/>
      <c r="N75" s="1165"/>
      <c r="O75" s="1165"/>
      <c r="P75" s="1165"/>
      <c r="Q75" s="1165"/>
      <c r="R75" s="1165"/>
      <c r="S75" s="1165"/>
      <c r="U75" s="1237"/>
      <c r="V75" s="1237"/>
    </row>
    <row r="76" spans="1:23" ht="15" customHeight="1">
      <c r="A76" s="1166"/>
      <c r="B76" s="1167"/>
      <c r="C76" s="1168"/>
      <c r="D76" s="1169"/>
      <c r="E76" s="1168"/>
      <c r="F76" s="1169"/>
      <c r="G76" s="1168"/>
      <c r="H76" s="1167"/>
      <c r="I76" s="1170"/>
      <c r="J76" s="1167"/>
      <c r="K76" s="1168"/>
      <c r="L76" s="1171"/>
      <c r="M76" s="1168"/>
      <c r="N76" s="1167"/>
      <c r="O76" s="1168"/>
      <c r="P76" s="1167"/>
      <c r="Q76" s="1168"/>
      <c r="R76" s="1167"/>
      <c r="S76" s="1168"/>
      <c r="T76" s="18"/>
      <c r="U76" s="44"/>
      <c r="V76" s="19"/>
      <c r="W76" s="21"/>
    </row>
    <row r="77" spans="1:23" ht="15" customHeight="1">
      <c r="A77" s="1166"/>
      <c r="B77" s="1167"/>
      <c r="C77" s="1168"/>
      <c r="D77" s="1172"/>
      <c r="E77" s="1168"/>
      <c r="F77" s="1169"/>
      <c r="G77" s="1168"/>
      <c r="H77" s="1167"/>
      <c r="I77" s="1168"/>
      <c r="J77" s="1167"/>
      <c r="K77" s="1168"/>
      <c r="L77" s="1171"/>
      <c r="M77" s="1168"/>
      <c r="N77" s="1167"/>
      <c r="O77" s="1168"/>
      <c r="P77" s="1167"/>
      <c r="Q77" s="1168"/>
      <c r="R77" s="1167"/>
      <c r="S77" s="1168"/>
      <c r="T77" s="45"/>
      <c r="V77" s="19"/>
      <c r="W77" s="21"/>
    </row>
    <row r="78" spans="1:23" ht="15" customHeight="1">
      <c r="A78" s="1172"/>
      <c r="B78" s="1167"/>
      <c r="C78" s="1168"/>
      <c r="D78" s="1167"/>
      <c r="E78" s="1168"/>
      <c r="F78" s="1167"/>
      <c r="G78" s="1168"/>
      <c r="H78" s="1167"/>
      <c r="I78" s="1170"/>
      <c r="J78" s="1167"/>
      <c r="K78" s="1168"/>
      <c r="L78" s="1167"/>
      <c r="M78" s="1168"/>
      <c r="N78" s="1167"/>
      <c r="O78" s="1168"/>
      <c r="P78" s="1167"/>
      <c r="Q78" s="1168"/>
      <c r="R78" s="1167"/>
      <c r="S78" s="1168"/>
      <c r="U78" s="19"/>
      <c r="V78" s="19"/>
      <c r="W78" s="21"/>
    </row>
    <row r="79" spans="1:23" ht="15" customHeight="1">
      <c r="A79" s="1172"/>
      <c r="B79" s="1167"/>
      <c r="C79" s="1168"/>
      <c r="D79" s="1167"/>
      <c r="E79" s="1168"/>
      <c r="F79" s="1167"/>
      <c r="G79" s="1168"/>
      <c r="H79" s="1167"/>
      <c r="I79" s="1170"/>
      <c r="J79" s="1167"/>
      <c r="K79" s="1168"/>
      <c r="L79" s="1167"/>
      <c r="M79" s="1168"/>
      <c r="N79" s="1167"/>
      <c r="O79" s="1168"/>
      <c r="P79" s="1167"/>
      <c r="Q79" s="1168"/>
      <c r="R79" s="1167"/>
      <c r="S79" s="1168"/>
      <c r="U79" s="19"/>
      <c r="V79" s="19"/>
      <c r="W79" s="21"/>
    </row>
    <row r="80" spans="1:23" ht="15" customHeight="1">
      <c r="A80" s="1172"/>
      <c r="B80" s="1167"/>
      <c r="C80" s="1168"/>
      <c r="D80" s="1167"/>
      <c r="E80" s="1168"/>
      <c r="F80" s="1167"/>
      <c r="G80" s="1168"/>
      <c r="H80" s="1167"/>
      <c r="I80" s="1170"/>
      <c r="J80" s="1167"/>
      <c r="K80" s="1168"/>
      <c r="L80" s="1167"/>
      <c r="M80" s="1168"/>
      <c r="N80" s="1167"/>
      <c r="O80" s="1168"/>
      <c r="P80" s="1167"/>
      <c r="Q80" s="1168"/>
      <c r="R80" s="1167"/>
      <c r="S80" s="1168"/>
      <c r="U80" s="19"/>
      <c r="V80" s="19"/>
      <c r="W80" s="21"/>
    </row>
    <row r="81" spans="1:23" ht="15" customHeight="1">
      <c r="A81" s="1172"/>
      <c r="B81" s="1167"/>
      <c r="C81" s="1168"/>
      <c r="D81" s="1167"/>
      <c r="E81" s="1168"/>
      <c r="F81" s="1167"/>
      <c r="G81" s="1168"/>
      <c r="H81" s="1167"/>
      <c r="I81" s="1170"/>
      <c r="J81" s="1167"/>
      <c r="K81" s="1168"/>
      <c r="L81" s="1167"/>
      <c r="M81" s="1168"/>
      <c r="N81" s="1167"/>
      <c r="O81" s="1168"/>
      <c r="P81" s="1167"/>
      <c r="Q81" s="1168"/>
      <c r="R81" s="1167"/>
      <c r="S81" s="1168"/>
      <c r="U81" s="19"/>
      <c r="V81" s="19"/>
      <c r="W81" s="21"/>
    </row>
    <row r="82" spans="1:23" ht="15" customHeight="1">
      <c r="A82" s="1172"/>
      <c r="B82" s="1167"/>
      <c r="C82" s="1168"/>
      <c r="D82" s="1167"/>
      <c r="E82" s="1168"/>
      <c r="F82" s="1167"/>
      <c r="G82" s="1168"/>
      <c r="H82" s="1167"/>
      <c r="I82" s="1170"/>
      <c r="J82" s="1167"/>
      <c r="K82" s="1168"/>
      <c r="L82" s="1167"/>
      <c r="M82" s="1168"/>
      <c r="N82" s="1167"/>
      <c r="O82" s="1168"/>
      <c r="P82" s="1167"/>
      <c r="Q82" s="1168"/>
      <c r="R82" s="1167"/>
      <c r="S82" s="1168"/>
      <c r="U82" s="19"/>
      <c r="V82" s="19"/>
      <c r="W82" s="21"/>
    </row>
    <row r="83" spans="1:23" ht="15" customHeight="1">
      <c r="A83" s="1172"/>
      <c r="B83" s="1167"/>
      <c r="C83" s="1168"/>
      <c r="D83" s="1167"/>
      <c r="E83" s="1168"/>
      <c r="F83" s="1167"/>
      <c r="G83" s="1168"/>
      <c r="H83" s="1167"/>
      <c r="I83" s="1170"/>
      <c r="J83" s="1167"/>
      <c r="K83" s="1168"/>
      <c r="L83" s="1167"/>
      <c r="M83" s="1168"/>
      <c r="N83" s="1167"/>
      <c r="O83" s="1168"/>
      <c r="P83" s="1167"/>
      <c r="Q83" s="1168"/>
      <c r="R83" s="1167"/>
      <c r="S83" s="1168"/>
      <c r="U83" s="19"/>
      <c r="V83" s="19"/>
      <c r="W83" s="21"/>
    </row>
    <row r="84" spans="1:23" ht="15" customHeight="1">
      <c r="A84" s="1172"/>
      <c r="B84" s="1167"/>
      <c r="C84" s="1168"/>
      <c r="D84" s="1167"/>
      <c r="E84" s="1168"/>
      <c r="F84" s="1167"/>
      <c r="G84" s="1168"/>
      <c r="H84" s="1167"/>
      <c r="I84" s="1170"/>
      <c r="J84" s="1167"/>
      <c r="K84" s="1168"/>
      <c r="L84" s="1167"/>
      <c r="M84" s="1168"/>
      <c r="N84" s="1167"/>
      <c r="O84" s="1168"/>
      <c r="P84" s="1167"/>
      <c r="Q84" s="1168"/>
      <c r="R84" s="1167"/>
      <c r="S84" s="1168"/>
      <c r="U84" s="19"/>
      <c r="V84" s="19"/>
      <c r="W84" s="21"/>
    </row>
    <row r="85" spans="1:23" ht="15" customHeight="1">
      <c r="A85" s="1172"/>
      <c r="B85" s="1167"/>
      <c r="C85" s="1168"/>
      <c r="D85" s="1167"/>
      <c r="E85" s="1168"/>
      <c r="F85" s="1167"/>
      <c r="G85" s="1168"/>
      <c r="H85" s="1167"/>
      <c r="I85" s="1170"/>
      <c r="J85" s="1167"/>
      <c r="K85" s="1168"/>
      <c r="L85" s="1167"/>
      <c r="M85" s="1168"/>
      <c r="N85" s="1167"/>
      <c r="O85" s="1168"/>
      <c r="P85" s="1167"/>
      <c r="Q85" s="1168"/>
      <c r="R85" s="1167"/>
      <c r="S85" s="1168"/>
      <c r="U85" s="19"/>
      <c r="V85" s="19"/>
      <c r="W85" s="21"/>
    </row>
    <row r="86" spans="1:23" ht="15.75" customHeight="1">
      <c r="A86" s="1172"/>
      <c r="B86" s="1167"/>
      <c r="C86" s="1168"/>
      <c r="D86" s="1167"/>
      <c r="E86" s="1168"/>
      <c r="F86" s="1167"/>
      <c r="G86" s="1168"/>
      <c r="H86" s="1167"/>
      <c r="I86" s="1170"/>
      <c r="J86" s="1167"/>
      <c r="K86" s="1168"/>
      <c r="L86" s="1167"/>
      <c r="M86" s="1168"/>
      <c r="N86" s="1167"/>
      <c r="O86" s="1168"/>
      <c r="P86" s="1167"/>
      <c r="Q86" s="1168"/>
      <c r="R86" s="1167"/>
      <c r="S86" s="1168"/>
      <c r="U86" s="33"/>
      <c r="V86" s="19"/>
      <c r="W86" s="21"/>
    </row>
    <row r="87" spans="1:23" ht="14.25" customHeight="1">
      <c r="A87" s="1172"/>
      <c r="B87" s="1172"/>
      <c r="C87" s="1168"/>
      <c r="D87" s="1172"/>
      <c r="E87" s="1168"/>
      <c r="F87" s="1172"/>
      <c r="G87" s="1168"/>
      <c r="H87" s="1168"/>
      <c r="I87" s="1168"/>
      <c r="J87" s="1172"/>
      <c r="K87" s="1168"/>
      <c r="L87" s="1172"/>
      <c r="M87" s="1168"/>
      <c r="N87" s="1172"/>
      <c r="O87" s="1168"/>
      <c r="P87" s="1172"/>
      <c r="Q87" s="1168"/>
      <c r="R87" s="1172"/>
      <c r="S87" s="1168"/>
    </row>
    <row r="88" spans="1:23" ht="14.25" customHeight="1">
      <c r="A88" s="1172"/>
      <c r="B88" s="1172"/>
      <c r="C88" s="1172"/>
      <c r="D88" s="1172"/>
      <c r="E88" s="1172"/>
      <c r="F88" s="1172"/>
      <c r="G88" s="1172"/>
      <c r="H88" s="1172"/>
      <c r="I88" s="1172"/>
      <c r="J88" s="1172"/>
      <c r="K88" s="1172"/>
      <c r="L88" s="1172"/>
      <c r="M88" s="1172"/>
      <c r="N88" s="1172"/>
      <c r="O88" s="1172"/>
      <c r="P88" s="1172"/>
      <c r="Q88" s="1172"/>
      <c r="R88" s="1172"/>
      <c r="S88" s="1172"/>
      <c r="T88" s="21"/>
      <c r="U88" s="21"/>
      <c r="V88" s="24"/>
    </row>
    <row r="89" spans="1:23" ht="14.25" customHeight="1">
      <c r="A89" s="1172"/>
      <c r="B89" s="1172"/>
      <c r="C89" s="1172"/>
      <c r="D89" s="1172"/>
      <c r="E89" s="1172"/>
      <c r="F89" s="1172"/>
      <c r="G89" s="1172"/>
      <c r="H89" s="1172"/>
      <c r="I89" s="1172"/>
      <c r="J89" s="1172"/>
      <c r="K89" s="1172"/>
      <c r="L89" s="1172"/>
      <c r="M89" s="1172"/>
      <c r="N89" s="1172"/>
      <c r="O89" s="1172"/>
      <c r="P89" s="1172"/>
      <c r="Q89" s="1172"/>
      <c r="R89" s="1172"/>
      <c r="S89" s="1172"/>
      <c r="T89" s="21"/>
      <c r="U89" s="21"/>
    </row>
    <row r="90" spans="1:23" ht="15" customHeight="1">
      <c r="A90" s="1172"/>
      <c r="B90" s="1172"/>
      <c r="C90" s="1172"/>
      <c r="D90" s="1172"/>
      <c r="E90" s="1172"/>
      <c r="F90" s="1172"/>
      <c r="G90" s="1172"/>
      <c r="H90" s="1172"/>
      <c r="I90" s="1172"/>
      <c r="J90" s="1172"/>
      <c r="K90" s="1172"/>
      <c r="L90" s="1172"/>
      <c r="M90" s="1172"/>
      <c r="N90" s="1172"/>
      <c r="O90" s="1172"/>
      <c r="P90" s="1172"/>
      <c r="Q90" s="1172"/>
      <c r="R90" s="1172"/>
      <c r="S90" s="1172"/>
      <c r="U90" s="21"/>
      <c r="V90" s="21"/>
    </row>
    <row r="91" spans="1:23" ht="15.75" customHeight="1">
      <c r="A91" s="989"/>
      <c r="B91" s="989"/>
      <c r="C91" s="989"/>
      <c r="D91" s="989"/>
      <c r="E91" s="989"/>
      <c r="F91" s="989"/>
      <c r="G91" s="989"/>
      <c r="H91" s="989"/>
      <c r="I91" s="989"/>
      <c r="J91" s="989"/>
      <c r="K91" s="989"/>
      <c r="L91" s="989"/>
      <c r="M91" s="989"/>
      <c r="N91" s="989"/>
      <c r="O91" s="989"/>
      <c r="P91" s="989"/>
      <c r="Q91" s="989"/>
      <c r="R91" s="989"/>
      <c r="S91" s="989"/>
      <c r="U91" s="1"/>
      <c r="V91" s="1"/>
    </row>
    <row r="92" spans="1:23" ht="15" customHeight="1">
      <c r="A92" s="987"/>
      <c r="B92" s="987"/>
      <c r="C92" s="987"/>
      <c r="D92" s="987"/>
      <c r="E92" s="987"/>
      <c r="F92" s="987"/>
      <c r="G92" s="987"/>
      <c r="H92" s="987"/>
      <c r="I92" s="987"/>
      <c r="J92" s="987"/>
      <c r="K92" s="987"/>
      <c r="L92" s="987"/>
      <c r="M92" s="987"/>
      <c r="N92" s="420"/>
      <c r="O92" s="420"/>
      <c r="P92" s="420"/>
      <c r="Q92" s="420"/>
      <c r="R92" s="987"/>
      <c r="S92" s="987"/>
      <c r="U92" s="1"/>
      <c r="V92" s="1"/>
    </row>
    <row r="93" spans="1:23" ht="36" customHeight="1">
      <c r="A93" s="987"/>
      <c r="B93" s="985"/>
      <c r="C93" s="985"/>
      <c r="D93" s="985"/>
      <c r="E93" s="985"/>
      <c r="F93" s="985"/>
      <c r="G93" s="985"/>
      <c r="H93" s="985"/>
      <c r="I93" s="985"/>
      <c r="J93" s="985"/>
      <c r="K93" s="985"/>
      <c r="L93" s="985"/>
      <c r="M93" s="985"/>
      <c r="N93" s="985"/>
      <c r="O93" s="985"/>
      <c r="P93" s="985"/>
      <c r="Q93" s="985"/>
      <c r="R93" s="985"/>
      <c r="S93" s="986"/>
      <c r="U93" s="999"/>
      <c r="V93" s="999"/>
    </row>
    <row r="94" spans="1:23" ht="15" customHeight="1">
      <c r="A94" s="990"/>
      <c r="B94" s="24"/>
      <c r="C94" s="21"/>
      <c r="D94" s="1"/>
      <c r="E94" s="21"/>
      <c r="F94" s="1"/>
      <c r="G94" s="21"/>
      <c r="H94" s="24"/>
      <c r="I94" s="991"/>
      <c r="J94" s="24"/>
      <c r="K94" s="21"/>
      <c r="L94" s="992"/>
      <c r="M94" s="21"/>
      <c r="N94" s="24"/>
      <c r="O94" s="21"/>
      <c r="P94" s="24"/>
      <c r="Q94" s="21"/>
      <c r="R94" s="24"/>
      <c r="S94" s="21"/>
      <c r="T94" s="18"/>
      <c r="U94" s="44"/>
      <c r="V94" s="19"/>
      <c r="W94" s="21"/>
    </row>
    <row r="95" spans="1:23" ht="15" customHeight="1">
      <c r="A95" s="990"/>
      <c r="B95" s="24"/>
      <c r="C95" s="21"/>
      <c r="E95" s="21"/>
      <c r="F95" s="1"/>
      <c r="G95" s="21"/>
      <c r="H95" s="24"/>
      <c r="I95" s="21"/>
      <c r="J95" s="24"/>
      <c r="K95" s="21"/>
      <c r="L95" s="992"/>
      <c r="M95" s="21"/>
      <c r="N95" s="24"/>
      <c r="O95" s="21"/>
      <c r="P95" s="24"/>
      <c r="Q95" s="21"/>
      <c r="R95" s="24"/>
      <c r="S95" s="21"/>
      <c r="T95" s="45"/>
      <c r="V95" s="19"/>
      <c r="W95" s="21"/>
    </row>
    <row r="96" spans="1:23" ht="15" customHeight="1">
      <c r="B96" s="24"/>
      <c r="C96" s="21"/>
      <c r="D96" s="24"/>
      <c r="E96" s="21"/>
      <c r="F96" s="24"/>
      <c r="G96" s="21"/>
      <c r="H96" s="24"/>
      <c r="I96" s="991"/>
      <c r="J96" s="24"/>
      <c r="K96" s="21"/>
      <c r="L96" s="24"/>
      <c r="M96" s="21"/>
      <c r="N96" s="24"/>
      <c r="O96" s="21"/>
      <c r="P96" s="24"/>
      <c r="Q96" s="21"/>
      <c r="R96" s="24"/>
      <c r="S96" s="21"/>
      <c r="U96" s="19"/>
      <c r="V96" s="19"/>
      <c r="W96" s="21"/>
    </row>
    <row r="97" spans="1:23" ht="15" customHeight="1">
      <c r="B97" s="24"/>
      <c r="C97" s="21"/>
      <c r="D97" s="24"/>
      <c r="E97" s="21"/>
      <c r="F97" s="24"/>
      <c r="G97" s="21"/>
      <c r="H97" s="24"/>
      <c r="I97" s="991"/>
      <c r="J97" s="24"/>
      <c r="K97" s="21"/>
      <c r="L97" s="24"/>
      <c r="M97" s="21"/>
      <c r="N97" s="24"/>
      <c r="O97" s="21"/>
      <c r="P97" s="24"/>
      <c r="Q97" s="21"/>
      <c r="R97" s="24"/>
      <c r="S97" s="21"/>
      <c r="U97" s="19"/>
      <c r="V97" s="19"/>
      <c r="W97" s="21"/>
    </row>
    <row r="98" spans="1:23" ht="15" customHeight="1">
      <c r="B98" s="24"/>
      <c r="C98" s="21"/>
      <c r="D98" s="24"/>
      <c r="E98" s="21"/>
      <c r="F98" s="24"/>
      <c r="G98" s="21"/>
      <c r="H98" s="24"/>
      <c r="I98" s="991"/>
      <c r="J98" s="24"/>
      <c r="K98" s="21"/>
      <c r="L98" s="24"/>
      <c r="M98" s="21"/>
      <c r="N98" s="24"/>
      <c r="O98" s="21"/>
      <c r="P98" s="24"/>
      <c r="Q98" s="21"/>
      <c r="R98" s="24"/>
      <c r="S98" s="21"/>
      <c r="U98" s="19"/>
      <c r="V98" s="19"/>
      <c r="W98" s="21"/>
    </row>
    <row r="99" spans="1:23" ht="15" customHeight="1">
      <c r="B99" s="24"/>
      <c r="C99" s="21"/>
      <c r="D99" s="24"/>
      <c r="E99" s="21"/>
      <c r="F99" s="24"/>
      <c r="G99" s="21"/>
      <c r="H99" s="24"/>
      <c r="I99" s="991"/>
      <c r="J99" s="24"/>
      <c r="K99" s="21"/>
      <c r="L99" s="24"/>
      <c r="M99" s="21"/>
      <c r="N99" s="24"/>
      <c r="O99" s="21"/>
      <c r="P99" s="24"/>
      <c r="Q99" s="21"/>
      <c r="R99" s="24"/>
      <c r="S99" s="21"/>
      <c r="U99" s="19"/>
      <c r="V99" s="19"/>
      <c r="W99" s="21"/>
    </row>
    <row r="100" spans="1:23" ht="15" customHeight="1">
      <c r="B100" s="24"/>
      <c r="C100" s="21"/>
      <c r="D100" s="24"/>
      <c r="E100" s="21"/>
      <c r="F100" s="24"/>
      <c r="G100" s="21"/>
      <c r="H100" s="24"/>
      <c r="I100" s="991"/>
      <c r="J100" s="24"/>
      <c r="K100" s="21"/>
      <c r="L100" s="24"/>
      <c r="M100" s="21"/>
      <c r="N100" s="24"/>
      <c r="O100" s="21"/>
      <c r="P100" s="24"/>
      <c r="Q100" s="21"/>
      <c r="R100" s="24"/>
      <c r="S100" s="21"/>
      <c r="U100" s="19"/>
      <c r="V100" s="19"/>
      <c r="W100" s="21"/>
    </row>
    <row r="101" spans="1:23" ht="15" customHeight="1">
      <c r="B101" s="24"/>
      <c r="C101" s="21"/>
      <c r="D101" s="24"/>
      <c r="E101" s="21"/>
      <c r="F101" s="24"/>
      <c r="G101" s="21"/>
      <c r="H101" s="24"/>
      <c r="I101" s="991"/>
      <c r="J101" s="24"/>
      <c r="K101" s="21"/>
      <c r="L101" s="24"/>
      <c r="M101" s="21"/>
      <c r="N101" s="24"/>
      <c r="O101" s="21"/>
      <c r="P101" s="24"/>
      <c r="Q101" s="21"/>
      <c r="R101" s="24"/>
      <c r="S101" s="21"/>
      <c r="U101" s="19"/>
      <c r="V101" s="19"/>
      <c r="W101" s="21"/>
    </row>
    <row r="102" spans="1:23" ht="15" customHeight="1">
      <c r="B102" s="24"/>
      <c r="C102" s="21"/>
      <c r="D102" s="24"/>
      <c r="E102" s="21"/>
      <c r="F102" s="24"/>
      <c r="G102" s="21"/>
      <c r="H102" s="24"/>
      <c r="I102" s="991"/>
      <c r="J102" s="24"/>
      <c r="K102" s="21"/>
      <c r="L102" s="24"/>
      <c r="M102" s="21"/>
      <c r="N102" s="24"/>
      <c r="O102" s="21"/>
      <c r="P102" s="24"/>
      <c r="Q102" s="21"/>
      <c r="R102" s="24"/>
      <c r="S102" s="21"/>
      <c r="U102" s="19"/>
      <c r="V102" s="19"/>
      <c r="W102" s="21"/>
    </row>
    <row r="103" spans="1:23" ht="15" customHeight="1">
      <c r="B103" s="24"/>
      <c r="C103" s="21"/>
      <c r="D103" s="24"/>
      <c r="E103" s="21"/>
      <c r="F103" s="24"/>
      <c r="G103" s="21"/>
      <c r="H103" s="24"/>
      <c r="I103" s="991"/>
      <c r="J103" s="24"/>
      <c r="K103" s="21"/>
      <c r="L103" s="24"/>
      <c r="M103" s="21"/>
      <c r="N103" s="24"/>
      <c r="O103" s="21"/>
      <c r="P103" s="24"/>
      <c r="Q103" s="21"/>
      <c r="R103" s="24"/>
      <c r="S103" s="21"/>
      <c r="U103" s="19"/>
      <c r="V103" s="19"/>
      <c r="W103" s="21"/>
    </row>
    <row r="104" spans="1:23" ht="15.75" customHeight="1">
      <c r="B104" s="24"/>
      <c r="C104" s="21"/>
      <c r="D104" s="24"/>
      <c r="E104" s="21"/>
      <c r="F104" s="24"/>
      <c r="G104" s="21"/>
      <c r="H104" s="24"/>
      <c r="I104" s="991"/>
      <c r="J104" s="24"/>
      <c r="K104" s="21"/>
      <c r="L104" s="24"/>
      <c r="M104" s="21"/>
      <c r="N104" s="24"/>
      <c r="O104" s="21"/>
      <c r="P104" s="24"/>
      <c r="Q104" s="21"/>
      <c r="R104" s="24"/>
      <c r="S104" s="21"/>
      <c r="U104" s="33"/>
      <c r="V104" s="19"/>
      <c r="W104" s="21"/>
    </row>
    <row r="105" spans="1:23" ht="14.25" customHeight="1">
      <c r="C105" s="21"/>
      <c r="E105" s="21"/>
      <c r="G105" s="21"/>
      <c r="H105" s="21"/>
      <c r="I105" s="21"/>
      <c r="K105" s="21"/>
      <c r="M105" s="21"/>
      <c r="O105" s="21"/>
      <c r="Q105" s="21"/>
      <c r="S105" s="21"/>
    </row>
    <row r="106" spans="1:23" ht="14.25" customHeight="1">
      <c r="T106" s="21"/>
      <c r="U106" s="21"/>
      <c r="V106" s="24"/>
    </row>
    <row r="107" spans="1:23" ht="14.25" customHeight="1">
      <c r="T107" s="21"/>
      <c r="U107" s="21"/>
    </row>
    <row r="108" spans="1:23" ht="15" customHeight="1">
      <c r="U108" s="21"/>
      <c r="V108" s="21"/>
    </row>
    <row r="109" spans="1:23" ht="15.75" customHeight="1">
      <c r="A109" s="989"/>
      <c r="B109" s="989"/>
      <c r="C109" s="989"/>
      <c r="D109" s="989"/>
      <c r="E109" s="989"/>
      <c r="F109" s="989"/>
      <c r="G109" s="989"/>
      <c r="H109" s="989"/>
      <c r="I109" s="989"/>
      <c r="J109" s="989"/>
      <c r="K109" s="989"/>
      <c r="L109" s="989"/>
      <c r="M109" s="989"/>
      <c r="N109" s="989"/>
      <c r="O109" s="989"/>
      <c r="P109" s="989"/>
      <c r="Q109" s="989"/>
      <c r="R109" s="989"/>
      <c r="S109" s="989"/>
      <c r="U109" s="1"/>
      <c r="V109" s="1"/>
    </row>
    <row r="110" spans="1:23" ht="15" customHeight="1">
      <c r="A110" s="987"/>
      <c r="B110" s="987"/>
      <c r="C110" s="987"/>
      <c r="D110" s="987"/>
      <c r="E110" s="987"/>
      <c r="F110" s="987"/>
      <c r="G110" s="987"/>
      <c r="H110" s="987"/>
      <c r="I110" s="987"/>
      <c r="J110" s="987"/>
      <c r="K110" s="987"/>
      <c r="L110" s="987"/>
      <c r="M110" s="987"/>
      <c r="N110" s="420"/>
      <c r="O110" s="420"/>
      <c r="P110" s="420"/>
      <c r="Q110" s="420"/>
      <c r="R110" s="987"/>
      <c r="S110" s="987"/>
      <c r="U110" s="1"/>
      <c r="V110" s="1"/>
    </row>
    <row r="111" spans="1:23" ht="36" customHeight="1">
      <c r="A111" s="987"/>
      <c r="B111" s="985"/>
      <c r="C111" s="985"/>
      <c r="D111" s="985"/>
      <c r="E111" s="985"/>
      <c r="F111" s="985"/>
      <c r="G111" s="985"/>
      <c r="H111" s="985"/>
      <c r="I111" s="985"/>
      <c r="J111" s="985"/>
      <c r="K111" s="985"/>
      <c r="L111" s="985"/>
      <c r="M111" s="985"/>
      <c r="N111" s="985"/>
      <c r="O111" s="985"/>
      <c r="P111" s="985"/>
      <c r="Q111" s="985"/>
      <c r="R111" s="985"/>
      <c r="S111" s="986"/>
      <c r="U111" s="999"/>
      <c r="V111" s="999"/>
    </row>
    <row r="112" spans="1:23" ht="15" customHeight="1">
      <c r="A112" s="990"/>
      <c r="B112" s="24"/>
      <c r="C112" s="21"/>
      <c r="D112" s="1"/>
      <c r="E112" s="21"/>
      <c r="F112" s="1"/>
      <c r="G112" s="21"/>
      <c r="H112" s="24"/>
      <c r="I112" s="991"/>
      <c r="J112" s="24"/>
      <c r="K112" s="21"/>
      <c r="L112" s="992"/>
      <c r="M112" s="21"/>
      <c r="N112" s="24"/>
      <c r="O112" s="21"/>
      <c r="P112" s="24"/>
      <c r="Q112" s="21"/>
      <c r="R112" s="24"/>
      <c r="S112" s="21"/>
      <c r="T112" s="18"/>
      <c r="U112" s="44"/>
      <c r="V112" s="19"/>
      <c r="W112" s="21"/>
    </row>
    <row r="113" spans="1:23" ht="15" customHeight="1">
      <c r="A113" s="990"/>
      <c r="B113" s="24"/>
      <c r="C113" s="21"/>
      <c r="E113" s="21"/>
      <c r="F113" s="1"/>
      <c r="G113" s="21"/>
      <c r="H113" s="24"/>
      <c r="I113" s="21"/>
      <c r="J113" s="24"/>
      <c r="K113" s="21"/>
      <c r="L113" s="992"/>
      <c r="M113" s="21"/>
      <c r="N113" s="24"/>
      <c r="O113" s="21"/>
      <c r="P113" s="24"/>
      <c r="Q113" s="21"/>
      <c r="R113" s="24"/>
      <c r="S113" s="21"/>
      <c r="T113" s="45"/>
      <c r="V113" s="19"/>
      <c r="W113" s="21"/>
    </row>
    <row r="114" spans="1:23" ht="15" customHeight="1">
      <c r="B114" s="24"/>
      <c r="C114" s="21"/>
      <c r="D114" s="24"/>
      <c r="E114" s="21"/>
      <c r="F114" s="24"/>
      <c r="G114" s="21"/>
      <c r="H114" s="24"/>
      <c r="I114" s="991"/>
      <c r="J114" s="24"/>
      <c r="K114" s="21"/>
      <c r="L114" s="24"/>
      <c r="M114" s="21"/>
      <c r="N114" s="24"/>
      <c r="O114" s="21"/>
      <c r="P114" s="24"/>
      <c r="Q114" s="21"/>
      <c r="R114" s="24"/>
      <c r="S114" s="21"/>
      <c r="U114" s="19"/>
      <c r="V114" s="19"/>
      <c r="W114" s="21"/>
    </row>
    <row r="115" spans="1:23" ht="15" customHeight="1">
      <c r="B115" s="24"/>
      <c r="C115" s="21"/>
      <c r="D115" s="24"/>
      <c r="E115" s="21"/>
      <c r="F115" s="24"/>
      <c r="G115" s="21"/>
      <c r="H115" s="24"/>
      <c r="I115" s="991"/>
      <c r="J115" s="24"/>
      <c r="K115" s="21"/>
      <c r="L115" s="24"/>
      <c r="M115" s="21"/>
      <c r="N115" s="24"/>
      <c r="O115" s="21"/>
      <c r="P115" s="24"/>
      <c r="Q115" s="21"/>
      <c r="R115" s="24"/>
      <c r="S115" s="21"/>
      <c r="U115" s="19"/>
      <c r="V115" s="19"/>
      <c r="W115" s="21"/>
    </row>
    <row r="116" spans="1:23" ht="15" customHeight="1">
      <c r="B116" s="24"/>
      <c r="C116" s="21"/>
      <c r="D116" s="24"/>
      <c r="E116" s="21"/>
      <c r="F116" s="24"/>
      <c r="G116" s="21"/>
      <c r="H116" s="24"/>
      <c r="I116" s="991"/>
      <c r="J116" s="24"/>
      <c r="K116" s="21"/>
      <c r="L116" s="24"/>
      <c r="M116" s="21"/>
      <c r="N116" s="24"/>
      <c r="O116" s="21"/>
      <c r="P116" s="24"/>
      <c r="Q116" s="21"/>
      <c r="R116" s="24"/>
      <c r="S116" s="21"/>
      <c r="U116" s="19"/>
      <c r="V116" s="19"/>
      <c r="W116" s="21"/>
    </row>
    <row r="117" spans="1:23" ht="15" customHeight="1">
      <c r="B117" s="24"/>
      <c r="C117" s="21"/>
      <c r="D117" s="24"/>
      <c r="E117" s="21"/>
      <c r="F117" s="24"/>
      <c r="G117" s="21"/>
      <c r="H117" s="24"/>
      <c r="I117" s="991"/>
      <c r="J117" s="24"/>
      <c r="K117" s="21"/>
      <c r="L117" s="24"/>
      <c r="M117" s="21"/>
      <c r="N117" s="24"/>
      <c r="O117" s="21"/>
      <c r="P117" s="24"/>
      <c r="Q117" s="21"/>
      <c r="R117" s="24"/>
      <c r="S117" s="21"/>
      <c r="U117" s="19"/>
      <c r="V117" s="19"/>
      <c r="W117" s="21"/>
    </row>
    <row r="118" spans="1:23" ht="15" customHeight="1">
      <c r="B118" s="24"/>
      <c r="C118" s="21"/>
      <c r="D118" s="24"/>
      <c r="E118" s="21"/>
      <c r="F118" s="24"/>
      <c r="G118" s="21"/>
      <c r="H118" s="24"/>
      <c r="I118" s="991"/>
      <c r="J118" s="24"/>
      <c r="K118" s="21"/>
      <c r="L118" s="24"/>
      <c r="M118" s="21"/>
      <c r="N118" s="24"/>
      <c r="O118" s="21"/>
      <c r="P118" s="24"/>
      <c r="Q118" s="21"/>
      <c r="R118" s="24"/>
      <c r="S118" s="21"/>
      <c r="U118" s="19"/>
      <c r="V118" s="19"/>
      <c r="W118" s="21"/>
    </row>
    <row r="119" spans="1:23" ht="15" customHeight="1">
      <c r="B119" s="24"/>
      <c r="C119" s="21"/>
      <c r="D119" s="24"/>
      <c r="E119" s="21"/>
      <c r="F119" s="24"/>
      <c r="G119" s="21"/>
      <c r="H119" s="24"/>
      <c r="I119" s="991"/>
      <c r="J119" s="24"/>
      <c r="K119" s="21"/>
      <c r="L119" s="24"/>
      <c r="M119" s="21"/>
      <c r="N119" s="24"/>
      <c r="O119" s="21"/>
      <c r="P119" s="24"/>
      <c r="Q119" s="21"/>
      <c r="R119" s="24"/>
      <c r="S119" s="21"/>
      <c r="U119" s="19"/>
      <c r="V119" s="19"/>
      <c r="W119" s="21"/>
    </row>
    <row r="120" spans="1:23" ht="15" customHeight="1">
      <c r="B120" s="24"/>
      <c r="C120" s="21"/>
      <c r="D120" s="24"/>
      <c r="E120" s="21"/>
      <c r="F120" s="24"/>
      <c r="G120" s="21"/>
      <c r="H120" s="24"/>
      <c r="I120" s="991"/>
      <c r="J120" s="24"/>
      <c r="K120" s="21"/>
      <c r="L120" s="24"/>
      <c r="M120" s="21"/>
      <c r="N120" s="24"/>
      <c r="O120" s="21"/>
      <c r="P120" s="24"/>
      <c r="Q120" s="21"/>
      <c r="R120" s="24"/>
      <c r="S120" s="21"/>
      <c r="U120" s="19"/>
      <c r="V120" s="19"/>
      <c r="W120" s="21"/>
    </row>
    <row r="121" spans="1:23" ht="15" customHeight="1">
      <c r="B121" s="24"/>
      <c r="C121" s="21"/>
      <c r="D121" s="24"/>
      <c r="E121" s="21"/>
      <c r="F121" s="24"/>
      <c r="G121" s="21"/>
      <c r="H121" s="24"/>
      <c r="I121" s="991"/>
      <c r="J121" s="24"/>
      <c r="K121" s="21"/>
      <c r="L121" s="24"/>
      <c r="M121" s="21"/>
      <c r="N121" s="24"/>
      <c r="O121" s="21"/>
      <c r="P121" s="24"/>
      <c r="Q121" s="21"/>
      <c r="R121" s="24"/>
      <c r="S121" s="21"/>
      <c r="U121" s="19"/>
      <c r="V121" s="19"/>
      <c r="W121" s="21"/>
    </row>
    <row r="122" spans="1:23" ht="15.75" customHeight="1">
      <c r="B122" s="24"/>
      <c r="C122" s="21"/>
      <c r="D122" s="24"/>
      <c r="E122" s="21"/>
      <c r="F122" s="24"/>
      <c r="G122" s="21"/>
      <c r="H122" s="24"/>
      <c r="I122" s="991"/>
      <c r="J122" s="24"/>
      <c r="K122" s="21"/>
      <c r="L122" s="24"/>
      <c r="M122" s="21"/>
      <c r="N122" s="24"/>
      <c r="O122" s="21"/>
      <c r="P122" s="24"/>
      <c r="Q122" s="21"/>
      <c r="R122" s="24"/>
      <c r="S122" s="21"/>
      <c r="U122" s="33"/>
      <c r="V122" s="19"/>
      <c r="W122" s="21"/>
    </row>
    <row r="123" spans="1:23" ht="14.25" customHeight="1">
      <c r="C123" s="21"/>
      <c r="E123" s="21"/>
      <c r="G123" s="21"/>
      <c r="H123" s="21"/>
      <c r="I123" s="21"/>
      <c r="K123" s="21"/>
      <c r="M123" s="21"/>
      <c r="O123" s="21"/>
      <c r="Q123" s="21"/>
      <c r="S123" s="21"/>
    </row>
    <row r="124" spans="1:23" ht="14.25" customHeight="1">
      <c r="T124" s="21"/>
      <c r="U124" s="21"/>
      <c r="V124" s="24"/>
    </row>
    <row r="125" spans="1:23" ht="14.25" customHeight="1">
      <c r="T125" s="21"/>
      <c r="U125" s="21"/>
    </row>
    <row r="126" spans="1:23" ht="15" customHeight="1">
      <c r="U126" s="21"/>
      <c r="V126" s="21"/>
    </row>
    <row r="127" spans="1:23" ht="15.75" customHeight="1">
      <c r="A127" s="989"/>
      <c r="B127" s="989"/>
      <c r="C127" s="989"/>
      <c r="D127" s="989"/>
      <c r="E127" s="989"/>
      <c r="F127" s="989"/>
      <c r="G127" s="989"/>
      <c r="H127" s="989"/>
      <c r="I127" s="989"/>
      <c r="J127" s="989"/>
      <c r="K127" s="989"/>
      <c r="L127" s="989"/>
      <c r="M127" s="989"/>
      <c r="N127" s="989"/>
      <c r="O127" s="989"/>
      <c r="P127" s="989"/>
      <c r="Q127" s="989"/>
      <c r="R127" s="989"/>
      <c r="S127" s="989"/>
      <c r="U127" s="1"/>
      <c r="V127" s="1"/>
    </row>
    <row r="128" spans="1:23" ht="15" customHeight="1">
      <c r="A128" s="987"/>
      <c r="B128" s="987"/>
      <c r="C128" s="987"/>
      <c r="D128" s="987"/>
      <c r="E128" s="987"/>
      <c r="F128" s="987"/>
      <c r="G128" s="987"/>
      <c r="H128" s="987"/>
      <c r="I128" s="987"/>
      <c r="J128" s="987"/>
      <c r="K128" s="987"/>
      <c r="L128" s="987"/>
      <c r="M128" s="987"/>
      <c r="N128" s="420"/>
      <c r="O128" s="420"/>
      <c r="P128" s="420"/>
      <c r="Q128" s="420"/>
      <c r="R128" s="987"/>
      <c r="S128" s="987"/>
      <c r="U128" s="1"/>
      <c r="V128" s="1"/>
    </row>
    <row r="129" spans="1:23" ht="36" customHeight="1">
      <c r="A129" s="987"/>
      <c r="B129" s="985"/>
      <c r="C129" s="985"/>
      <c r="D129" s="985"/>
      <c r="E129" s="985"/>
      <c r="F129" s="985"/>
      <c r="G129" s="985"/>
      <c r="H129" s="985"/>
      <c r="I129" s="985"/>
      <c r="J129" s="985"/>
      <c r="K129" s="985"/>
      <c r="L129" s="985"/>
      <c r="M129" s="985"/>
      <c r="N129" s="985"/>
      <c r="O129" s="985"/>
      <c r="P129" s="985"/>
      <c r="Q129" s="985"/>
      <c r="R129" s="985"/>
      <c r="S129" s="986"/>
      <c r="U129" s="999"/>
      <c r="V129" s="999"/>
    </row>
    <row r="130" spans="1:23" ht="15" customHeight="1">
      <c r="A130" s="990"/>
      <c r="B130" s="24"/>
      <c r="C130" s="21"/>
      <c r="D130" s="1"/>
      <c r="E130" s="21"/>
      <c r="F130" s="1"/>
      <c r="G130" s="21"/>
      <c r="H130" s="24"/>
      <c r="I130" s="991"/>
      <c r="J130" s="24"/>
      <c r="K130" s="21"/>
      <c r="L130" s="992"/>
      <c r="M130" s="21"/>
      <c r="N130" s="24"/>
      <c r="O130" s="21"/>
      <c r="P130" s="24"/>
      <c r="Q130" s="21"/>
      <c r="R130" s="24"/>
      <c r="S130" s="21"/>
      <c r="T130" s="18"/>
      <c r="U130" s="44"/>
      <c r="V130" s="19"/>
      <c r="W130" s="21"/>
    </row>
    <row r="131" spans="1:23" ht="15" customHeight="1">
      <c r="A131" s="990"/>
      <c r="B131" s="24"/>
      <c r="C131" s="21"/>
      <c r="E131" s="21"/>
      <c r="F131" s="1"/>
      <c r="G131" s="21"/>
      <c r="H131" s="24"/>
      <c r="I131" s="21"/>
      <c r="J131" s="24"/>
      <c r="K131" s="21"/>
      <c r="L131" s="992"/>
      <c r="M131" s="21"/>
      <c r="N131" s="24"/>
      <c r="O131" s="21"/>
      <c r="P131" s="24"/>
      <c r="Q131" s="21"/>
      <c r="R131" s="24"/>
      <c r="S131" s="21"/>
      <c r="T131" s="45"/>
      <c r="V131" s="19"/>
      <c r="W131" s="21"/>
    </row>
    <row r="132" spans="1:23" ht="15" customHeight="1">
      <c r="B132" s="24"/>
      <c r="C132" s="21"/>
      <c r="D132" s="24"/>
      <c r="E132" s="21"/>
      <c r="F132" s="24"/>
      <c r="G132" s="21"/>
      <c r="H132" s="24"/>
      <c r="I132" s="991"/>
      <c r="J132" s="24"/>
      <c r="K132" s="21"/>
      <c r="L132" s="24"/>
      <c r="M132" s="21"/>
      <c r="N132" s="24"/>
      <c r="O132" s="21"/>
      <c r="P132" s="24"/>
      <c r="Q132" s="21"/>
      <c r="R132" s="24"/>
      <c r="S132" s="21"/>
      <c r="U132" s="19"/>
      <c r="V132" s="19"/>
      <c r="W132" s="21"/>
    </row>
    <row r="133" spans="1:23" ht="15" customHeight="1">
      <c r="B133" s="24"/>
      <c r="C133" s="21"/>
      <c r="D133" s="24"/>
      <c r="E133" s="21"/>
      <c r="F133" s="24"/>
      <c r="G133" s="21"/>
      <c r="H133" s="24"/>
      <c r="I133" s="991"/>
      <c r="J133" s="24"/>
      <c r="K133" s="21"/>
      <c r="L133" s="24"/>
      <c r="M133" s="21"/>
      <c r="N133" s="24"/>
      <c r="O133" s="21"/>
      <c r="P133" s="24"/>
      <c r="Q133" s="21"/>
      <c r="R133" s="24"/>
      <c r="S133" s="21"/>
      <c r="U133" s="19"/>
      <c r="V133" s="19"/>
      <c r="W133" s="21"/>
    </row>
    <row r="134" spans="1:23" ht="15" customHeight="1">
      <c r="B134" s="24"/>
      <c r="C134" s="21"/>
      <c r="D134" s="24"/>
      <c r="E134" s="21"/>
      <c r="F134" s="24"/>
      <c r="G134" s="21"/>
      <c r="H134" s="24"/>
      <c r="I134" s="991"/>
      <c r="J134" s="24"/>
      <c r="K134" s="21"/>
      <c r="L134" s="24"/>
      <c r="M134" s="21"/>
      <c r="N134" s="24"/>
      <c r="O134" s="21"/>
      <c r="P134" s="24"/>
      <c r="Q134" s="21"/>
      <c r="R134" s="24"/>
      <c r="S134" s="21"/>
      <c r="U134" s="19"/>
      <c r="V134" s="19"/>
      <c r="W134" s="21"/>
    </row>
    <row r="135" spans="1:23" ht="15" customHeight="1">
      <c r="B135" s="24"/>
      <c r="C135" s="21"/>
      <c r="D135" s="24"/>
      <c r="E135" s="21"/>
      <c r="F135" s="24"/>
      <c r="G135" s="21"/>
      <c r="H135" s="24"/>
      <c r="I135" s="991"/>
      <c r="J135" s="24"/>
      <c r="K135" s="21"/>
      <c r="L135" s="24"/>
      <c r="M135" s="21"/>
      <c r="N135" s="24"/>
      <c r="O135" s="21"/>
      <c r="P135" s="24"/>
      <c r="Q135" s="21"/>
      <c r="R135" s="24"/>
      <c r="S135" s="21"/>
      <c r="U135" s="19"/>
      <c r="V135" s="19"/>
      <c r="W135" s="21"/>
    </row>
    <row r="136" spans="1:23" ht="15" customHeight="1">
      <c r="B136" s="24"/>
      <c r="C136" s="21"/>
      <c r="D136" s="24"/>
      <c r="E136" s="21"/>
      <c r="F136" s="24"/>
      <c r="G136" s="21"/>
      <c r="H136" s="24"/>
      <c r="I136" s="991"/>
      <c r="J136" s="24"/>
      <c r="K136" s="21"/>
      <c r="L136" s="24"/>
      <c r="M136" s="21"/>
      <c r="N136" s="24"/>
      <c r="O136" s="21"/>
      <c r="P136" s="24"/>
      <c r="Q136" s="21"/>
      <c r="R136" s="24"/>
      <c r="S136" s="21"/>
      <c r="U136" s="19"/>
      <c r="V136" s="19"/>
      <c r="W136" s="21"/>
    </row>
    <row r="137" spans="1:23" ht="15" customHeight="1">
      <c r="B137" s="24"/>
      <c r="C137" s="21"/>
      <c r="D137" s="24"/>
      <c r="E137" s="21"/>
      <c r="F137" s="24"/>
      <c r="G137" s="21"/>
      <c r="H137" s="24"/>
      <c r="I137" s="991"/>
      <c r="J137" s="24"/>
      <c r="K137" s="21"/>
      <c r="L137" s="24"/>
      <c r="M137" s="21"/>
      <c r="N137" s="24"/>
      <c r="O137" s="21"/>
      <c r="P137" s="24"/>
      <c r="Q137" s="21"/>
      <c r="R137" s="24"/>
      <c r="S137" s="21"/>
      <c r="U137" s="19"/>
      <c r="V137" s="19"/>
      <c r="W137" s="21"/>
    </row>
    <row r="138" spans="1:23" ht="15" customHeight="1">
      <c r="B138" s="24"/>
      <c r="C138" s="21"/>
      <c r="D138" s="24"/>
      <c r="E138" s="21"/>
      <c r="F138" s="24"/>
      <c r="G138" s="21"/>
      <c r="H138" s="24"/>
      <c r="I138" s="991"/>
      <c r="J138" s="24"/>
      <c r="K138" s="21"/>
      <c r="L138" s="24"/>
      <c r="M138" s="21"/>
      <c r="N138" s="24"/>
      <c r="O138" s="21"/>
      <c r="P138" s="24"/>
      <c r="Q138" s="21"/>
      <c r="R138" s="24"/>
      <c r="S138" s="21"/>
      <c r="U138" s="19"/>
      <c r="V138" s="19"/>
      <c r="W138" s="21"/>
    </row>
    <row r="139" spans="1:23" ht="15" customHeight="1">
      <c r="B139" s="24"/>
      <c r="C139" s="21"/>
      <c r="D139" s="24"/>
      <c r="E139" s="21"/>
      <c r="F139" s="24"/>
      <c r="G139" s="21"/>
      <c r="H139" s="24"/>
      <c r="I139" s="991"/>
      <c r="J139" s="24"/>
      <c r="K139" s="21"/>
      <c r="L139" s="24"/>
      <c r="M139" s="21"/>
      <c r="N139" s="24"/>
      <c r="O139" s="21"/>
      <c r="P139" s="24"/>
      <c r="Q139" s="21"/>
      <c r="R139" s="24"/>
      <c r="S139" s="21"/>
      <c r="U139" s="19"/>
      <c r="V139" s="19"/>
      <c r="W139" s="21"/>
    </row>
    <row r="140" spans="1:23" ht="15.75" customHeight="1">
      <c r="B140" s="24"/>
      <c r="C140" s="21"/>
      <c r="D140" s="24"/>
      <c r="E140" s="21"/>
      <c r="F140" s="24"/>
      <c r="G140" s="21"/>
      <c r="H140" s="24"/>
      <c r="I140" s="991"/>
      <c r="J140" s="24"/>
      <c r="K140" s="21"/>
      <c r="L140" s="24"/>
      <c r="M140" s="21"/>
      <c r="N140" s="24"/>
      <c r="O140" s="21"/>
      <c r="P140" s="24"/>
      <c r="Q140" s="21"/>
      <c r="R140" s="24"/>
      <c r="S140" s="21"/>
      <c r="U140" s="33"/>
      <c r="V140" s="19"/>
      <c r="W140" s="21"/>
    </row>
    <row r="141" spans="1:23" ht="14.25" customHeight="1">
      <c r="C141" s="21"/>
      <c r="E141" s="21"/>
      <c r="G141" s="21"/>
      <c r="H141" s="21"/>
      <c r="I141" s="21"/>
      <c r="K141" s="21"/>
      <c r="M141" s="21"/>
      <c r="O141" s="21"/>
      <c r="Q141" s="21"/>
      <c r="S141" s="21"/>
    </row>
    <row r="142" spans="1:23" ht="14.25" customHeight="1">
      <c r="T142" s="21"/>
      <c r="U142" s="21"/>
      <c r="V142" s="24"/>
    </row>
    <row r="143" spans="1:23" ht="14.25" customHeight="1">
      <c r="T143" s="21"/>
      <c r="U143" s="21"/>
    </row>
    <row r="144" spans="1:23" ht="15" customHeight="1">
      <c r="U144" s="21"/>
      <c r="V144" s="21"/>
    </row>
    <row r="145" spans="1:23" ht="15.75" customHeight="1">
      <c r="A145" s="989"/>
      <c r="B145" s="989"/>
      <c r="C145" s="989"/>
      <c r="D145" s="989"/>
      <c r="E145" s="989"/>
      <c r="F145" s="989"/>
      <c r="G145" s="989"/>
      <c r="H145" s="989"/>
      <c r="I145" s="989"/>
      <c r="J145" s="989"/>
      <c r="K145" s="989"/>
      <c r="L145" s="989"/>
      <c r="M145" s="989"/>
      <c r="N145" s="989"/>
      <c r="O145" s="989"/>
      <c r="P145" s="989"/>
      <c r="Q145" s="989"/>
      <c r="R145" s="989"/>
      <c r="S145" s="989"/>
      <c r="U145" s="1"/>
      <c r="V145" s="1"/>
    </row>
    <row r="146" spans="1:23" ht="15" customHeight="1">
      <c r="A146" s="987"/>
      <c r="B146" s="987"/>
      <c r="C146" s="987"/>
      <c r="D146" s="987"/>
      <c r="E146" s="987"/>
      <c r="F146" s="987"/>
      <c r="G146" s="987"/>
      <c r="H146" s="987"/>
      <c r="I146" s="987"/>
      <c r="J146" s="987"/>
      <c r="K146" s="987"/>
      <c r="L146" s="987"/>
      <c r="M146" s="987"/>
      <c r="N146" s="420"/>
      <c r="O146" s="420"/>
      <c r="P146" s="420"/>
      <c r="Q146" s="420"/>
      <c r="R146" s="987"/>
      <c r="S146" s="987"/>
      <c r="U146" s="1"/>
      <c r="V146" s="1"/>
    </row>
    <row r="147" spans="1:23" ht="36" customHeight="1">
      <c r="A147" s="987"/>
      <c r="B147" s="985"/>
      <c r="C147" s="985"/>
      <c r="D147" s="985"/>
      <c r="E147" s="985"/>
      <c r="F147" s="985"/>
      <c r="G147" s="985"/>
      <c r="H147" s="985"/>
      <c r="I147" s="985"/>
      <c r="J147" s="985"/>
      <c r="K147" s="985"/>
      <c r="L147" s="985"/>
      <c r="M147" s="985"/>
      <c r="N147" s="985"/>
      <c r="O147" s="985"/>
      <c r="P147" s="985"/>
      <c r="Q147" s="985"/>
      <c r="R147" s="985"/>
      <c r="S147" s="986"/>
      <c r="U147" s="999"/>
      <c r="V147" s="999"/>
    </row>
    <row r="148" spans="1:23" ht="15" customHeight="1">
      <c r="A148" s="990"/>
      <c r="B148" s="24"/>
      <c r="C148" s="21"/>
      <c r="D148" s="1"/>
      <c r="E148" s="21"/>
      <c r="F148" s="1"/>
      <c r="G148" s="21"/>
      <c r="H148" s="24"/>
      <c r="I148" s="991"/>
      <c r="J148" s="24"/>
      <c r="K148" s="21"/>
      <c r="L148" s="992"/>
      <c r="M148" s="21"/>
      <c r="N148" s="24"/>
      <c r="O148" s="21"/>
      <c r="P148" s="24"/>
      <c r="Q148" s="21"/>
      <c r="R148" s="24"/>
      <c r="S148" s="21"/>
      <c r="T148" s="18"/>
      <c r="U148" s="44"/>
      <c r="V148" s="19"/>
      <c r="W148" s="21"/>
    </row>
    <row r="149" spans="1:23" ht="15" customHeight="1">
      <c r="A149" s="990"/>
      <c r="B149" s="24"/>
      <c r="C149" s="21"/>
      <c r="E149" s="21"/>
      <c r="F149" s="1"/>
      <c r="G149" s="21"/>
      <c r="H149" s="24"/>
      <c r="I149" s="21"/>
      <c r="J149" s="24"/>
      <c r="K149" s="21"/>
      <c r="L149" s="992"/>
      <c r="M149" s="21"/>
      <c r="N149" s="24"/>
      <c r="O149" s="21"/>
      <c r="P149" s="24"/>
      <c r="Q149" s="21"/>
      <c r="R149" s="24"/>
      <c r="S149" s="21"/>
      <c r="T149" s="45"/>
      <c r="V149" s="19"/>
      <c r="W149" s="21"/>
    </row>
    <row r="150" spans="1:23" ht="15" customHeight="1">
      <c r="B150" s="24"/>
      <c r="C150" s="21"/>
      <c r="D150" s="24"/>
      <c r="E150" s="21"/>
      <c r="F150" s="24"/>
      <c r="G150" s="21"/>
      <c r="H150" s="24"/>
      <c r="I150" s="991"/>
      <c r="J150" s="24"/>
      <c r="K150" s="21"/>
      <c r="L150" s="24"/>
      <c r="M150" s="21"/>
      <c r="N150" s="24"/>
      <c r="O150" s="21"/>
      <c r="P150" s="24"/>
      <c r="Q150" s="21"/>
      <c r="R150" s="24"/>
      <c r="S150" s="21"/>
      <c r="U150" s="19"/>
      <c r="V150" s="19"/>
      <c r="W150" s="21"/>
    </row>
    <row r="151" spans="1:23" ht="15" customHeight="1">
      <c r="B151" s="24"/>
      <c r="C151" s="21"/>
      <c r="D151" s="24"/>
      <c r="E151" s="21"/>
      <c r="F151" s="24"/>
      <c r="G151" s="21"/>
      <c r="H151" s="24"/>
      <c r="I151" s="991"/>
      <c r="J151" s="24"/>
      <c r="K151" s="21"/>
      <c r="L151" s="24"/>
      <c r="M151" s="21"/>
      <c r="N151" s="24"/>
      <c r="O151" s="21"/>
      <c r="P151" s="24"/>
      <c r="Q151" s="21"/>
      <c r="R151" s="24"/>
      <c r="S151" s="21"/>
      <c r="U151" s="19"/>
      <c r="V151" s="19"/>
      <c r="W151" s="21"/>
    </row>
    <row r="152" spans="1:23" ht="15" customHeight="1">
      <c r="B152" s="24"/>
      <c r="C152" s="21"/>
      <c r="D152" s="24"/>
      <c r="E152" s="21"/>
      <c r="F152" s="24"/>
      <c r="G152" s="21"/>
      <c r="H152" s="24"/>
      <c r="I152" s="991"/>
      <c r="J152" s="24"/>
      <c r="K152" s="21"/>
      <c r="L152" s="24"/>
      <c r="M152" s="21"/>
      <c r="N152" s="24"/>
      <c r="O152" s="21"/>
      <c r="P152" s="24"/>
      <c r="Q152" s="21"/>
      <c r="R152" s="24"/>
      <c r="S152" s="21"/>
      <c r="U152" s="19"/>
      <c r="V152" s="19"/>
      <c r="W152" s="21"/>
    </row>
    <row r="153" spans="1:23" ht="15" customHeight="1">
      <c r="B153" s="24"/>
      <c r="C153" s="21"/>
      <c r="D153" s="24"/>
      <c r="E153" s="21"/>
      <c r="F153" s="24"/>
      <c r="G153" s="21"/>
      <c r="H153" s="24"/>
      <c r="I153" s="991"/>
      <c r="J153" s="24"/>
      <c r="K153" s="21"/>
      <c r="L153" s="24"/>
      <c r="M153" s="21"/>
      <c r="N153" s="24"/>
      <c r="O153" s="21"/>
      <c r="P153" s="24"/>
      <c r="Q153" s="21"/>
      <c r="R153" s="24"/>
      <c r="S153" s="21"/>
      <c r="U153" s="19"/>
      <c r="V153" s="19"/>
      <c r="W153" s="21"/>
    </row>
    <row r="154" spans="1:23" ht="15" customHeight="1">
      <c r="B154" s="24"/>
      <c r="C154" s="21"/>
      <c r="D154" s="24"/>
      <c r="E154" s="21"/>
      <c r="F154" s="24"/>
      <c r="G154" s="21"/>
      <c r="H154" s="24"/>
      <c r="I154" s="991"/>
      <c r="J154" s="24"/>
      <c r="K154" s="21"/>
      <c r="L154" s="24"/>
      <c r="M154" s="21"/>
      <c r="N154" s="24"/>
      <c r="O154" s="21"/>
      <c r="P154" s="24"/>
      <c r="Q154" s="21"/>
      <c r="R154" s="24"/>
      <c r="S154" s="21"/>
      <c r="U154" s="19"/>
      <c r="V154" s="19"/>
      <c r="W154" s="21"/>
    </row>
    <row r="155" spans="1:23" ht="15" customHeight="1">
      <c r="B155" s="24"/>
      <c r="C155" s="21"/>
      <c r="D155" s="24"/>
      <c r="E155" s="21"/>
      <c r="F155" s="24"/>
      <c r="G155" s="21"/>
      <c r="H155" s="24"/>
      <c r="I155" s="991"/>
      <c r="J155" s="24"/>
      <c r="K155" s="21"/>
      <c r="L155" s="24"/>
      <c r="M155" s="21"/>
      <c r="N155" s="24"/>
      <c r="O155" s="21"/>
      <c r="P155" s="24"/>
      <c r="Q155" s="21"/>
      <c r="R155" s="24"/>
      <c r="S155" s="21"/>
      <c r="U155" s="19"/>
      <c r="V155" s="19"/>
      <c r="W155" s="21"/>
    </row>
    <row r="156" spans="1:23" ht="15" customHeight="1">
      <c r="B156" s="24"/>
      <c r="C156" s="21"/>
      <c r="D156" s="24"/>
      <c r="E156" s="21"/>
      <c r="F156" s="24"/>
      <c r="G156" s="21"/>
      <c r="H156" s="24"/>
      <c r="I156" s="991"/>
      <c r="J156" s="24"/>
      <c r="K156" s="21"/>
      <c r="L156" s="24"/>
      <c r="M156" s="21"/>
      <c r="N156" s="24"/>
      <c r="O156" s="21"/>
      <c r="P156" s="24"/>
      <c r="Q156" s="21"/>
      <c r="R156" s="24"/>
      <c r="S156" s="21"/>
      <c r="U156" s="19"/>
      <c r="V156" s="19"/>
      <c r="W156" s="21"/>
    </row>
    <row r="157" spans="1:23" ht="15" customHeight="1">
      <c r="B157" s="24"/>
      <c r="C157" s="21"/>
      <c r="D157" s="24"/>
      <c r="E157" s="21"/>
      <c r="F157" s="24"/>
      <c r="G157" s="21"/>
      <c r="H157" s="24"/>
      <c r="I157" s="991"/>
      <c r="J157" s="24"/>
      <c r="K157" s="21"/>
      <c r="L157" s="24"/>
      <c r="M157" s="21"/>
      <c r="N157" s="24"/>
      <c r="O157" s="21"/>
      <c r="P157" s="24"/>
      <c r="Q157" s="21"/>
      <c r="R157" s="24"/>
      <c r="S157" s="21"/>
      <c r="U157" s="19"/>
      <c r="V157" s="19"/>
      <c r="W157" s="21"/>
    </row>
    <row r="158" spans="1:23" ht="15.75" customHeight="1">
      <c r="B158" s="24"/>
      <c r="C158" s="21"/>
      <c r="D158" s="24"/>
      <c r="E158" s="21"/>
      <c r="F158" s="24"/>
      <c r="G158" s="21"/>
      <c r="H158" s="24"/>
      <c r="I158" s="991"/>
      <c r="J158" s="24"/>
      <c r="K158" s="21"/>
      <c r="L158" s="24"/>
      <c r="M158" s="21"/>
      <c r="N158" s="24"/>
      <c r="O158" s="21"/>
      <c r="P158" s="24"/>
      <c r="Q158" s="21"/>
      <c r="R158" s="24"/>
      <c r="S158" s="21"/>
      <c r="U158" s="33"/>
      <c r="V158" s="19"/>
      <c r="W158" s="21"/>
    </row>
    <row r="159" spans="1:23" ht="14.25" customHeight="1">
      <c r="C159" s="21"/>
      <c r="E159" s="21"/>
      <c r="G159" s="21"/>
      <c r="H159" s="21"/>
      <c r="I159" s="21"/>
      <c r="K159" s="21"/>
      <c r="M159" s="21"/>
      <c r="O159" s="21"/>
      <c r="Q159" s="21"/>
      <c r="S159" s="21"/>
    </row>
    <row r="160" spans="1:23" ht="14.25" customHeight="1">
      <c r="T160" s="21"/>
      <c r="U160" s="21"/>
      <c r="V160" s="24"/>
    </row>
    <row r="161" spans="1:23" ht="14.25" customHeight="1">
      <c r="T161" s="21"/>
      <c r="U161" s="21"/>
    </row>
    <row r="162" spans="1:23" ht="15" customHeight="1">
      <c r="U162" s="21"/>
      <c r="V162" s="21"/>
    </row>
    <row r="163" spans="1:23" ht="15.75" customHeight="1">
      <c r="A163" s="989"/>
      <c r="B163" s="989"/>
      <c r="C163" s="989"/>
      <c r="D163" s="989"/>
      <c r="E163" s="989"/>
      <c r="F163" s="989"/>
      <c r="G163" s="989"/>
      <c r="H163" s="989"/>
      <c r="I163" s="989"/>
      <c r="J163" s="989"/>
      <c r="K163" s="989"/>
      <c r="L163" s="989"/>
      <c r="M163" s="989"/>
      <c r="N163" s="989"/>
      <c r="O163" s="989"/>
      <c r="P163" s="989"/>
      <c r="Q163" s="989"/>
      <c r="R163" s="989"/>
      <c r="S163" s="989"/>
      <c r="U163" s="1"/>
      <c r="V163" s="1"/>
    </row>
    <row r="164" spans="1:23" ht="15" customHeight="1">
      <c r="A164" s="987"/>
      <c r="B164" s="987"/>
      <c r="C164" s="987"/>
      <c r="D164" s="987"/>
      <c r="E164" s="987"/>
      <c r="F164" s="987"/>
      <c r="G164" s="987"/>
      <c r="H164" s="987"/>
      <c r="I164" s="987"/>
      <c r="J164" s="987"/>
      <c r="K164" s="987"/>
      <c r="L164" s="987"/>
      <c r="M164" s="987"/>
      <c r="N164" s="420"/>
      <c r="O164" s="420"/>
      <c r="P164" s="420"/>
      <c r="Q164" s="420"/>
      <c r="R164" s="987"/>
      <c r="S164" s="987"/>
      <c r="U164" s="1"/>
      <c r="V164" s="1"/>
    </row>
    <row r="165" spans="1:23" ht="36" customHeight="1">
      <c r="A165" s="987"/>
      <c r="B165" s="985"/>
      <c r="C165" s="985"/>
      <c r="D165" s="985"/>
      <c r="E165" s="985"/>
      <c r="F165" s="985"/>
      <c r="G165" s="985"/>
      <c r="H165" s="985"/>
      <c r="I165" s="985"/>
      <c r="J165" s="985"/>
      <c r="K165" s="985"/>
      <c r="L165" s="985"/>
      <c r="M165" s="985"/>
      <c r="N165" s="985"/>
      <c r="O165" s="985"/>
      <c r="P165" s="985"/>
      <c r="Q165" s="985"/>
      <c r="R165" s="985"/>
      <c r="S165" s="986"/>
      <c r="U165" s="999"/>
      <c r="V165" s="999"/>
    </row>
    <row r="166" spans="1:23" ht="15" customHeight="1">
      <c r="A166" s="990"/>
      <c r="B166" s="24"/>
      <c r="C166" s="21"/>
      <c r="D166" s="1"/>
      <c r="E166" s="21"/>
      <c r="F166" s="1"/>
      <c r="G166" s="21"/>
      <c r="H166" s="24"/>
      <c r="I166" s="991"/>
      <c r="J166" s="24"/>
      <c r="K166" s="21"/>
      <c r="L166" s="992"/>
      <c r="M166" s="21"/>
      <c r="N166" s="24"/>
      <c r="O166" s="21"/>
      <c r="P166" s="24"/>
      <c r="Q166" s="21"/>
      <c r="R166" s="24"/>
      <c r="S166" s="21"/>
      <c r="T166" s="18"/>
      <c r="U166" s="44"/>
      <c r="V166" s="19"/>
      <c r="W166" s="21"/>
    </row>
    <row r="167" spans="1:23" ht="15" customHeight="1">
      <c r="A167" s="990"/>
      <c r="B167" s="24"/>
      <c r="C167" s="21"/>
      <c r="E167" s="21"/>
      <c r="F167" s="1"/>
      <c r="G167" s="21"/>
      <c r="H167" s="24"/>
      <c r="I167" s="21"/>
      <c r="J167" s="24"/>
      <c r="K167" s="21"/>
      <c r="L167" s="992"/>
      <c r="M167" s="21"/>
      <c r="N167" s="24"/>
      <c r="O167" s="21"/>
      <c r="P167" s="24"/>
      <c r="Q167" s="21"/>
      <c r="R167" s="24"/>
      <c r="S167" s="21"/>
      <c r="T167" s="45"/>
      <c r="V167" s="19"/>
      <c r="W167" s="21"/>
    </row>
    <row r="168" spans="1:23" ht="15" customHeight="1">
      <c r="B168" s="24"/>
      <c r="C168" s="21"/>
      <c r="D168" s="24"/>
      <c r="E168" s="21"/>
      <c r="F168" s="24"/>
      <c r="G168" s="21"/>
      <c r="H168" s="24"/>
      <c r="I168" s="991"/>
      <c r="J168" s="24"/>
      <c r="K168" s="21"/>
      <c r="L168" s="24"/>
      <c r="M168" s="21"/>
      <c r="N168" s="24"/>
      <c r="O168" s="21"/>
      <c r="P168" s="24"/>
      <c r="Q168" s="21"/>
      <c r="R168" s="24"/>
      <c r="S168" s="21"/>
      <c r="U168" s="19"/>
      <c r="V168" s="19"/>
      <c r="W168" s="21"/>
    </row>
    <row r="169" spans="1:23" ht="15" customHeight="1">
      <c r="B169" s="24"/>
      <c r="C169" s="21"/>
      <c r="D169" s="24"/>
      <c r="E169" s="21"/>
      <c r="F169" s="24"/>
      <c r="G169" s="21"/>
      <c r="H169" s="24"/>
      <c r="I169" s="991"/>
      <c r="J169" s="24"/>
      <c r="K169" s="21"/>
      <c r="L169" s="24"/>
      <c r="M169" s="21"/>
      <c r="N169" s="24"/>
      <c r="O169" s="21"/>
      <c r="P169" s="24"/>
      <c r="Q169" s="21"/>
      <c r="R169" s="24"/>
      <c r="S169" s="21"/>
      <c r="U169" s="19"/>
      <c r="V169" s="19"/>
      <c r="W169" s="21"/>
    </row>
    <row r="170" spans="1:23" ht="15" customHeight="1">
      <c r="B170" s="24"/>
      <c r="C170" s="21"/>
      <c r="D170" s="24"/>
      <c r="E170" s="21"/>
      <c r="F170" s="24"/>
      <c r="G170" s="21"/>
      <c r="H170" s="24"/>
      <c r="I170" s="991"/>
      <c r="J170" s="24"/>
      <c r="K170" s="21"/>
      <c r="L170" s="24"/>
      <c r="M170" s="21"/>
      <c r="N170" s="24"/>
      <c r="O170" s="21"/>
      <c r="P170" s="24"/>
      <c r="Q170" s="21"/>
      <c r="R170" s="24"/>
      <c r="S170" s="21"/>
      <c r="U170" s="19"/>
      <c r="V170" s="19"/>
      <c r="W170" s="21"/>
    </row>
    <row r="171" spans="1:23" ht="15" customHeight="1">
      <c r="B171" s="24"/>
      <c r="C171" s="21"/>
      <c r="D171" s="24"/>
      <c r="E171" s="21"/>
      <c r="F171" s="24"/>
      <c r="G171" s="21"/>
      <c r="H171" s="24"/>
      <c r="I171" s="991"/>
      <c r="J171" s="24"/>
      <c r="K171" s="21"/>
      <c r="L171" s="24"/>
      <c r="M171" s="21"/>
      <c r="N171" s="24"/>
      <c r="O171" s="21"/>
      <c r="P171" s="24"/>
      <c r="Q171" s="21"/>
      <c r="R171" s="24"/>
      <c r="S171" s="21"/>
      <c r="U171" s="19"/>
      <c r="V171" s="19"/>
      <c r="W171" s="21"/>
    </row>
    <row r="172" spans="1:23" ht="15" customHeight="1">
      <c r="B172" s="24"/>
      <c r="C172" s="21"/>
      <c r="D172" s="24"/>
      <c r="E172" s="21"/>
      <c r="F172" s="24"/>
      <c r="G172" s="21"/>
      <c r="H172" s="24"/>
      <c r="I172" s="991"/>
      <c r="J172" s="24"/>
      <c r="K172" s="21"/>
      <c r="L172" s="24"/>
      <c r="M172" s="21"/>
      <c r="N172" s="24"/>
      <c r="O172" s="21"/>
      <c r="P172" s="24"/>
      <c r="Q172" s="21"/>
      <c r="R172" s="24"/>
      <c r="S172" s="21"/>
      <c r="U172" s="19"/>
      <c r="V172" s="19"/>
      <c r="W172" s="21"/>
    </row>
    <row r="173" spans="1:23" ht="15" customHeight="1">
      <c r="B173" s="24"/>
      <c r="C173" s="21"/>
      <c r="D173" s="24"/>
      <c r="E173" s="21"/>
      <c r="F173" s="24"/>
      <c r="G173" s="21"/>
      <c r="H173" s="24"/>
      <c r="I173" s="991"/>
      <c r="J173" s="24"/>
      <c r="K173" s="21"/>
      <c r="L173" s="24"/>
      <c r="M173" s="21"/>
      <c r="N173" s="24"/>
      <c r="O173" s="21"/>
      <c r="P173" s="24"/>
      <c r="Q173" s="21"/>
      <c r="R173" s="24"/>
      <c r="S173" s="21"/>
      <c r="U173" s="19"/>
      <c r="V173" s="19"/>
      <c r="W173" s="21"/>
    </row>
    <row r="174" spans="1:23" ht="15" customHeight="1">
      <c r="B174" s="24"/>
      <c r="C174" s="21"/>
      <c r="D174" s="24"/>
      <c r="E174" s="21"/>
      <c r="F174" s="24"/>
      <c r="G174" s="21"/>
      <c r="H174" s="24"/>
      <c r="I174" s="991"/>
      <c r="J174" s="24"/>
      <c r="K174" s="21"/>
      <c r="L174" s="24"/>
      <c r="M174" s="21"/>
      <c r="N174" s="24"/>
      <c r="O174" s="21"/>
      <c r="P174" s="24"/>
      <c r="Q174" s="21"/>
      <c r="R174" s="24"/>
      <c r="S174" s="21"/>
      <c r="U174" s="19"/>
      <c r="V174" s="19"/>
      <c r="W174" s="21"/>
    </row>
    <row r="175" spans="1:23" ht="15" customHeight="1">
      <c r="B175" s="24"/>
      <c r="C175" s="21"/>
      <c r="D175" s="24"/>
      <c r="E175" s="21"/>
      <c r="F175" s="24"/>
      <c r="G175" s="21"/>
      <c r="H175" s="24"/>
      <c r="I175" s="991"/>
      <c r="J175" s="24"/>
      <c r="K175" s="21"/>
      <c r="L175" s="24"/>
      <c r="M175" s="21"/>
      <c r="N175" s="24"/>
      <c r="O175" s="21"/>
      <c r="P175" s="24"/>
      <c r="Q175" s="21"/>
      <c r="R175" s="24"/>
      <c r="S175" s="21"/>
      <c r="U175" s="19"/>
      <c r="V175" s="19"/>
      <c r="W175" s="21"/>
    </row>
    <row r="176" spans="1:23" ht="15.75" customHeight="1">
      <c r="B176" s="24"/>
      <c r="C176" s="21"/>
      <c r="D176" s="24"/>
      <c r="E176" s="21"/>
      <c r="F176" s="24"/>
      <c r="G176" s="21"/>
      <c r="H176" s="24"/>
      <c r="I176" s="991"/>
      <c r="J176" s="24"/>
      <c r="K176" s="21"/>
      <c r="L176" s="24"/>
      <c r="M176" s="21"/>
      <c r="N176" s="24"/>
      <c r="O176" s="21"/>
      <c r="P176" s="24"/>
      <c r="Q176" s="21"/>
      <c r="R176" s="24"/>
      <c r="S176" s="21"/>
      <c r="U176" s="33"/>
      <c r="V176" s="19"/>
      <c r="W176" s="21"/>
    </row>
    <row r="177" spans="1:23" ht="14.25" customHeight="1">
      <c r="C177" s="21"/>
      <c r="E177" s="21"/>
      <c r="G177" s="21"/>
      <c r="H177" s="21"/>
      <c r="I177" s="21"/>
      <c r="K177" s="21"/>
      <c r="M177" s="21"/>
      <c r="O177" s="21"/>
      <c r="Q177" s="21"/>
      <c r="S177" s="21"/>
    </row>
    <row r="178" spans="1:23" ht="14.25" customHeight="1">
      <c r="T178" s="21"/>
      <c r="U178" s="21"/>
      <c r="V178" s="24"/>
    </row>
    <row r="179" spans="1:23" ht="14.25" customHeight="1">
      <c r="T179" s="21"/>
      <c r="U179" s="21"/>
    </row>
    <row r="180" spans="1:23" ht="15" customHeight="1">
      <c r="U180" s="21"/>
      <c r="V180" s="21"/>
    </row>
    <row r="181" spans="1:23" ht="15.75" customHeight="1">
      <c r="A181" s="989"/>
      <c r="B181" s="989"/>
      <c r="C181" s="989"/>
      <c r="D181" s="989"/>
      <c r="E181" s="989"/>
      <c r="F181" s="989"/>
      <c r="G181" s="989"/>
      <c r="H181" s="989"/>
      <c r="I181" s="989"/>
      <c r="J181" s="989"/>
      <c r="K181" s="989"/>
      <c r="L181" s="989"/>
      <c r="M181" s="989"/>
      <c r="N181" s="989"/>
      <c r="O181" s="989"/>
      <c r="P181" s="989"/>
      <c r="Q181" s="989"/>
      <c r="R181" s="989"/>
      <c r="S181" s="989"/>
      <c r="U181" s="1"/>
      <c r="V181" s="1"/>
    </row>
    <row r="182" spans="1:23" ht="15" customHeight="1">
      <c r="A182" s="987"/>
      <c r="B182" s="987"/>
      <c r="C182" s="987"/>
      <c r="D182" s="987"/>
      <c r="E182" s="987"/>
      <c r="F182" s="987"/>
      <c r="G182" s="987"/>
      <c r="H182" s="987"/>
      <c r="I182" s="987"/>
      <c r="J182" s="987"/>
      <c r="K182" s="987"/>
      <c r="L182" s="987"/>
      <c r="M182" s="987"/>
      <c r="N182" s="420"/>
      <c r="O182" s="420"/>
      <c r="P182" s="420"/>
      <c r="Q182" s="420"/>
      <c r="R182" s="987"/>
      <c r="S182" s="987"/>
      <c r="U182" s="1"/>
      <c r="V182" s="1"/>
    </row>
    <row r="183" spans="1:23" ht="36" customHeight="1">
      <c r="A183" s="987"/>
      <c r="B183" s="985"/>
      <c r="C183" s="985"/>
      <c r="D183" s="985"/>
      <c r="E183" s="985"/>
      <c r="F183" s="985"/>
      <c r="G183" s="985"/>
      <c r="H183" s="985"/>
      <c r="I183" s="985"/>
      <c r="J183" s="985"/>
      <c r="K183" s="985"/>
      <c r="L183" s="985"/>
      <c r="M183" s="985"/>
      <c r="N183" s="985"/>
      <c r="O183" s="985"/>
      <c r="P183" s="985"/>
      <c r="Q183" s="985"/>
      <c r="R183" s="985"/>
      <c r="S183" s="986"/>
      <c r="U183" s="999"/>
      <c r="V183" s="999"/>
    </row>
    <row r="184" spans="1:23" ht="15" customHeight="1">
      <c r="A184" s="990"/>
      <c r="B184" s="24"/>
      <c r="C184" s="21"/>
      <c r="D184" s="1"/>
      <c r="E184" s="21"/>
      <c r="F184" s="1"/>
      <c r="G184" s="21"/>
      <c r="H184" s="24"/>
      <c r="I184" s="991"/>
      <c r="J184" s="24"/>
      <c r="K184" s="21"/>
      <c r="L184" s="992"/>
      <c r="M184" s="21"/>
      <c r="N184" s="24"/>
      <c r="O184" s="21"/>
      <c r="P184" s="24"/>
      <c r="Q184" s="21"/>
      <c r="R184" s="24"/>
      <c r="S184" s="21"/>
      <c r="T184" s="18"/>
      <c r="U184" s="44"/>
      <c r="V184" s="19"/>
      <c r="W184" s="21"/>
    </row>
    <row r="185" spans="1:23" ht="15" customHeight="1">
      <c r="A185" s="990"/>
      <c r="B185" s="24"/>
      <c r="C185" s="21"/>
      <c r="E185" s="21"/>
      <c r="F185" s="1"/>
      <c r="G185" s="21"/>
      <c r="H185" s="24"/>
      <c r="I185" s="21"/>
      <c r="J185" s="24"/>
      <c r="K185" s="21"/>
      <c r="L185" s="992"/>
      <c r="M185" s="21"/>
      <c r="N185" s="24"/>
      <c r="O185" s="21"/>
      <c r="P185" s="24"/>
      <c r="Q185" s="21"/>
      <c r="R185" s="24"/>
      <c r="S185" s="21"/>
      <c r="T185" s="45"/>
      <c r="V185" s="19"/>
      <c r="W185" s="21"/>
    </row>
    <row r="186" spans="1:23" ht="15" customHeight="1">
      <c r="B186" s="24"/>
      <c r="C186" s="21"/>
      <c r="D186" s="24"/>
      <c r="E186" s="21"/>
      <c r="F186" s="24"/>
      <c r="G186" s="21"/>
      <c r="H186" s="24"/>
      <c r="I186" s="991"/>
      <c r="J186" s="24"/>
      <c r="K186" s="21"/>
      <c r="L186" s="24"/>
      <c r="M186" s="21"/>
      <c r="N186" s="24"/>
      <c r="O186" s="21"/>
      <c r="P186" s="24"/>
      <c r="Q186" s="21"/>
      <c r="R186" s="24"/>
      <c r="S186" s="21"/>
      <c r="U186" s="19"/>
      <c r="V186" s="19"/>
      <c r="W186" s="21"/>
    </row>
    <row r="187" spans="1:23" ht="15" customHeight="1">
      <c r="B187" s="24"/>
      <c r="C187" s="21"/>
      <c r="D187" s="24"/>
      <c r="E187" s="21"/>
      <c r="F187" s="24"/>
      <c r="G187" s="21"/>
      <c r="H187" s="24"/>
      <c r="I187" s="991"/>
      <c r="J187" s="24"/>
      <c r="K187" s="21"/>
      <c r="L187" s="24"/>
      <c r="M187" s="21"/>
      <c r="N187" s="24"/>
      <c r="O187" s="21"/>
      <c r="P187" s="24"/>
      <c r="Q187" s="21"/>
      <c r="R187" s="24"/>
      <c r="S187" s="21"/>
      <c r="U187" s="19"/>
      <c r="V187" s="19"/>
      <c r="W187" s="21"/>
    </row>
    <row r="188" spans="1:23" ht="15" customHeight="1">
      <c r="B188" s="24"/>
      <c r="C188" s="21"/>
      <c r="D188" s="24"/>
      <c r="E188" s="21"/>
      <c r="F188" s="24"/>
      <c r="G188" s="21"/>
      <c r="H188" s="24"/>
      <c r="I188" s="991"/>
      <c r="J188" s="24"/>
      <c r="K188" s="21"/>
      <c r="L188" s="24"/>
      <c r="M188" s="21"/>
      <c r="N188" s="24"/>
      <c r="O188" s="21"/>
      <c r="P188" s="24"/>
      <c r="Q188" s="21"/>
      <c r="R188" s="24"/>
      <c r="S188" s="21"/>
      <c r="U188" s="19"/>
      <c r="V188" s="19"/>
      <c r="W188" s="21"/>
    </row>
    <row r="189" spans="1:23" ht="15" customHeight="1">
      <c r="B189" s="24"/>
      <c r="C189" s="21"/>
      <c r="D189" s="24"/>
      <c r="E189" s="21"/>
      <c r="F189" s="24"/>
      <c r="G189" s="21"/>
      <c r="H189" s="24"/>
      <c r="I189" s="991"/>
      <c r="J189" s="24"/>
      <c r="K189" s="21"/>
      <c r="L189" s="24"/>
      <c r="M189" s="21"/>
      <c r="N189" s="24"/>
      <c r="O189" s="21"/>
      <c r="P189" s="24"/>
      <c r="Q189" s="21"/>
      <c r="R189" s="24"/>
      <c r="S189" s="21"/>
      <c r="U189" s="19"/>
      <c r="V189" s="19"/>
      <c r="W189" s="21"/>
    </row>
    <row r="190" spans="1:23" ht="15" customHeight="1">
      <c r="B190" s="24"/>
      <c r="C190" s="21"/>
      <c r="D190" s="24"/>
      <c r="E190" s="21"/>
      <c r="F190" s="24"/>
      <c r="G190" s="21"/>
      <c r="H190" s="24"/>
      <c r="I190" s="991"/>
      <c r="J190" s="24"/>
      <c r="K190" s="21"/>
      <c r="L190" s="24"/>
      <c r="M190" s="21"/>
      <c r="N190" s="24"/>
      <c r="O190" s="21"/>
      <c r="P190" s="24"/>
      <c r="Q190" s="21"/>
      <c r="R190" s="24"/>
      <c r="S190" s="21"/>
      <c r="U190" s="19"/>
      <c r="V190" s="19"/>
      <c r="W190" s="21"/>
    </row>
    <row r="191" spans="1:23" ht="15" customHeight="1">
      <c r="B191" s="24"/>
      <c r="C191" s="21"/>
      <c r="D191" s="24"/>
      <c r="E191" s="21"/>
      <c r="F191" s="24"/>
      <c r="G191" s="21"/>
      <c r="H191" s="24"/>
      <c r="I191" s="991"/>
      <c r="J191" s="24"/>
      <c r="K191" s="21"/>
      <c r="L191" s="24"/>
      <c r="M191" s="21"/>
      <c r="N191" s="24"/>
      <c r="O191" s="21"/>
      <c r="P191" s="24"/>
      <c r="Q191" s="21"/>
      <c r="R191" s="24"/>
      <c r="S191" s="21"/>
      <c r="U191" s="19"/>
      <c r="V191" s="19"/>
      <c r="W191" s="21"/>
    </row>
    <row r="192" spans="1:23" ht="15" customHeight="1">
      <c r="B192" s="24"/>
      <c r="C192" s="21"/>
      <c r="D192" s="24"/>
      <c r="E192" s="21"/>
      <c r="F192" s="24"/>
      <c r="G192" s="21"/>
      <c r="H192" s="24"/>
      <c r="I192" s="991"/>
      <c r="J192" s="24"/>
      <c r="K192" s="21"/>
      <c r="L192" s="24"/>
      <c r="M192" s="21"/>
      <c r="N192" s="24"/>
      <c r="O192" s="21"/>
      <c r="P192" s="24"/>
      <c r="Q192" s="21"/>
      <c r="R192" s="24"/>
      <c r="S192" s="21"/>
      <c r="U192" s="19"/>
      <c r="V192" s="19"/>
      <c r="W192" s="21"/>
    </row>
    <row r="193" spans="1:23" ht="15" customHeight="1">
      <c r="B193" s="24"/>
      <c r="C193" s="21"/>
      <c r="D193" s="24"/>
      <c r="E193" s="21"/>
      <c r="F193" s="24"/>
      <c r="G193" s="21"/>
      <c r="H193" s="24"/>
      <c r="I193" s="991"/>
      <c r="J193" s="24"/>
      <c r="K193" s="21"/>
      <c r="L193" s="24"/>
      <c r="M193" s="21"/>
      <c r="N193" s="24"/>
      <c r="O193" s="21"/>
      <c r="P193" s="24"/>
      <c r="Q193" s="21"/>
      <c r="R193" s="24"/>
      <c r="S193" s="21"/>
      <c r="U193" s="19"/>
      <c r="V193" s="19"/>
      <c r="W193" s="21"/>
    </row>
    <row r="194" spans="1:23" ht="15.75" customHeight="1">
      <c r="B194" s="24"/>
      <c r="C194" s="21"/>
      <c r="D194" s="24"/>
      <c r="E194" s="21"/>
      <c r="F194" s="24"/>
      <c r="G194" s="21"/>
      <c r="H194" s="24"/>
      <c r="I194" s="991"/>
      <c r="J194" s="24"/>
      <c r="K194" s="21"/>
      <c r="L194" s="24"/>
      <c r="M194" s="21"/>
      <c r="N194" s="24"/>
      <c r="O194" s="21"/>
      <c r="P194" s="24"/>
      <c r="Q194" s="21"/>
      <c r="R194" s="24"/>
      <c r="S194" s="21"/>
      <c r="U194" s="33"/>
      <c r="V194" s="19"/>
      <c r="W194" s="21"/>
    </row>
    <row r="195" spans="1:23" ht="14.25" customHeight="1">
      <c r="C195" s="21"/>
      <c r="E195" s="21"/>
      <c r="G195" s="21"/>
      <c r="H195" s="21"/>
      <c r="I195" s="21"/>
      <c r="K195" s="21"/>
      <c r="M195" s="21"/>
      <c r="O195" s="21"/>
      <c r="Q195" s="21"/>
      <c r="S195" s="21"/>
    </row>
    <row r="196" spans="1:23" ht="14.25" customHeight="1">
      <c r="T196" s="21"/>
      <c r="U196" s="21"/>
      <c r="V196" s="24"/>
    </row>
    <row r="197" spans="1:23" ht="14.25" customHeight="1">
      <c r="T197" s="21"/>
      <c r="U197" s="21"/>
    </row>
    <row r="198" spans="1:23" ht="15" customHeight="1">
      <c r="U198" s="21"/>
      <c r="V198" s="21"/>
    </row>
    <row r="199" spans="1:23" ht="15.75" customHeight="1">
      <c r="A199" s="989"/>
      <c r="B199" s="989"/>
      <c r="C199" s="989"/>
      <c r="D199" s="989"/>
      <c r="E199" s="989"/>
      <c r="F199" s="989"/>
      <c r="G199" s="989"/>
      <c r="H199" s="989"/>
      <c r="I199" s="989"/>
      <c r="J199" s="989"/>
      <c r="K199" s="989"/>
      <c r="L199" s="989"/>
      <c r="M199" s="989"/>
      <c r="N199" s="989"/>
      <c r="O199" s="989"/>
      <c r="P199" s="989"/>
      <c r="Q199" s="989"/>
      <c r="R199" s="989"/>
      <c r="S199" s="989"/>
      <c r="U199" s="1"/>
      <c r="V199" s="1"/>
    </row>
    <row r="200" spans="1:23" ht="15" customHeight="1">
      <c r="A200" s="987"/>
      <c r="B200" s="987"/>
      <c r="C200" s="987"/>
      <c r="D200" s="987"/>
      <c r="E200" s="987"/>
      <c r="F200" s="987"/>
      <c r="G200" s="987"/>
      <c r="H200" s="987"/>
      <c r="I200" s="987"/>
      <c r="J200" s="987"/>
      <c r="K200" s="987"/>
      <c r="L200" s="987"/>
      <c r="M200" s="987"/>
      <c r="N200" s="420"/>
      <c r="O200" s="420"/>
      <c r="P200" s="420"/>
      <c r="Q200" s="420"/>
      <c r="R200" s="987"/>
      <c r="S200" s="987"/>
      <c r="U200" s="1"/>
      <c r="V200" s="1"/>
    </row>
    <row r="201" spans="1:23" ht="36" customHeight="1">
      <c r="A201" s="987"/>
      <c r="B201" s="985"/>
      <c r="C201" s="985"/>
      <c r="D201" s="985"/>
      <c r="E201" s="985"/>
      <c r="F201" s="985"/>
      <c r="G201" s="985"/>
      <c r="H201" s="985"/>
      <c r="I201" s="985"/>
      <c r="J201" s="985"/>
      <c r="K201" s="985"/>
      <c r="L201" s="985"/>
      <c r="M201" s="985"/>
      <c r="N201" s="985"/>
      <c r="O201" s="985"/>
      <c r="P201" s="985"/>
      <c r="Q201" s="985"/>
      <c r="R201" s="985"/>
      <c r="S201" s="986"/>
      <c r="U201" s="999"/>
      <c r="V201" s="999"/>
    </row>
    <row r="202" spans="1:23" ht="15" customHeight="1">
      <c r="A202" s="990"/>
      <c r="B202" s="24"/>
      <c r="C202" s="21"/>
      <c r="D202" s="1"/>
      <c r="E202" s="21"/>
      <c r="F202" s="1"/>
      <c r="G202" s="21"/>
      <c r="H202" s="24"/>
      <c r="I202" s="991"/>
      <c r="J202" s="24"/>
      <c r="K202" s="21"/>
      <c r="L202" s="992"/>
      <c r="M202" s="21"/>
      <c r="N202" s="24"/>
      <c r="O202" s="21"/>
      <c r="P202" s="24"/>
      <c r="Q202" s="21"/>
      <c r="R202" s="24"/>
      <c r="S202" s="21"/>
      <c r="T202" s="18"/>
      <c r="U202" s="44"/>
      <c r="V202" s="19"/>
      <c r="W202" s="21"/>
    </row>
    <row r="203" spans="1:23" ht="15" customHeight="1">
      <c r="A203" s="990"/>
      <c r="B203" s="24"/>
      <c r="C203" s="21"/>
      <c r="E203" s="21"/>
      <c r="F203" s="1"/>
      <c r="G203" s="21"/>
      <c r="H203" s="24"/>
      <c r="I203" s="21"/>
      <c r="J203" s="24"/>
      <c r="K203" s="21"/>
      <c r="L203" s="992"/>
      <c r="M203" s="21"/>
      <c r="N203" s="24"/>
      <c r="O203" s="21"/>
      <c r="P203" s="24"/>
      <c r="Q203" s="21"/>
      <c r="R203" s="24"/>
      <c r="S203" s="21"/>
      <c r="T203" s="45"/>
      <c r="V203" s="19"/>
      <c r="W203" s="21"/>
    </row>
    <row r="204" spans="1:23" ht="15" customHeight="1">
      <c r="B204" s="24"/>
      <c r="C204" s="21"/>
      <c r="D204" s="24"/>
      <c r="E204" s="21"/>
      <c r="F204" s="24"/>
      <c r="G204" s="21"/>
      <c r="H204" s="24"/>
      <c r="I204" s="991"/>
      <c r="J204" s="24"/>
      <c r="K204" s="21"/>
      <c r="L204" s="24"/>
      <c r="M204" s="21"/>
      <c r="N204" s="24"/>
      <c r="O204" s="21"/>
      <c r="P204" s="24"/>
      <c r="Q204" s="21"/>
      <c r="R204" s="24"/>
      <c r="S204" s="21"/>
      <c r="U204" s="19"/>
      <c r="V204" s="19"/>
      <c r="W204" s="21"/>
    </row>
    <row r="205" spans="1:23" ht="15" customHeight="1">
      <c r="B205" s="24"/>
      <c r="C205" s="21"/>
      <c r="D205" s="24"/>
      <c r="E205" s="21"/>
      <c r="F205" s="24"/>
      <c r="G205" s="21"/>
      <c r="H205" s="24"/>
      <c r="I205" s="991"/>
      <c r="J205" s="24"/>
      <c r="K205" s="21"/>
      <c r="L205" s="24"/>
      <c r="M205" s="21"/>
      <c r="N205" s="24"/>
      <c r="O205" s="21"/>
      <c r="P205" s="24"/>
      <c r="Q205" s="21"/>
      <c r="R205" s="24"/>
      <c r="S205" s="21"/>
      <c r="U205" s="19"/>
      <c r="V205" s="19"/>
      <c r="W205" s="21"/>
    </row>
    <row r="206" spans="1:23" ht="15" customHeight="1">
      <c r="B206" s="24"/>
      <c r="C206" s="21"/>
      <c r="D206" s="24"/>
      <c r="E206" s="21"/>
      <c r="F206" s="24"/>
      <c r="G206" s="21"/>
      <c r="H206" s="24"/>
      <c r="I206" s="991"/>
      <c r="J206" s="24"/>
      <c r="K206" s="21"/>
      <c r="L206" s="24"/>
      <c r="M206" s="21"/>
      <c r="N206" s="24"/>
      <c r="O206" s="21"/>
      <c r="P206" s="24"/>
      <c r="Q206" s="21"/>
      <c r="R206" s="24"/>
      <c r="S206" s="21"/>
      <c r="U206" s="19"/>
      <c r="V206" s="19"/>
      <c r="W206" s="21"/>
    </row>
    <row r="207" spans="1:23" ht="15" customHeight="1">
      <c r="B207" s="24"/>
      <c r="C207" s="21"/>
      <c r="D207" s="24"/>
      <c r="E207" s="21"/>
      <c r="F207" s="24"/>
      <c r="G207" s="21"/>
      <c r="H207" s="24"/>
      <c r="I207" s="991"/>
      <c r="J207" s="24"/>
      <c r="K207" s="21"/>
      <c r="L207" s="24"/>
      <c r="M207" s="21"/>
      <c r="N207" s="24"/>
      <c r="O207" s="21"/>
      <c r="P207" s="24"/>
      <c r="Q207" s="21"/>
      <c r="R207" s="24"/>
      <c r="S207" s="21"/>
      <c r="U207" s="19"/>
      <c r="V207" s="19"/>
      <c r="W207" s="21"/>
    </row>
    <row r="208" spans="1:23" ht="15" customHeight="1">
      <c r="B208" s="24"/>
      <c r="C208" s="21"/>
      <c r="D208" s="24"/>
      <c r="E208" s="21"/>
      <c r="F208" s="24"/>
      <c r="G208" s="21"/>
      <c r="H208" s="24"/>
      <c r="I208" s="991"/>
      <c r="J208" s="24"/>
      <c r="K208" s="21"/>
      <c r="L208" s="24"/>
      <c r="M208" s="21"/>
      <c r="N208" s="24"/>
      <c r="O208" s="21"/>
      <c r="P208" s="24"/>
      <c r="Q208" s="21"/>
      <c r="R208" s="24"/>
      <c r="S208" s="21"/>
      <c r="U208" s="19"/>
      <c r="V208" s="19"/>
      <c r="W208" s="21"/>
    </row>
    <row r="209" spans="1:23" ht="15" customHeight="1">
      <c r="B209" s="24"/>
      <c r="C209" s="21"/>
      <c r="D209" s="24"/>
      <c r="E209" s="21"/>
      <c r="F209" s="24"/>
      <c r="G209" s="21"/>
      <c r="H209" s="24"/>
      <c r="I209" s="991"/>
      <c r="J209" s="24"/>
      <c r="K209" s="21"/>
      <c r="L209" s="24"/>
      <c r="M209" s="21"/>
      <c r="N209" s="24"/>
      <c r="O209" s="21"/>
      <c r="P209" s="24"/>
      <c r="Q209" s="21"/>
      <c r="R209" s="24"/>
      <c r="S209" s="21"/>
      <c r="U209" s="19"/>
      <c r="V209" s="19"/>
      <c r="W209" s="21"/>
    </row>
    <row r="210" spans="1:23" ht="15" customHeight="1">
      <c r="B210" s="24"/>
      <c r="C210" s="21"/>
      <c r="D210" s="24"/>
      <c r="E210" s="21"/>
      <c r="F210" s="24"/>
      <c r="G210" s="21"/>
      <c r="H210" s="24"/>
      <c r="I210" s="991"/>
      <c r="J210" s="24"/>
      <c r="K210" s="21"/>
      <c r="L210" s="24"/>
      <c r="M210" s="21"/>
      <c r="N210" s="24"/>
      <c r="O210" s="21"/>
      <c r="P210" s="24"/>
      <c r="Q210" s="21"/>
      <c r="R210" s="24"/>
      <c r="S210" s="21"/>
      <c r="U210" s="19"/>
      <c r="V210" s="19"/>
      <c r="W210" s="21"/>
    </row>
    <row r="211" spans="1:23" ht="15" customHeight="1">
      <c r="B211" s="24"/>
      <c r="C211" s="21"/>
      <c r="D211" s="24"/>
      <c r="E211" s="21"/>
      <c r="F211" s="24"/>
      <c r="G211" s="21"/>
      <c r="H211" s="24"/>
      <c r="I211" s="991"/>
      <c r="J211" s="24"/>
      <c r="K211" s="21"/>
      <c r="L211" s="24"/>
      <c r="M211" s="21"/>
      <c r="N211" s="24"/>
      <c r="O211" s="21"/>
      <c r="P211" s="24"/>
      <c r="Q211" s="21"/>
      <c r="R211" s="24"/>
      <c r="S211" s="21"/>
      <c r="U211" s="19"/>
      <c r="V211" s="19"/>
      <c r="W211" s="21"/>
    </row>
    <row r="212" spans="1:23" ht="15.75" customHeight="1">
      <c r="B212" s="24"/>
      <c r="C212" s="21"/>
      <c r="D212" s="24"/>
      <c r="E212" s="21"/>
      <c r="F212" s="24"/>
      <c r="G212" s="21"/>
      <c r="H212" s="24"/>
      <c r="I212" s="991"/>
      <c r="J212" s="24"/>
      <c r="K212" s="21"/>
      <c r="L212" s="24"/>
      <c r="M212" s="21"/>
      <c r="N212" s="24"/>
      <c r="O212" s="21"/>
      <c r="P212" s="24"/>
      <c r="Q212" s="21"/>
      <c r="R212" s="24"/>
      <c r="S212" s="21"/>
      <c r="U212" s="33"/>
      <c r="V212" s="19"/>
      <c r="W212" s="21"/>
    </row>
    <row r="213" spans="1:23" ht="14.25" customHeight="1">
      <c r="C213" s="21"/>
      <c r="E213" s="21"/>
      <c r="G213" s="21"/>
      <c r="H213" s="21"/>
      <c r="I213" s="21"/>
      <c r="K213" s="21"/>
      <c r="M213" s="21"/>
      <c r="O213" s="21"/>
      <c r="Q213" s="21"/>
      <c r="S213" s="21"/>
    </row>
    <row r="214" spans="1:23" ht="14.25" customHeight="1">
      <c r="T214" s="21"/>
      <c r="U214" s="21"/>
      <c r="V214" s="24"/>
    </row>
    <row r="215" spans="1:23" ht="14.25" customHeight="1">
      <c r="T215" s="21"/>
      <c r="U215" s="21"/>
    </row>
    <row r="216" spans="1:23" ht="15" customHeight="1">
      <c r="U216" s="21"/>
      <c r="V216" s="21"/>
    </row>
    <row r="217" spans="1:23" ht="15.75" customHeight="1">
      <c r="A217" s="989"/>
      <c r="B217" s="989"/>
      <c r="C217" s="989"/>
      <c r="D217" s="989"/>
      <c r="E217" s="989"/>
      <c r="F217" s="989"/>
      <c r="G217" s="989"/>
      <c r="H217" s="989"/>
      <c r="I217" s="989"/>
      <c r="J217" s="989"/>
      <c r="K217" s="989"/>
      <c r="L217" s="989"/>
      <c r="M217" s="989"/>
      <c r="N217" s="989"/>
      <c r="O217" s="989"/>
      <c r="P217" s="989"/>
      <c r="Q217" s="989"/>
      <c r="R217" s="989"/>
      <c r="S217" s="989"/>
      <c r="U217" s="1"/>
      <c r="V217" s="1"/>
    </row>
    <row r="218" spans="1:23" ht="15" customHeight="1">
      <c r="A218" s="987"/>
      <c r="B218" s="987"/>
      <c r="C218" s="987"/>
      <c r="D218" s="987"/>
      <c r="E218" s="987"/>
      <c r="F218" s="987"/>
      <c r="G218" s="987"/>
      <c r="H218" s="987"/>
      <c r="I218" s="987"/>
      <c r="J218" s="987"/>
      <c r="K218" s="987"/>
      <c r="L218" s="987"/>
      <c r="M218" s="987"/>
      <c r="N218" s="420"/>
      <c r="O218" s="420"/>
      <c r="P218" s="420"/>
      <c r="Q218" s="420"/>
      <c r="R218" s="987"/>
      <c r="S218" s="987"/>
      <c r="U218" s="1"/>
      <c r="V218" s="1"/>
    </row>
    <row r="219" spans="1:23" ht="36" customHeight="1">
      <c r="A219" s="987"/>
      <c r="B219" s="985"/>
      <c r="C219" s="985"/>
      <c r="D219" s="985"/>
      <c r="E219" s="985"/>
      <c r="F219" s="985"/>
      <c r="G219" s="985"/>
      <c r="H219" s="985"/>
      <c r="I219" s="985"/>
      <c r="J219" s="985"/>
      <c r="K219" s="985"/>
      <c r="L219" s="985"/>
      <c r="M219" s="985"/>
      <c r="N219" s="985"/>
      <c r="O219" s="985"/>
      <c r="P219" s="985"/>
      <c r="Q219" s="985"/>
      <c r="R219" s="985"/>
      <c r="S219" s="986"/>
      <c r="U219" s="999"/>
      <c r="V219" s="999"/>
    </row>
    <row r="220" spans="1:23" ht="15" customHeight="1">
      <c r="A220" s="990"/>
      <c r="B220" s="24"/>
      <c r="C220" s="21"/>
      <c r="D220" s="1"/>
      <c r="E220" s="21"/>
      <c r="F220" s="1"/>
      <c r="G220" s="21"/>
      <c r="H220" s="24"/>
      <c r="I220" s="991"/>
      <c r="J220" s="24"/>
      <c r="K220" s="21"/>
      <c r="L220" s="992"/>
      <c r="M220" s="21"/>
      <c r="N220" s="24"/>
      <c r="O220" s="21"/>
      <c r="P220" s="24"/>
      <c r="Q220" s="21"/>
      <c r="R220" s="24"/>
      <c r="S220" s="21"/>
      <c r="T220" s="18"/>
      <c r="U220" s="44"/>
      <c r="V220" s="19"/>
      <c r="W220" s="21"/>
    </row>
    <row r="221" spans="1:23" ht="15" customHeight="1">
      <c r="A221" s="990"/>
      <c r="B221" s="24"/>
      <c r="C221" s="21"/>
      <c r="E221" s="21"/>
      <c r="F221" s="1"/>
      <c r="G221" s="21"/>
      <c r="H221" s="24"/>
      <c r="I221" s="21"/>
      <c r="J221" s="24"/>
      <c r="K221" s="21"/>
      <c r="L221" s="992"/>
      <c r="M221" s="21"/>
      <c r="N221" s="24"/>
      <c r="O221" s="21"/>
      <c r="P221" s="24"/>
      <c r="Q221" s="21"/>
      <c r="R221" s="24"/>
      <c r="S221" s="21"/>
      <c r="T221" s="45"/>
      <c r="V221" s="19"/>
      <c r="W221" s="21"/>
    </row>
    <row r="222" spans="1:23" ht="15" customHeight="1">
      <c r="B222" s="24"/>
      <c r="C222" s="21"/>
      <c r="D222" s="24"/>
      <c r="E222" s="21"/>
      <c r="F222" s="24"/>
      <c r="G222" s="21"/>
      <c r="H222" s="24"/>
      <c r="I222" s="991"/>
      <c r="J222" s="24"/>
      <c r="K222" s="21"/>
      <c r="L222" s="24"/>
      <c r="M222" s="21"/>
      <c r="N222" s="24"/>
      <c r="O222" s="21"/>
      <c r="P222" s="24"/>
      <c r="Q222" s="21"/>
      <c r="R222" s="24"/>
      <c r="S222" s="21"/>
      <c r="U222" s="19"/>
      <c r="V222" s="19"/>
      <c r="W222" s="21"/>
    </row>
    <row r="223" spans="1:23" ht="15" customHeight="1">
      <c r="B223" s="24"/>
      <c r="C223" s="21"/>
      <c r="D223" s="24"/>
      <c r="E223" s="21"/>
      <c r="F223" s="24"/>
      <c r="G223" s="21"/>
      <c r="H223" s="24"/>
      <c r="I223" s="991"/>
      <c r="J223" s="24"/>
      <c r="K223" s="21"/>
      <c r="L223" s="24"/>
      <c r="M223" s="21"/>
      <c r="N223" s="24"/>
      <c r="O223" s="21"/>
      <c r="P223" s="24"/>
      <c r="Q223" s="21"/>
      <c r="R223" s="24"/>
      <c r="S223" s="21"/>
      <c r="U223" s="19"/>
      <c r="V223" s="19"/>
      <c r="W223" s="21"/>
    </row>
    <row r="224" spans="1:23" ht="15" customHeight="1">
      <c r="B224" s="24"/>
      <c r="C224" s="21"/>
      <c r="D224" s="24"/>
      <c r="E224" s="21"/>
      <c r="F224" s="24"/>
      <c r="G224" s="21"/>
      <c r="H224" s="24"/>
      <c r="I224" s="991"/>
      <c r="J224" s="24"/>
      <c r="K224" s="21"/>
      <c r="L224" s="24"/>
      <c r="M224" s="21"/>
      <c r="N224" s="24"/>
      <c r="O224" s="21"/>
      <c r="P224" s="24"/>
      <c r="Q224" s="21"/>
      <c r="R224" s="24"/>
      <c r="S224" s="21"/>
      <c r="U224" s="19"/>
      <c r="V224" s="19"/>
      <c r="W224" s="21"/>
    </row>
    <row r="225" spans="1:23" ht="15" customHeight="1">
      <c r="B225" s="24"/>
      <c r="C225" s="21"/>
      <c r="D225" s="24"/>
      <c r="E225" s="21"/>
      <c r="F225" s="24"/>
      <c r="G225" s="21"/>
      <c r="H225" s="24"/>
      <c r="I225" s="991"/>
      <c r="J225" s="24"/>
      <c r="K225" s="21"/>
      <c r="L225" s="24"/>
      <c r="M225" s="21"/>
      <c r="N225" s="24"/>
      <c r="O225" s="21"/>
      <c r="P225" s="24"/>
      <c r="Q225" s="21"/>
      <c r="R225" s="24"/>
      <c r="S225" s="21"/>
      <c r="U225" s="19"/>
      <c r="V225" s="19"/>
      <c r="W225" s="21"/>
    </row>
    <row r="226" spans="1:23" ht="15" customHeight="1">
      <c r="B226" s="24"/>
      <c r="C226" s="21"/>
      <c r="D226" s="24"/>
      <c r="E226" s="21"/>
      <c r="F226" s="24"/>
      <c r="G226" s="21"/>
      <c r="H226" s="24"/>
      <c r="I226" s="991"/>
      <c r="J226" s="24"/>
      <c r="K226" s="21"/>
      <c r="L226" s="24"/>
      <c r="M226" s="21"/>
      <c r="N226" s="24"/>
      <c r="O226" s="21"/>
      <c r="P226" s="24"/>
      <c r="Q226" s="21"/>
      <c r="R226" s="24"/>
      <c r="S226" s="21"/>
      <c r="U226" s="19"/>
      <c r="V226" s="19"/>
      <c r="W226" s="21"/>
    </row>
    <row r="227" spans="1:23" ht="15" customHeight="1">
      <c r="B227" s="24"/>
      <c r="C227" s="21"/>
      <c r="D227" s="24"/>
      <c r="E227" s="21"/>
      <c r="F227" s="24"/>
      <c r="G227" s="21"/>
      <c r="H227" s="24"/>
      <c r="I227" s="991"/>
      <c r="J227" s="24"/>
      <c r="K227" s="21"/>
      <c r="L227" s="24"/>
      <c r="M227" s="21"/>
      <c r="N227" s="24"/>
      <c r="O227" s="21"/>
      <c r="P227" s="24"/>
      <c r="Q227" s="21"/>
      <c r="R227" s="24"/>
      <c r="S227" s="21"/>
      <c r="U227" s="19"/>
      <c r="V227" s="19"/>
      <c r="W227" s="21"/>
    </row>
    <row r="228" spans="1:23" ht="15" customHeight="1">
      <c r="B228" s="24"/>
      <c r="C228" s="21"/>
      <c r="D228" s="24"/>
      <c r="E228" s="21"/>
      <c r="F228" s="24"/>
      <c r="G228" s="21"/>
      <c r="H228" s="24"/>
      <c r="I228" s="991"/>
      <c r="J228" s="24"/>
      <c r="K228" s="21"/>
      <c r="L228" s="24"/>
      <c r="M228" s="21"/>
      <c r="N228" s="24"/>
      <c r="O228" s="21"/>
      <c r="P228" s="24"/>
      <c r="Q228" s="21"/>
      <c r="R228" s="24"/>
      <c r="S228" s="21"/>
      <c r="U228" s="19"/>
      <c r="V228" s="19"/>
      <c r="W228" s="21"/>
    </row>
    <row r="229" spans="1:23" ht="15" customHeight="1">
      <c r="B229" s="24"/>
      <c r="C229" s="21"/>
      <c r="D229" s="24"/>
      <c r="E229" s="21"/>
      <c r="F229" s="24"/>
      <c r="G229" s="21"/>
      <c r="H229" s="24"/>
      <c r="I229" s="991"/>
      <c r="J229" s="24"/>
      <c r="K229" s="21"/>
      <c r="L229" s="24"/>
      <c r="M229" s="21"/>
      <c r="N229" s="24"/>
      <c r="O229" s="21"/>
      <c r="P229" s="24"/>
      <c r="Q229" s="21"/>
      <c r="R229" s="24"/>
      <c r="S229" s="21"/>
      <c r="U229" s="19"/>
      <c r="V229" s="19"/>
      <c r="W229" s="21"/>
    </row>
    <row r="230" spans="1:23" ht="15.75" customHeight="1">
      <c r="B230" s="24"/>
      <c r="C230" s="21"/>
      <c r="D230" s="24"/>
      <c r="E230" s="21"/>
      <c r="F230" s="24"/>
      <c r="G230" s="21"/>
      <c r="H230" s="24"/>
      <c r="I230" s="991"/>
      <c r="J230" s="24"/>
      <c r="K230" s="21"/>
      <c r="L230" s="24"/>
      <c r="M230" s="21"/>
      <c r="N230" s="24"/>
      <c r="O230" s="21"/>
      <c r="P230" s="24"/>
      <c r="Q230" s="21"/>
      <c r="R230" s="24"/>
      <c r="S230" s="21"/>
      <c r="U230" s="33"/>
      <c r="V230" s="19"/>
      <c r="W230" s="21"/>
    </row>
    <row r="231" spans="1:23" ht="14.25" customHeight="1">
      <c r="C231" s="21"/>
      <c r="E231" s="21"/>
      <c r="G231" s="21"/>
      <c r="H231" s="21"/>
      <c r="I231" s="21"/>
      <c r="K231" s="21"/>
      <c r="M231" s="21"/>
      <c r="O231" s="21"/>
      <c r="Q231" s="21"/>
      <c r="S231" s="21"/>
    </row>
    <row r="232" spans="1:23" ht="14.25" customHeight="1">
      <c r="T232" s="21"/>
      <c r="U232" s="21"/>
      <c r="V232" s="24"/>
    </row>
    <row r="233" spans="1:23" ht="14.25" customHeight="1">
      <c r="T233" s="21"/>
      <c r="U233" s="21"/>
    </row>
    <row r="234" spans="1:23" ht="15" customHeight="1">
      <c r="U234" s="21"/>
      <c r="V234" s="21"/>
    </row>
    <row r="235" spans="1:23" ht="15.75" customHeight="1">
      <c r="A235" s="989"/>
      <c r="B235" s="989"/>
      <c r="C235" s="989"/>
      <c r="D235" s="989"/>
      <c r="E235" s="989"/>
      <c r="F235" s="989"/>
      <c r="G235" s="989"/>
      <c r="H235" s="989"/>
      <c r="I235" s="989"/>
      <c r="J235" s="989"/>
      <c r="K235" s="989"/>
      <c r="L235" s="989"/>
      <c r="M235" s="989"/>
      <c r="N235" s="989"/>
      <c r="O235" s="989"/>
      <c r="P235" s="989"/>
      <c r="Q235" s="989"/>
      <c r="R235" s="989"/>
      <c r="S235" s="989"/>
      <c r="U235" s="1"/>
      <c r="V235" s="1"/>
    </row>
    <row r="236" spans="1:23" ht="15" customHeight="1">
      <c r="A236" s="987"/>
      <c r="B236" s="987"/>
      <c r="C236" s="987"/>
      <c r="D236" s="987"/>
      <c r="E236" s="987"/>
      <c r="F236" s="987"/>
      <c r="G236" s="987"/>
      <c r="H236" s="987"/>
      <c r="I236" s="987"/>
      <c r="J236" s="987"/>
      <c r="K236" s="987"/>
      <c r="L236" s="987"/>
      <c r="M236" s="987"/>
      <c r="N236" s="420"/>
      <c r="O236" s="420"/>
      <c r="P236" s="420"/>
      <c r="Q236" s="420"/>
      <c r="R236" s="987"/>
      <c r="S236" s="987"/>
      <c r="U236" s="1"/>
      <c r="V236" s="1"/>
    </row>
    <row r="237" spans="1:23" ht="36" customHeight="1">
      <c r="A237" s="987"/>
      <c r="B237" s="985"/>
      <c r="C237" s="985"/>
      <c r="D237" s="985"/>
      <c r="E237" s="985"/>
      <c r="F237" s="985"/>
      <c r="G237" s="985"/>
      <c r="H237" s="985"/>
      <c r="I237" s="985"/>
      <c r="J237" s="985"/>
      <c r="K237" s="985"/>
      <c r="L237" s="985"/>
      <c r="M237" s="985"/>
      <c r="N237" s="985"/>
      <c r="O237" s="985"/>
      <c r="P237" s="985"/>
      <c r="Q237" s="985"/>
      <c r="R237" s="985"/>
      <c r="S237" s="986"/>
      <c r="U237" s="999"/>
      <c r="V237" s="999"/>
    </row>
    <row r="238" spans="1:23" ht="15" customHeight="1">
      <c r="A238" s="990"/>
      <c r="B238" s="24"/>
      <c r="C238" s="21"/>
      <c r="D238" s="1"/>
      <c r="E238" s="21"/>
      <c r="F238" s="1"/>
      <c r="G238" s="21"/>
      <c r="H238" s="24"/>
      <c r="I238" s="991"/>
      <c r="J238" s="24"/>
      <c r="K238" s="21"/>
      <c r="L238" s="992"/>
      <c r="M238" s="21"/>
      <c r="N238" s="24"/>
      <c r="O238" s="21"/>
      <c r="P238" s="24"/>
      <c r="Q238" s="21"/>
      <c r="R238" s="24"/>
      <c r="S238" s="21"/>
      <c r="T238" s="18"/>
      <c r="U238" s="44"/>
      <c r="V238" s="19"/>
      <c r="W238" s="21"/>
    </row>
    <row r="239" spans="1:23" ht="15" customHeight="1">
      <c r="A239" s="990"/>
      <c r="B239" s="24"/>
      <c r="C239" s="21"/>
      <c r="E239" s="21"/>
      <c r="F239" s="1"/>
      <c r="G239" s="21"/>
      <c r="H239" s="24"/>
      <c r="I239" s="21"/>
      <c r="J239" s="24"/>
      <c r="K239" s="21"/>
      <c r="L239" s="992"/>
      <c r="M239" s="21"/>
      <c r="N239" s="24"/>
      <c r="O239" s="21"/>
      <c r="P239" s="24"/>
      <c r="Q239" s="21"/>
      <c r="R239" s="24"/>
      <c r="S239" s="21"/>
      <c r="T239" s="45"/>
      <c r="V239" s="19"/>
      <c r="W239" s="21"/>
    </row>
    <row r="240" spans="1:23" ht="15" customHeight="1">
      <c r="B240" s="24"/>
      <c r="C240" s="21"/>
      <c r="D240" s="24"/>
      <c r="E240" s="21"/>
      <c r="F240" s="24"/>
      <c r="G240" s="21"/>
      <c r="H240" s="24"/>
      <c r="I240" s="991"/>
      <c r="J240" s="24"/>
      <c r="K240" s="21"/>
      <c r="L240" s="24"/>
      <c r="M240" s="21"/>
      <c r="N240" s="24"/>
      <c r="O240" s="21"/>
      <c r="P240" s="24"/>
      <c r="Q240" s="21"/>
      <c r="R240" s="24"/>
      <c r="S240" s="21"/>
      <c r="U240" s="19"/>
      <c r="V240" s="19"/>
      <c r="W240" s="21"/>
    </row>
    <row r="241" spans="1:23" ht="15" customHeight="1">
      <c r="B241" s="24"/>
      <c r="C241" s="21"/>
      <c r="D241" s="24"/>
      <c r="E241" s="21"/>
      <c r="F241" s="24"/>
      <c r="G241" s="21"/>
      <c r="H241" s="24"/>
      <c r="I241" s="991"/>
      <c r="J241" s="24"/>
      <c r="K241" s="21"/>
      <c r="L241" s="24"/>
      <c r="M241" s="21"/>
      <c r="N241" s="24"/>
      <c r="O241" s="21"/>
      <c r="P241" s="24"/>
      <c r="Q241" s="21"/>
      <c r="R241" s="24"/>
      <c r="S241" s="21"/>
      <c r="U241" s="19"/>
      <c r="V241" s="19"/>
      <c r="W241" s="21"/>
    </row>
    <row r="242" spans="1:23" ht="15" customHeight="1">
      <c r="B242" s="24"/>
      <c r="C242" s="21"/>
      <c r="D242" s="24"/>
      <c r="E242" s="21"/>
      <c r="F242" s="24"/>
      <c r="G242" s="21"/>
      <c r="H242" s="24"/>
      <c r="I242" s="991"/>
      <c r="J242" s="24"/>
      <c r="K242" s="21"/>
      <c r="L242" s="24"/>
      <c r="M242" s="21"/>
      <c r="N242" s="24"/>
      <c r="O242" s="21"/>
      <c r="P242" s="24"/>
      <c r="Q242" s="21"/>
      <c r="R242" s="24"/>
      <c r="S242" s="21"/>
      <c r="U242" s="19"/>
      <c r="V242" s="19"/>
      <c r="W242" s="21"/>
    </row>
    <row r="243" spans="1:23" ht="15" customHeight="1">
      <c r="B243" s="24"/>
      <c r="C243" s="21"/>
      <c r="D243" s="24"/>
      <c r="E243" s="21"/>
      <c r="F243" s="24"/>
      <c r="G243" s="21"/>
      <c r="H243" s="24"/>
      <c r="I243" s="991"/>
      <c r="J243" s="24"/>
      <c r="K243" s="21"/>
      <c r="L243" s="24"/>
      <c r="M243" s="21"/>
      <c r="N243" s="24"/>
      <c r="O243" s="21"/>
      <c r="P243" s="24"/>
      <c r="Q243" s="21"/>
      <c r="R243" s="24"/>
      <c r="S243" s="21"/>
      <c r="U243" s="19"/>
      <c r="V243" s="19"/>
      <c r="W243" s="21"/>
    </row>
    <row r="244" spans="1:23" ht="15" customHeight="1">
      <c r="B244" s="24"/>
      <c r="C244" s="21"/>
      <c r="D244" s="24"/>
      <c r="E244" s="21"/>
      <c r="F244" s="24"/>
      <c r="G244" s="21"/>
      <c r="H244" s="24"/>
      <c r="I244" s="991"/>
      <c r="J244" s="24"/>
      <c r="K244" s="21"/>
      <c r="L244" s="24"/>
      <c r="M244" s="21"/>
      <c r="N244" s="24"/>
      <c r="O244" s="21"/>
      <c r="P244" s="24"/>
      <c r="Q244" s="21"/>
      <c r="R244" s="24"/>
      <c r="S244" s="21"/>
      <c r="U244" s="19"/>
      <c r="V244" s="19"/>
      <c r="W244" s="21"/>
    </row>
    <row r="245" spans="1:23" ht="15" customHeight="1">
      <c r="B245" s="24"/>
      <c r="C245" s="21"/>
      <c r="D245" s="24"/>
      <c r="E245" s="21"/>
      <c r="F245" s="24"/>
      <c r="G245" s="21"/>
      <c r="H245" s="24"/>
      <c r="I245" s="991"/>
      <c r="J245" s="24"/>
      <c r="K245" s="21"/>
      <c r="L245" s="24"/>
      <c r="M245" s="21"/>
      <c r="N245" s="24"/>
      <c r="O245" s="21"/>
      <c r="P245" s="24"/>
      <c r="Q245" s="21"/>
      <c r="R245" s="24"/>
      <c r="S245" s="21"/>
      <c r="U245" s="19"/>
      <c r="V245" s="19"/>
      <c r="W245" s="21"/>
    </row>
    <row r="246" spans="1:23" ht="15" customHeight="1">
      <c r="B246" s="24"/>
      <c r="C246" s="21"/>
      <c r="D246" s="24"/>
      <c r="E246" s="21"/>
      <c r="F246" s="24"/>
      <c r="G246" s="21"/>
      <c r="H246" s="24"/>
      <c r="I246" s="991"/>
      <c r="J246" s="24"/>
      <c r="K246" s="21"/>
      <c r="L246" s="24"/>
      <c r="M246" s="21"/>
      <c r="N246" s="24"/>
      <c r="O246" s="21"/>
      <c r="P246" s="24"/>
      <c r="Q246" s="21"/>
      <c r="R246" s="24"/>
      <c r="S246" s="21"/>
      <c r="U246" s="19"/>
      <c r="V246" s="19"/>
      <c r="W246" s="21"/>
    </row>
    <row r="247" spans="1:23" ht="15" customHeight="1">
      <c r="B247" s="24"/>
      <c r="C247" s="21"/>
      <c r="D247" s="24"/>
      <c r="E247" s="21"/>
      <c r="F247" s="24"/>
      <c r="G247" s="21"/>
      <c r="H247" s="24"/>
      <c r="I247" s="991"/>
      <c r="J247" s="24"/>
      <c r="K247" s="21"/>
      <c r="L247" s="24"/>
      <c r="M247" s="21"/>
      <c r="N247" s="24"/>
      <c r="O247" s="21"/>
      <c r="P247" s="24"/>
      <c r="Q247" s="21"/>
      <c r="R247" s="24"/>
      <c r="S247" s="21"/>
      <c r="U247" s="19"/>
      <c r="V247" s="19"/>
      <c r="W247" s="21"/>
    </row>
    <row r="248" spans="1:23" ht="15.75" customHeight="1">
      <c r="B248" s="24"/>
      <c r="C248" s="21"/>
      <c r="D248" s="24"/>
      <c r="E248" s="21"/>
      <c r="F248" s="24"/>
      <c r="G248" s="21"/>
      <c r="H248" s="24"/>
      <c r="I248" s="991"/>
      <c r="J248" s="24"/>
      <c r="K248" s="21"/>
      <c r="L248" s="24"/>
      <c r="M248" s="21"/>
      <c r="N248" s="24"/>
      <c r="O248" s="21"/>
      <c r="P248" s="24"/>
      <c r="Q248" s="21"/>
      <c r="R248" s="24"/>
      <c r="S248" s="21"/>
      <c r="U248" s="33"/>
      <c r="V248" s="19"/>
      <c r="W248" s="21"/>
    </row>
    <row r="249" spans="1:23" ht="14.25" customHeight="1">
      <c r="C249" s="21"/>
      <c r="E249" s="21"/>
      <c r="G249" s="21"/>
      <c r="H249" s="21"/>
      <c r="I249" s="21"/>
      <c r="K249" s="21"/>
      <c r="M249" s="21"/>
      <c r="O249" s="21"/>
      <c r="Q249" s="21"/>
      <c r="S249" s="21"/>
    </row>
    <row r="250" spans="1:23" ht="14.25" customHeight="1">
      <c r="T250" s="21"/>
      <c r="U250" s="21"/>
      <c r="V250" s="24"/>
    </row>
    <row r="251" spans="1:23" ht="14.25" customHeight="1">
      <c r="T251" s="21"/>
      <c r="U251" s="21"/>
    </row>
    <row r="252" spans="1:23" ht="15" customHeight="1">
      <c r="U252" s="21"/>
      <c r="V252" s="21"/>
    </row>
    <row r="253" spans="1:23" ht="15.75" customHeight="1">
      <c r="A253" s="989"/>
      <c r="B253" s="989"/>
      <c r="C253" s="989"/>
      <c r="D253" s="989"/>
      <c r="E253" s="989"/>
      <c r="F253" s="989"/>
      <c r="G253" s="989"/>
      <c r="H253" s="989"/>
      <c r="I253" s="989"/>
      <c r="J253" s="989"/>
      <c r="K253" s="989"/>
      <c r="L253" s="989"/>
      <c r="M253" s="989"/>
      <c r="N253" s="989"/>
      <c r="O253" s="989"/>
      <c r="P253" s="989"/>
      <c r="Q253" s="989"/>
      <c r="R253" s="989"/>
      <c r="S253" s="989"/>
      <c r="U253" s="1"/>
      <c r="V253" s="1"/>
    </row>
    <row r="254" spans="1:23" ht="15" customHeight="1">
      <c r="A254" s="987"/>
      <c r="B254" s="987"/>
      <c r="C254" s="987"/>
      <c r="D254" s="987"/>
      <c r="E254" s="987"/>
      <c r="F254" s="987"/>
      <c r="G254" s="987"/>
      <c r="H254" s="987"/>
      <c r="I254" s="987"/>
      <c r="J254" s="987"/>
      <c r="K254" s="987"/>
      <c r="L254" s="987"/>
      <c r="M254" s="987"/>
      <c r="N254" s="420"/>
      <c r="O254" s="420"/>
      <c r="P254" s="420"/>
      <c r="Q254" s="420"/>
      <c r="R254" s="987"/>
      <c r="S254" s="987"/>
      <c r="U254" s="1"/>
      <c r="V254" s="1"/>
    </row>
    <row r="255" spans="1:23" ht="36" customHeight="1">
      <c r="A255" s="987"/>
      <c r="B255" s="985"/>
      <c r="C255" s="985"/>
      <c r="D255" s="985"/>
      <c r="E255" s="985"/>
      <c r="F255" s="985"/>
      <c r="G255" s="985"/>
      <c r="H255" s="985"/>
      <c r="I255" s="985"/>
      <c r="J255" s="985"/>
      <c r="K255" s="985"/>
      <c r="L255" s="985"/>
      <c r="M255" s="985"/>
      <c r="N255" s="985"/>
      <c r="O255" s="985"/>
      <c r="P255" s="985"/>
      <c r="Q255" s="985"/>
      <c r="R255" s="985"/>
      <c r="S255" s="986"/>
      <c r="U255" s="999"/>
      <c r="V255" s="999"/>
    </row>
    <row r="256" spans="1:23" ht="15" customHeight="1">
      <c r="A256" s="990"/>
      <c r="B256" s="24"/>
      <c r="C256" s="21"/>
      <c r="D256" s="1"/>
      <c r="E256" s="21"/>
      <c r="F256" s="1"/>
      <c r="G256" s="21"/>
      <c r="H256" s="24"/>
      <c r="I256" s="991"/>
      <c r="J256" s="24"/>
      <c r="K256" s="21"/>
      <c r="L256" s="992"/>
      <c r="M256" s="21"/>
      <c r="N256" s="24"/>
      <c r="O256" s="21"/>
      <c r="P256" s="24"/>
      <c r="Q256" s="21"/>
      <c r="R256" s="24"/>
      <c r="S256" s="21"/>
      <c r="T256" s="18"/>
      <c r="U256" s="44"/>
      <c r="V256" s="19"/>
      <c r="W256" s="21"/>
    </row>
    <row r="257" spans="1:23" ht="15" customHeight="1">
      <c r="A257" s="990"/>
      <c r="B257" s="24"/>
      <c r="C257" s="21"/>
      <c r="E257" s="21"/>
      <c r="F257" s="1"/>
      <c r="G257" s="21"/>
      <c r="H257" s="24"/>
      <c r="I257" s="21"/>
      <c r="J257" s="24"/>
      <c r="K257" s="21"/>
      <c r="L257" s="992"/>
      <c r="M257" s="21"/>
      <c r="N257" s="24"/>
      <c r="O257" s="21"/>
      <c r="P257" s="24"/>
      <c r="Q257" s="21"/>
      <c r="R257" s="24"/>
      <c r="S257" s="21"/>
      <c r="T257" s="45"/>
      <c r="V257" s="19"/>
      <c r="W257" s="21"/>
    </row>
    <row r="258" spans="1:23" ht="15" customHeight="1">
      <c r="B258" s="24"/>
      <c r="C258" s="21"/>
      <c r="D258" s="24"/>
      <c r="E258" s="21"/>
      <c r="F258" s="24"/>
      <c r="G258" s="21"/>
      <c r="H258" s="24"/>
      <c r="I258" s="991"/>
      <c r="J258" s="24"/>
      <c r="K258" s="21"/>
      <c r="L258" s="24"/>
      <c r="M258" s="21"/>
      <c r="N258" s="24"/>
      <c r="O258" s="21"/>
      <c r="P258" s="24"/>
      <c r="Q258" s="21"/>
      <c r="R258" s="24"/>
      <c r="S258" s="21"/>
      <c r="U258" s="19"/>
      <c r="V258" s="19"/>
      <c r="W258" s="21"/>
    </row>
    <row r="259" spans="1:23" ht="15" customHeight="1">
      <c r="B259" s="24"/>
      <c r="C259" s="21"/>
      <c r="D259" s="24"/>
      <c r="E259" s="21"/>
      <c r="F259" s="24"/>
      <c r="G259" s="21"/>
      <c r="H259" s="24"/>
      <c r="I259" s="991"/>
      <c r="J259" s="24"/>
      <c r="K259" s="21"/>
      <c r="L259" s="24"/>
      <c r="M259" s="21"/>
      <c r="N259" s="24"/>
      <c r="O259" s="21"/>
      <c r="P259" s="24"/>
      <c r="Q259" s="21"/>
      <c r="R259" s="24"/>
      <c r="S259" s="21"/>
      <c r="U259" s="19"/>
      <c r="V259" s="19"/>
      <c r="W259" s="21"/>
    </row>
    <row r="260" spans="1:23" ht="15" customHeight="1">
      <c r="B260" s="24"/>
      <c r="C260" s="21"/>
      <c r="D260" s="24"/>
      <c r="E260" s="21"/>
      <c r="F260" s="24"/>
      <c r="G260" s="21"/>
      <c r="H260" s="24"/>
      <c r="I260" s="991"/>
      <c r="J260" s="24"/>
      <c r="K260" s="21"/>
      <c r="L260" s="24"/>
      <c r="M260" s="21"/>
      <c r="N260" s="24"/>
      <c r="O260" s="21"/>
      <c r="P260" s="24"/>
      <c r="Q260" s="21"/>
      <c r="R260" s="24"/>
      <c r="S260" s="21"/>
      <c r="U260" s="19"/>
      <c r="V260" s="19"/>
      <c r="W260" s="21"/>
    </row>
    <row r="261" spans="1:23" ht="15" customHeight="1">
      <c r="B261" s="24"/>
      <c r="C261" s="21"/>
      <c r="D261" s="24"/>
      <c r="E261" s="21"/>
      <c r="F261" s="24"/>
      <c r="G261" s="21"/>
      <c r="H261" s="24"/>
      <c r="I261" s="991"/>
      <c r="J261" s="24"/>
      <c r="K261" s="21"/>
      <c r="L261" s="24"/>
      <c r="M261" s="21"/>
      <c r="N261" s="24"/>
      <c r="O261" s="21"/>
      <c r="P261" s="24"/>
      <c r="Q261" s="21"/>
      <c r="R261" s="24"/>
      <c r="S261" s="21"/>
      <c r="U261" s="19"/>
      <c r="V261" s="19"/>
      <c r="W261" s="21"/>
    </row>
    <row r="262" spans="1:23" ht="15" customHeight="1">
      <c r="B262" s="24"/>
      <c r="C262" s="21"/>
      <c r="D262" s="24"/>
      <c r="E262" s="21"/>
      <c r="F262" s="24"/>
      <c r="G262" s="21"/>
      <c r="H262" s="24"/>
      <c r="I262" s="991"/>
      <c r="J262" s="24"/>
      <c r="K262" s="21"/>
      <c r="L262" s="24"/>
      <c r="M262" s="21"/>
      <c r="N262" s="24"/>
      <c r="O262" s="21"/>
      <c r="P262" s="24"/>
      <c r="Q262" s="21"/>
      <c r="R262" s="24"/>
      <c r="S262" s="21"/>
      <c r="U262" s="19"/>
      <c r="V262" s="19"/>
      <c r="W262" s="21"/>
    </row>
    <row r="263" spans="1:23" ht="15" customHeight="1">
      <c r="B263" s="24"/>
      <c r="C263" s="21"/>
      <c r="D263" s="24"/>
      <c r="E263" s="21"/>
      <c r="F263" s="24"/>
      <c r="G263" s="21"/>
      <c r="H263" s="24"/>
      <c r="I263" s="991"/>
      <c r="J263" s="24"/>
      <c r="K263" s="21"/>
      <c r="L263" s="24"/>
      <c r="M263" s="21"/>
      <c r="N263" s="24"/>
      <c r="O263" s="21"/>
      <c r="P263" s="24"/>
      <c r="Q263" s="21"/>
      <c r="R263" s="24"/>
      <c r="S263" s="21"/>
      <c r="U263" s="19"/>
      <c r="V263" s="19"/>
      <c r="W263" s="21"/>
    </row>
    <row r="264" spans="1:23" ht="15" customHeight="1">
      <c r="B264" s="24"/>
      <c r="C264" s="21"/>
      <c r="D264" s="24"/>
      <c r="E264" s="21"/>
      <c r="F264" s="24"/>
      <c r="G264" s="21"/>
      <c r="H264" s="24"/>
      <c r="I264" s="991"/>
      <c r="J264" s="24"/>
      <c r="K264" s="21"/>
      <c r="L264" s="24"/>
      <c r="M264" s="21"/>
      <c r="N264" s="24"/>
      <c r="O264" s="21"/>
      <c r="P264" s="24"/>
      <c r="Q264" s="21"/>
      <c r="R264" s="24"/>
      <c r="S264" s="21"/>
      <c r="U264" s="19"/>
      <c r="V264" s="19"/>
      <c r="W264" s="21"/>
    </row>
    <row r="265" spans="1:23" ht="15" customHeight="1">
      <c r="B265" s="24"/>
      <c r="C265" s="21"/>
      <c r="D265" s="24"/>
      <c r="E265" s="21"/>
      <c r="F265" s="24"/>
      <c r="G265" s="21"/>
      <c r="H265" s="24"/>
      <c r="I265" s="991"/>
      <c r="J265" s="24"/>
      <c r="K265" s="21"/>
      <c r="L265" s="24"/>
      <c r="M265" s="21"/>
      <c r="N265" s="24"/>
      <c r="O265" s="21"/>
      <c r="P265" s="24"/>
      <c r="Q265" s="21"/>
      <c r="R265" s="24"/>
      <c r="S265" s="21"/>
      <c r="U265" s="19"/>
      <c r="V265" s="19"/>
      <c r="W265" s="21"/>
    </row>
    <row r="266" spans="1:23" ht="15.75" customHeight="1">
      <c r="B266" s="24"/>
      <c r="C266" s="21"/>
      <c r="D266" s="24"/>
      <c r="E266" s="21"/>
      <c r="F266" s="24"/>
      <c r="G266" s="21"/>
      <c r="H266" s="24"/>
      <c r="I266" s="991"/>
      <c r="J266" s="24"/>
      <c r="K266" s="21"/>
      <c r="L266" s="24"/>
      <c r="M266" s="21"/>
      <c r="N266" s="24"/>
      <c r="O266" s="21"/>
      <c r="P266" s="24"/>
      <c r="Q266" s="21"/>
      <c r="R266" s="24"/>
      <c r="S266" s="21"/>
      <c r="U266" s="33"/>
      <c r="V266" s="19"/>
      <c r="W266" s="21"/>
    </row>
    <row r="267" spans="1:23" ht="14.25" customHeight="1">
      <c r="C267" s="21"/>
      <c r="E267" s="21"/>
      <c r="G267" s="21"/>
      <c r="H267" s="21"/>
      <c r="I267" s="21"/>
      <c r="K267" s="21"/>
      <c r="M267" s="21"/>
      <c r="O267" s="21"/>
      <c r="Q267" s="21"/>
      <c r="S267" s="21"/>
    </row>
    <row r="268" spans="1:23" ht="14.25" customHeight="1">
      <c r="T268" s="21"/>
      <c r="U268" s="21"/>
      <c r="V268" s="24"/>
    </row>
    <row r="269" spans="1:23" ht="14.25" customHeight="1">
      <c r="T269" s="21"/>
      <c r="U269" s="21"/>
    </row>
    <row r="270" spans="1:23" ht="15" customHeight="1">
      <c r="U270" s="21"/>
      <c r="V270" s="21"/>
    </row>
    <row r="271" spans="1:23" ht="15.75" customHeight="1">
      <c r="A271" s="989"/>
      <c r="B271" s="989"/>
      <c r="C271" s="989"/>
      <c r="D271" s="989"/>
      <c r="E271" s="989"/>
      <c r="F271" s="989"/>
      <c r="G271" s="989"/>
      <c r="H271" s="989"/>
      <c r="I271" s="989"/>
      <c r="J271" s="989"/>
      <c r="K271" s="989"/>
      <c r="L271" s="989"/>
      <c r="M271" s="989"/>
      <c r="N271" s="989"/>
      <c r="O271" s="989"/>
      <c r="P271" s="989"/>
      <c r="Q271" s="989"/>
      <c r="R271" s="989"/>
      <c r="S271" s="989"/>
      <c r="U271" s="1"/>
      <c r="V271" s="1"/>
    </row>
    <row r="272" spans="1:23" ht="15" customHeight="1">
      <c r="A272" s="987"/>
      <c r="B272" s="987"/>
      <c r="C272" s="987"/>
      <c r="D272" s="987"/>
      <c r="E272" s="987"/>
      <c r="F272" s="987"/>
      <c r="G272" s="987"/>
      <c r="H272" s="987"/>
      <c r="I272" s="987"/>
      <c r="J272" s="987"/>
      <c r="K272" s="987"/>
      <c r="L272" s="987"/>
      <c r="M272" s="987"/>
      <c r="N272" s="420"/>
      <c r="O272" s="420"/>
      <c r="P272" s="420"/>
      <c r="Q272" s="420"/>
      <c r="R272" s="987"/>
      <c r="S272" s="987"/>
      <c r="U272" s="1"/>
      <c r="V272" s="1"/>
    </row>
    <row r="273" spans="1:23" ht="36" customHeight="1">
      <c r="A273" s="987"/>
      <c r="B273" s="985"/>
      <c r="C273" s="985"/>
      <c r="D273" s="985"/>
      <c r="E273" s="985"/>
      <c r="F273" s="985"/>
      <c r="G273" s="985"/>
      <c r="H273" s="985"/>
      <c r="I273" s="985"/>
      <c r="J273" s="985"/>
      <c r="K273" s="985"/>
      <c r="L273" s="985"/>
      <c r="M273" s="985"/>
      <c r="N273" s="985"/>
      <c r="O273" s="985"/>
      <c r="P273" s="985"/>
      <c r="Q273" s="985"/>
      <c r="R273" s="985"/>
      <c r="S273" s="986"/>
      <c r="U273" s="999"/>
      <c r="V273" s="999"/>
    </row>
    <row r="274" spans="1:23" ht="15" customHeight="1">
      <c r="A274" s="990"/>
      <c r="B274" s="24"/>
      <c r="C274" s="21"/>
      <c r="D274" s="1"/>
      <c r="E274" s="21"/>
      <c r="F274" s="1"/>
      <c r="G274" s="21"/>
      <c r="H274" s="24"/>
      <c r="I274" s="991"/>
      <c r="J274" s="24"/>
      <c r="K274" s="21"/>
      <c r="L274" s="992"/>
      <c r="M274" s="21"/>
      <c r="N274" s="24"/>
      <c r="O274" s="21"/>
      <c r="P274" s="24"/>
      <c r="Q274" s="21"/>
      <c r="R274" s="24"/>
      <c r="S274" s="21"/>
      <c r="T274" s="18"/>
      <c r="U274" s="44"/>
      <c r="V274" s="19"/>
      <c r="W274" s="21"/>
    </row>
    <row r="275" spans="1:23" ht="15" customHeight="1">
      <c r="A275" s="990"/>
      <c r="B275" s="24"/>
      <c r="C275" s="21"/>
      <c r="E275" s="21"/>
      <c r="F275" s="1"/>
      <c r="G275" s="21"/>
      <c r="H275" s="24"/>
      <c r="I275" s="21"/>
      <c r="J275" s="24"/>
      <c r="K275" s="21"/>
      <c r="L275" s="992"/>
      <c r="M275" s="21"/>
      <c r="N275" s="24"/>
      <c r="O275" s="21"/>
      <c r="P275" s="24"/>
      <c r="Q275" s="21"/>
      <c r="R275" s="24"/>
      <c r="S275" s="21"/>
      <c r="T275" s="45"/>
      <c r="V275" s="19"/>
      <c r="W275" s="21"/>
    </row>
    <row r="276" spans="1:23" ht="15" customHeight="1">
      <c r="B276" s="24"/>
      <c r="C276" s="21"/>
      <c r="D276" s="24"/>
      <c r="E276" s="21"/>
      <c r="F276" s="24"/>
      <c r="G276" s="21"/>
      <c r="H276" s="24"/>
      <c r="I276" s="991"/>
      <c r="J276" s="24"/>
      <c r="K276" s="21"/>
      <c r="L276" s="24"/>
      <c r="M276" s="21"/>
      <c r="N276" s="24"/>
      <c r="O276" s="21"/>
      <c r="P276" s="24"/>
      <c r="Q276" s="21"/>
      <c r="R276" s="24"/>
      <c r="S276" s="21"/>
      <c r="U276" s="19"/>
      <c r="V276" s="19"/>
      <c r="W276" s="21"/>
    </row>
    <row r="277" spans="1:23" ht="15" customHeight="1">
      <c r="B277" s="24"/>
      <c r="C277" s="21"/>
      <c r="D277" s="24"/>
      <c r="E277" s="21"/>
      <c r="F277" s="24"/>
      <c r="G277" s="21"/>
      <c r="H277" s="24"/>
      <c r="I277" s="991"/>
      <c r="J277" s="24"/>
      <c r="K277" s="21"/>
      <c r="L277" s="24"/>
      <c r="M277" s="21"/>
      <c r="N277" s="24"/>
      <c r="O277" s="21"/>
      <c r="P277" s="24"/>
      <c r="Q277" s="21"/>
      <c r="R277" s="24"/>
      <c r="S277" s="21"/>
      <c r="U277" s="19"/>
      <c r="V277" s="19"/>
      <c r="W277" s="21"/>
    </row>
    <row r="278" spans="1:23" ht="15" customHeight="1">
      <c r="B278" s="24"/>
      <c r="C278" s="21"/>
      <c r="D278" s="24"/>
      <c r="E278" s="21"/>
      <c r="F278" s="24"/>
      <c r="G278" s="21"/>
      <c r="H278" s="24"/>
      <c r="I278" s="991"/>
      <c r="J278" s="24"/>
      <c r="K278" s="21"/>
      <c r="L278" s="24"/>
      <c r="M278" s="21"/>
      <c r="N278" s="24"/>
      <c r="O278" s="21"/>
      <c r="P278" s="24"/>
      <c r="Q278" s="21"/>
      <c r="R278" s="24"/>
      <c r="S278" s="21"/>
      <c r="U278" s="19"/>
      <c r="V278" s="19"/>
      <c r="W278" s="21"/>
    </row>
    <row r="279" spans="1:23" ht="15" customHeight="1">
      <c r="B279" s="24"/>
      <c r="C279" s="21"/>
      <c r="D279" s="24"/>
      <c r="E279" s="21"/>
      <c r="F279" s="24"/>
      <c r="G279" s="21"/>
      <c r="H279" s="24"/>
      <c r="I279" s="991"/>
      <c r="J279" s="24"/>
      <c r="K279" s="21"/>
      <c r="L279" s="24"/>
      <c r="M279" s="21"/>
      <c r="N279" s="24"/>
      <c r="O279" s="21"/>
      <c r="P279" s="24"/>
      <c r="Q279" s="21"/>
      <c r="R279" s="24"/>
      <c r="S279" s="21"/>
      <c r="U279" s="19"/>
      <c r="V279" s="19"/>
      <c r="W279" s="21"/>
    </row>
    <row r="280" spans="1:23" ht="15" customHeight="1">
      <c r="B280" s="24"/>
      <c r="C280" s="21"/>
      <c r="D280" s="24"/>
      <c r="E280" s="21"/>
      <c r="F280" s="24"/>
      <c r="G280" s="21"/>
      <c r="H280" s="24"/>
      <c r="I280" s="991"/>
      <c r="J280" s="24"/>
      <c r="K280" s="21"/>
      <c r="L280" s="24"/>
      <c r="M280" s="21"/>
      <c r="N280" s="24"/>
      <c r="O280" s="21"/>
      <c r="P280" s="24"/>
      <c r="Q280" s="21"/>
      <c r="R280" s="24"/>
      <c r="S280" s="21"/>
      <c r="U280" s="19"/>
      <c r="V280" s="19"/>
      <c r="W280" s="21"/>
    </row>
    <row r="281" spans="1:23" ht="15" customHeight="1">
      <c r="B281" s="24"/>
      <c r="C281" s="21"/>
      <c r="D281" s="24"/>
      <c r="E281" s="21"/>
      <c r="F281" s="24"/>
      <c r="G281" s="21"/>
      <c r="H281" s="24"/>
      <c r="I281" s="991"/>
      <c r="J281" s="24"/>
      <c r="K281" s="21"/>
      <c r="L281" s="24"/>
      <c r="M281" s="21"/>
      <c r="N281" s="24"/>
      <c r="O281" s="21"/>
      <c r="P281" s="24"/>
      <c r="Q281" s="21"/>
      <c r="R281" s="24"/>
      <c r="S281" s="21"/>
      <c r="U281" s="19"/>
      <c r="V281" s="19"/>
      <c r="W281" s="21"/>
    </row>
    <row r="282" spans="1:23" ht="15" customHeight="1">
      <c r="B282" s="24"/>
      <c r="C282" s="21"/>
      <c r="D282" s="24"/>
      <c r="E282" s="21"/>
      <c r="F282" s="24"/>
      <c r="G282" s="21"/>
      <c r="H282" s="24"/>
      <c r="I282" s="991"/>
      <c r="J282" s="24"/>
      <c r="K282" s="21"/>
      <c r="L282" s="24"/>
      <c r="M282" s="21"/>
      <c r="N282" s="24"/>
      <c r="O282" s="21"/>
      <c r="P282" s="24"/>
      <c r="Q282" s="21"/>
      <c r="R282" s="24"/>
      <c r="S282" s="21"/>
      <c r="U282" s="19"/>
      <c r="V282" s="19"/>
      <c r="W282" s="21"/>
    </row>
    <row r="283" spans="1:23" ht="15" customHeight="1">
      <c r="B283" s="24"/>
      <c r="C283" s="21"/>
      <c r="D283" s="24"/>
      <c r="E283" s="21"/>
      <c r="F283" s="24"/>
      <c r="G283" s="21"/>
      <c r="H283" s="24"/>
      <c r="I283" s="991"/>
      <c r="J283" s="24"/>
      <c r="K283" s="21"/>
      <c r="L283" s="24"/>
      <c r="M283" s="21"/>
      <c r="N283" s="24"/>
      <c r="O283" s="21"/>
      <c r="P283" s="24"/>
      <c r="Q283" s="21"/>
      <c r="R283" s="24"/>
      <c r="S283" s="21"/>
      <c r="U283" s="19"/>
      <c r="V283" s="19"/>
      <c r="W283" s="21"/>
    </row>
    <row r="284" spans="1:23" ht="15.75" customHeight="1">
      <c r="B284" s="24"/>
      <c r="C284" s="21"/>
      <c r="D284" s="24"/>
      <c r="E284" s="21"/>
      <c r="F284" s="24"/>
      <c r="G284" s="21"/>
      <c r="H284" s="24"/>
      <c r="I284" s="991"/>
      <c r="J284" s="24"/>
      <c r="K284" s="21"/>
      <c r="L284" s="24"/>
      <c r="M284" s="21"/>
      <c r="N284" s="24"/>
      <c r="O284" s="21"/>
      <c r="P284" s="24"/>
      <c r="Q284" s="21"/>
      <c r="R284" s="24"/>
      <c r="S284" s="21"/>
      <c r="U284" s="33"/>
      <c r="V284" s="19"/>
      <c r="W284" s="21"/>
    </row>
    <row r="285" spans="1:23" ht="14.25" customHeight="1">
      <c r="C285" s="21"/>
      <c r="E285" s="21"/>
      <c r="G285" s="21"/>
      <c r="H285" s="21"/>
      <c r="I285" s="21"/>
      <c r="K285" s="21"/>
      <c r="M285" s="21"/>
      <c r="O285" s="21"/>
      <c r="Q285" s="21"/>
      <c r="S285" s="21"/>
    </row>
    <row r="286" spans="1:23" ht="14.25" customHeight="1">
      <c r="T286" s="21"/>
      <c r="U286" s="21"/>
      <c r="V286" s="24"/>
    </row>
    <row r="287" spans="1:23" ht="14.25" customHeight="1">
      <c r="T287" s="21"/>
      <c r="U287" s="21"/>
    </row>
    <row r="288" spans="1:23" ht="15" customHeight="1">
      <c r="U288" s="21"/>
      <c r="V288" s="21"/>
    </row>
    <row r="289" spans="1:23" ht="15.75" customHeight="1">
      <c r="A289" s="989"/>
      <c r="B289" s="989"/>
      <c r="C289" s="989"/>
      <c r="D289" s="989"/>
      <c r="E289" s="989"/>
      <c r="F289" s="989"/>
      <c r="G289" s="989"/>
      <c r="H289" s="989"/>
      <c r="I289" s="989"/>
      <c r="J289" s="989"/>
      <c r="K289" s="989"/>
      <c r="L289" s="989"/>
      <c r="M289" s="989"/>
      <c r="N289" s="989"/>
      <c r="O289" s="989"/>
      <c r="P289" s="989"/>
      <c r="Q289" s="989"/>
      <c r="R289" s="989"/>
      <c r="S289" s="989"/>
      <c r="U289" s="1"/>
      <c r="V289" s="1"/>
    </row>
    <row r="290" spans="1:23" ht="15" customHeight="1">
      <c r="A290" s="987"/>
      <c r="B290" s="987"/>
      <c r="C290" s="987"/>
      <c r="D290" s="987"/>
      <c r="E290" s="987"/>
      <c r="F290" s="987"/>
      <c r="G290" s="987"/>
      <c r="H290" s="987"/>
      <c r="I290" s="987"/>
      <c r="J290" s="987"/>
      <c r="K290" s="987"/>
      <c r="L290" s="987"/>
      <c r="M290" s="987"/>
      <c r="N290" s="420"/>
      <c r="O290" s="420"/>
      <c r="P290" s="420"/>
      <c r="Q290" s="420"/>
      <c r="R290" s="987"/>
      <c r="S290" s="987"/>
      <c r="U290" s="1"/>
      <c r="V290" s="1"/>
    </row>
    <row r="291" spans="1:23" ht="36" customHeight="1">
      <c r="A291" s="987"/>
      <c r="B291" s="985"/>
      <c r="C291" s="985"/>
      <c r="D291" s="985"/>
      <c r="E291" s="985"/>
      <c r="F291" s="985"/>
      <c r="G291" s="985"/>
      <c r="H291" s="985"/>
      <c r="I291" s="985"/>
      <c r="J291" s="985"/>
      <c r="K291" s="985"/>
      <c r="L291" s="985"/>
      <c r="M291" s="985"/>
      <c r="N291" s="985"/>
      <c r="O291" s="985"/>
      <c r="P291" s="985"/>
      <c r="Q291" s="985"/>
      <c r="R291" s="985"/>
      <c r="S291" s="986"/>
      <c r="U291" s="999"/>
      <c r="V291" s="999"/>
    </row>
    <row r="292" spans="1:23" ht="15" customHeight="1">
      <c r="A292" s="990"/>
      <c r="B292" s="24"/>
      <c r="C292" s="21"/>
      <c r="D292" s="1"/>
      <c r="E292" s="21"/>
      <c r="F292" s="1"/>
      <c r="G292" s="21"/>
      <c r="H292" s="24"/>
      <c r="I292" s="991"/>
      <c r="J292" s="24"/>
      <c r="K292" s="21"/>
      <c r="L292" s="992"/>
      <c r="M292" s="21"/>
      <c r="N292" s="24"/>
      <c r="O292" s="21"/>
      <c r="P292" s="24"/>
      <c r="Q292" s="21"/>
      <c r="R292" s="24"/>
      <c r="S292" s="21"/>
      <c r="T292" s="18"/>
      <c r="U292" s="44"/>
      <c r="V292" s="19"/>
      <c r="W292" s="21"/>
    </row>
    <row r="293" spans="1:23" ht="15" customHeight="1">
      <c r="A293" s="990"/>
      <c r="B293" s="24"/>
      <c r="C293" s="21"/>
      <c r="E293" s="21"/>
      <c r="F293" s="1"/>
      <c r="G293" s="21"/>
      <c r="H293" s="24"/>
      <c r="I293" s="21"/>
      <c r="J293" s="24"/>
      <c r="K293" s="21"/>
      <c r="L293" s="992"/>
      <c r="M293" s="21"/>
      <c r="N293" s="24"/>
      <c r="O293" s="21"/>
      <c r="P293" s="24"/>
      <c r="Q293" s="21"/>
      <c r="R293" s="24"/>
      <c r="S293" s="21"/>
      <c r="T293" s="45"/>
      <c r="V293" s="19"/>
      <c r="W293" s="21"/>
    </row>
    <row r="294" spans="1:23" ht="15" customHeight="1">
      <c r="B294" s="24"/>
      <c r="C294" s="21"/>
      <c r="D294" s="24"/>
      <c r="E294" s="21"/>
      <c r="F294" s="24"/>
      <c r="G294" s="21"/>
      <c r="H294" s="24"/>
      <c r="I294" s="991"/>
      <c r="J294" s="24"/>
      <c r="K294" s="21"/>
      <c r="L294" s="24"/>
      <c r="M294" s="21"/>
      <c r="N294" s="24"/>
      <c r="O294" s="21"/>
      <c r="P294" s="24"/>
      <c r="Q294" s="21"/>
      <c r="R294" s="24"/>
      <c r="S294" s="21"/>
      <c r="U294" s="19"/>
      <c r="V294" s="19"/>
      <c r="W294" s="21"/>
    </row>
    <row r="295" spans="1:23" ht="15" customHeight="1">
      <c r="B295" s="24"/>
      <c r="C295" s="21"/>
      <c r="D295" s="24"/>
      <c r="E295" s="21"/>
      <c r="F295" s="24"/>
      <c r="G295" s="21"/>
      <c r="H295" s="24"/>
      <c r="I295" s="991"/>
      <c r="J295" s="24"/>
      <c r="K295" s="21"/>
      <c r="L295" s="24"/>
      <c r="M295" s="21"/>
      <c r="N295" s="24"/>
      <c r="O295" s="21"/>
      <c r="P295" s="24"/>
      <c r="Q295" s="21"/>
      <c r="R295" s="24"/>
      <c r="S295" s="21"/>
      <c r="U295" s="19"/>
      <c r="V295" s="19"/>
      <c r="W295" s="21"/>
    </row>
    <row r="296" spans="1:23" ht="15" customHeight="1">
      <c r="B296" s="24"/>
      <c r="C296" s="21"/>
      <c r="D296" s="24"/>
      <c r="E296" s="21"/>
      <c r="F296" s="24"/>
      <c r="G296" s="21"/>
      <c r="H296" s="24"/>
      <c r="I296" s="991"/>
      <c r="J296" s="24"/>
      <c r="K296" s="21"/>
      <c r="L296" s="24"/>
      <c r="M296" s="21"/>
      <c r="N296" s="24"/>
      <c r="O296" s="21"/>
      <c r="P296" s="24"/>
      <c r="Q296" s="21"/>
      <c r="R296" s="24"/>
      <c r="S296" s="21"/>
      <c r="U296" s="19"/>
      <c r="V296" s="19"/>
      <c r="W296" s="21"/>
    </row>
    <row r="297" spans="1:23" ht="15" customHeight="1">
      <c r="B297" s="24"/>
      <c r="C297" s="21"/>
      <c r="D297" s="24"/>
      <c r="E297" s="21"/>
      <c r="F297" s="24"/>
      <c r="G297" s="21"/>
      <c r="H297" s="24"/>
      <c r="I297" s="991"/>
      <c r="J297" s="24"/>
      <c r="K297" s="21"/>
      <c r="L297" s="24"/>
      <c r="M297" s="21"/>
      <c r="N297" s="24"/>
      <c r="O297" s="21"/>
      <c r="P297" s="24"/>
      <c r="Q297" s="21"/>
      <c r="R297" s="24"/>
      <c r="S297" s="21"/>
      <c r="U297" s="19"/>
      <c r="V297" s="19"/>
      <c r="W297" s="21"/>
    </row>
    <row r="298" spans="1:23" ht="15" customHeight="1">
      <c r="B298" s="24"/>
      <c r="C298" s="21"/>
      <c r="D298" s="24"/>
      <c r="E298" s="21"/>
      <c r="F298" s="24"/>
      <c r="G298" s="21"/>
      <c r="H298" s="24"/>
      <c r="I298" s="991"/>
      <c r="J298" s="24"/>
      <c r="K298" s="21"/>
      <c r="L298" s="24"/>
      <c r="M298" s="21"/>
      <c r="N298" s="24"/>
      <c r="O298" s="21"/>
      <c r="P298" s="24"/>
      <c r="Q298" s="21"/>
      <c r="R298" s="24"/>
      <c r="S298" s="21"/>
      <c r="U298" s="19"/>
      <c r="V298" s="19"/>
      <c r="W298" s="21"/>
    </row>
    <row r="299" spans="1:23" ht="15" customHeight="1">
      <c r="B299" s="24"/>
      <c r="C299" s="21"/>
      <c r="D299" s="24"/>
      <c r="E299" s="21"/>
      <c r="F299" s="24"/>
      <c r="G299" s="21"/>
      <c r="H299" s="24"/>
      <c r="I299" s="991"/>
      <c r="J299" s="24"/>
      <c r="K299" s="21"/>
      <c r="L299" s="24"/>
      <c r="M299" s="21"/>
      <c r="N299" s="24"/>
      <c r="O299" s="21"/>
      <c r="P299" s="24"/>
      <c r="Q299" s="21"/>
      <c r="R299" s="24"/>
      <c r="S299" s="21"/>
      <c r="U299" s="19"/>
      <c r="V299" s="19"/>
      <c r="W299" s="21"/>
    </row>
    <row r="300" spans="1:23" ht="15" customHeight="1">
      <c r="B300" s="24"/>
      <c r="C300" s="21"/>
      <c r="D300" s="24"/>
      <c r="E300" s="21"/>
      <c r="F300" s="24"/>
      <c r="G300" s="21"/>
      <c r="H300" s="24"/>
      <c r="I300" s="991"/>
      <c r="J300" s="24"/>
      <c r="K300" s="21"/>
      <c r="L300" s="24"/>
      <c r="M300" s="21"/>
      <c r="N300" s="24"/>
      <c r="O300" s="21"/>
      <c r="P300" s="24"/>
      <c r="Q300" s="21"/>
      <c r="R300" s="24"/>
      <c r="S300" s="21"/>
      <c r="U300" s="19"/>
      <c r="V300" s="19"/>
      <c r="W300" s="21"/>
    </row>
    <row r="301" spans="1:23" ht="15" customHeight="1">
      <c r="B301" s="24"/>
      <c r="C301" s="21"/>
      <c r="D301" s="24"/>
      <c r="E301" s="21"/>
      <c r="F301" s="24"/>
      <c r="G301" s="21"/>
      <c r="H301" s="24"/>
      <c r="I301" s="991"/>
      <c r="J301" s="24"/>
      <c r="K301" s="21"/>
      <c r="L301" s="24"/>
      <c r="M301" s="21"/>
      <c r="N301" s="24"/>
      <c r="O301" s="21"/>
      <c r="P301" s="24"/>
      <c r="Q301" s="21"/>
      <c r="R301" s="24"/>
      <c r="S301" s="21"/>
      <c r="U301" s="19"/>
      <c r="V301" s="19"/>
      <c r="W301" s="21"/>
    </row>
    <row r="302" spans="1:23" ht="15.75" customHeight="1">
      <c r="B302" s="24"/>
      <c r="C302" s="21"/>
      <c r="D302" s="24"/>
      <c r="E302" s="21"/>
      <c r="F302" s="24"/>
      <c r="G302" s="21"/>
      <c r="H302" s="24"/>
      <c r="I302" s="991"/>
      <c r="J302" s="24"/>
      <c r="K302" s="21"/>
      <c r="L302" s="24"/>
      <c r="M302" s="21"/>
      <c r="N302" s="24"/>
      <c r="O302" s="21"/>
      <c r="P302" s="24"/>
      <c r="Q302" s="21"/>
      <c r="R302" s="24"/>
      <c r="S302" s="21"/>
      <c r="U302" s="33"/>
      <c r="V302" s="19"/>
      <c r="W302" s="21"/>
    </row>
    <row r="303" spans="1:23" ht="14.25" customHeight="1">
      <c r="C303" s="21"/>
      <c r="E303" s="21"/>
      <c r="G303" s="21"/>
      <c r="H303" s="21"/>
      <c r="I303" s="21"/>
      <c r="K303" s="21"/>
      <c r="M303" s="21"/>
      <c r="O303" s="21"/>
      <c r="Q303" s="21"/>
      <c r="S303" s="21"/>
    </row>
    <row r="304" spans="1:23" ht="14.25" customHeight="1">
      <c r="T304" s="21"/>
      <c r="U304" s="21"/>
      <c r="V304" s="24"/>
    </row>
    <row r="305" spans="1:23" ht="14.25" customHeight="1">
      <c r="T305" s="21"/>
      <c r="U305" s="21"/>
    </row>
    <row r="306" spans="1:23" ht="15" customHeight="1">
      <c r="U306" s="21"/>
      <c r="V306" s="21"/>
    </row>
    <row r="307" spans="1:23" ht="15.75" customHeight="1">
      <c r="A307" s="989"/>
      <c r="B307" s="989"/>
      <c r="C307" s="989"/>
      <c r="D307" s="989"/>
      <c r="E307" s="989"/>
      <c r="F307" s="989"/>
      <c r="G307" s="989"/>
      <c r="H307" s="989"/>
      <c r="I307" s="989"/>
      <c r="J307" s="989"/>
      <c r="K307" s="989"/>
      <c r="L307" s="989"/>
      <c r="M307" s="989"/>
      <c r="N307" s="989"/>
      <c r="O307" s="989"/>
      <c r="P307" s="989"/>
      <c r="Q307" s="989"/>
      <c r="R307" s="989"/>
      <c r="S307" s="989"/>
      <c r="U307" s="1"/>
      <c r="V307" s="1"/>
    </row>
    <row r="308" spans="1:23" ht="15" customHeight="1">
      <c r="A308" s="987"/>
      <c r="B308" s="987"/>
      <c r="C308" s="987"/>
      <c r="D308" s="987"/>
      <c r="E308" s="987"/>
      <c r="F308" s="987"/>
      <c r="G308" s="987"/>
      <c r="H308" s="987"/>
      <c r="I308" s="987"/>
      <c r="J308" s="987"/>
      <c r="K308" s="987"/>
      <c r="L308" s="987"/>
      <c r="M308" s="987"/>
      <c r="N308" s="420"/>
      <c r="O308" s="420"/>
      <c r="P308" s="420"/>
      <c r="Q308" s="420"/>
      <c r="R308" s="987"/>
      <c r="S308" s="987"/>
      <c r="U308" s="1"/>
      <c r="V308" s="1"/>
    </row>
    <row r="309" spans="1:23" ht="36" customHeight="1">
      <c r="A309" s="987"/>
      <c r="B309" s="985"/>
      <c r="C309" s="985"/>
      <c r="D309" s="985"/>
      <c r="E309" s="985"/>
      <c r="F309" s="985"/>
      <c r="G309" s="985"/>
      <c r="H309" s="985"/>
      <c r="I309" s="985"/>
      <c r="J309" s="985"/>
      <c r="K309" s="985"/>
      <c r="L309" s="985"/>
      <c r="M309" s="985"/>
      <c r="N309" s="985"/>
      <c r="O309" s="985"/>
      <c r="P309" s="985"/>
      <c r="Q309" s="985"/>
      <c r="R309" s="985"/>
      <c r="S309" s="986"/>
      <c r="U309" s="999"/>
      <c r="V309" s="999"/>
    </row>
    <row r="310" spans="1:23" ht="15" customHeight="1">
      <c r="A310" s="990"/>
      <c r="B310" s="24"/>
      <c r="C310" s="21"/>
      <c r="D310" s="1"/>
      <c r="E310" s="21"/>
      <c r="F310" s="1"/>
      <c r="G310" s="21"/>
      <c r="H310" s="24"/>
      <c r="I310" s="991"/>
      <c r="J310" s="24"/>
      <c r="K310" s="21"/>
      <c r="L310" s="992"/>
      <c r="M310" s="21"/>
      <c r="N310" s="24"/>
      <c r="O310" s="21"/>
      <c r="P310" s="24"/>
      <c r="Q310" s="21"/>
      <c r="R310" s="24"/>
      <c r="S310" s="21"/>
      <c r="T310" s="18"/>
      <c r="U310" s="44"/>
      <c r="V310" s="19"/>
      <c r="W310" s="21"/>
    </row>
    <row r="311" spans="1:23" ht="15" customHeight="1">
      <c r="A311" s="990"/>
      <c r="B311" s="24"/>
      <c r="C311" s="21"/>
      <c r="E311" s="21"/>
      <c r="F311" s="1"/>
      <c r="G311" s="21"/>
      <c r="H311" s="24"/>
      <c r="I311" s="21"/>
      <c r="J311" s="24"/>
      <c r="K311" s="21"/>
      <c r="L311" s="992"/>
      <c r="M311" s="21"/>
      <c r="N311" s="24"/>
      <c r="O311" s="21"/>
      <c r="P311" s="24"/>
      <c r="Q311" s="21"/>
      <c r="R311" s="24"/>
      <c r="S311" s="21"/>
      <c r="T311" s="45"/>
      <c r="V311" s="19"/>
      <c r="W311" s="21"/>
    </row>
    <row r="312" spans="1:23" ht="15" customHeight="1">
      <c r="B312" s="24"/>
      <c r="C312" s="21"/>
      <c r="D312" s="24"/>
      <c r="E312" s="21"/>
      <c r="F312" s="24"/>
      <c r="G312" s="21"/>
      <c r="H312" s="24"/>
      <c r="I312" s="991"/>
      <c r="J312" s="24"/>
      <c r="K312" s="21"/>
      <c r="L312" s="24"/>
      <c r="M312" s="21"/>
      <c r="N312" s="24"/>
      <c r="O312" s="21"/>
      <c r="P312" s="24"/>
      <c r="Q312" s="21"/>
      <c r="R312" s="24"/>
      <c r="S312" s="21"/>
      <c r="U312" s="19"/>
      <c r="V312" s="19"/>
      <c r="W312" s="21"/>
    </row>
    <row r="313" spans="1:23" ht="15" customHeight="1">
      <c r="B313" s="24"/>
      <c r="C313" s="21"/>
      <c r="D313" s="24"/>
      <c r="E313" s="21"/>
      <c r="F313" s="24"/>
      <c r="G313" s="21"/>
      <c r="H313" s="24"/>
      <c r="I313" s="991"/>
      <c r="J313" s="24"/>
      <c r="K313" s="21"/>
      <c r="L313" s="24"/>
      <c r="M313" s="21"/>
      <c r="N313" s="24"/>
      <c r="O313" s="21"/>
      <c r="P313" s="24"/>
      <c r="Q313" s="21"/>
      <c r="R313" s="24"/>
      <c r="S313" s="21"/>
      <c r="U313" s="19"/>
      <c r="V313" s="19"/>
      <c r="W313" s="21"/>
    </row>
    <row r="314" spans="1:23" ht="15" customHeight="1">
      <c r="B314" s="24"/>
      <c r="C314" s="21"/>
      <c r="D314" s="24"/>
      <c r="E314" s="21"/>
      <c r="F314" s="24"/>
      <c r="G314" s="21"/>
      <c r="H314" s="24"/>
      <c r="I314" s="991"/>
      <c r="J314" s="24"/>
      <c r="K314" s="21"/>
      <c r="L314" s="24"/>
      <c r="M314" s="21"/>
      <c r="N314" s="24"/>
      <c r="O314" s="21"/>
      <c r="P314" s="24"/>
      <c r="Q314" s="21"/>
      <c r="R314" s="24"/>
      <c r="S314" s="21"/>
      <c r="U314" s="19"/>
      <c r="V314" s="19"/>
      <c r="W314" s="21"/>
    </row>
    <row r="315" spans="1:23" ht="15" customHeight="1">
      <c r="B315" s="24"/>
      <c r="C315" s="21"/>
      <c r="D315" s="24"/>
      <c r="E315" s="21"/>
      <c r="F315" s="24"/>
      <c r="G315" s="21"/>
      <c r="H315" s="24"/>
      <c r="I315" s="991"/>
      <c r="J315" s="24"/>
      <c r="K315" s="21"/>
      <c r="L315" s="24"/>
      <c r="M315" s="21"/>
      <c r="N315" s="24"/>
      <c r="O315" s="21"/>
      <c r="P315" s="24"/>
      <c r="Q315" s="21"/>
      <c r="R315" s="24"/>
      <c r="S315" s="21"/>
      <c r="U315" s="19"/>
      <c r="V315" s="19"/>
      <c r="W315" s="21"/>
    </row>
    <row r="316" spans="1:23" ht="15" customHeight="1">
      <c r="B316" s="24"/>
      <c r="C316" s="21"/>
      <c r="D316" s="24"/>
      <c r="E316" s="21"/>
      <c r="F316" s="24"/>
      <c r="G316" s="21"/>
      <c r="H316" s="24"/>
      <c r="I316" s="991"/>
      <c r="J316" s="24"/>
      <c r="K316" s="21"/>
      <c r="L316" s="24"/>
      <c r="M316" s="21"/>
      <c r="N316" s="24"/>
      <c r="O316" s="21"/>
      <c r="P316" s="24"/>
      <c r="Q316" s="21"/>
      <c r="R316" s="24"/>
      <c r="S316" s="21"/>
      <c r="U316" s="19"/>
      <c r="V316" s="19"/>
      <c r="W316" s="21"/>
    </row>
    <row r="317" spans="1:23" ht="15" customHeight="1">
      <c r="B317" s="24"/>
      <c r="C317" s="21"/>
      <c r="D317" s="24"/>
      <c r="E317" s="21"/>
      <c r="F317" s="24"/>
      <c r="G317" s="21"/>
      <c r="H317" s="24"/>
      <c r="I317" s="991"/>
      <c r="J317" s="24"/>
      <c r="K317" s="21"/>
      <c r="L317" s="24"/>
      <c r="M317" s="21"/>
      <c r="N317" s="24"/>
      <c r="O317" s="21"/>
      <c r="P317" s="24"/>
      <c r="Q317" s="21"/>
      <c r="R317" s="24"/>
      <c r="S317" s="21"/>
      <c r="U317" s="19"/>
      <c r="V317" s="19"/>
      <c r="W317" s="21"/>
    </row>
    <row r="318" spans="1:23" ht="15" customHeight="1">
      <c r="B318" s="24"/>
      <c r="C318" s="21"/>
      <c r="D318" s="24"/>
      <c r="E318" s="21"/>
      <c r="F318" s="24"/>
      <c r="G318" s="21"/>
      <c r="H318" s="24"/>
      <c r="I318" s="991"/>
      <c r="J318" s="24"/>
      <c r="K318" s="21"/>
      <c r="L318" s="24"/>
      <c r="M318" s="21"/>
      <c r="N318" s="24"/>
      <c r="O318" s="21"/>
      <c r="P318" s="24"/>
      <c r="Q318" s="21"/>
      <c r="R318" s="24"/>
      <c r="S318" s="21"/>
      <c r="U318" s="19"/>
      <c r="V318" s="19"/>
      <c r="W318" s="21"/>
    </row>
    <row r="319" spans="1:23" ht="15" customHeight="1">
      <c r="B319" s="24"/>
      <c r="C319" s="21"/>
      <c r="D319" s="24"/>
      <c r="E319" s="21"/>
      <c r="F319" s="24"/>
      <c r="G319" s="21"/>
      <c r="H319" s="24"/>
      <c r="I319" s="991"/>
      <c r="J319" s="24"/>
      <c r="K319" s="21"/>
      <c r="L319" s="24"/>
      <c r="M319" s="21"/>
      <c r="N319" s="24"/>
      <c r="O319" s="21"/>
      <c r="P319" s="24"/>
      <c r="Q319" s="21"/>
      <c r="R319" s="24"/>
      <c r="S319" s="21"/>
      <c r="U319" s="19"/>
      <c r="V319" s="19"/>
      <c r="W319" s="21"/>
    </row>
    <row r="320" spans="1:23" ht="15.75" customHeight="1">
      <c r="B320" s="24"/>
      <c r="C320" s="21"/>
      <c r="D320" s="24"/>
      <c r="E320" s="21"/>
      <c r="F320" s="24"/>
      <c r="G320" s="21"/>
      <c r="H320" s="24"/>
      <c r="I320" s="991"/>
      <c r="J320" s="24"/>
      <c r="K320" s="21"/>
      <c r="L320" s="24"/>
      <c r="M320" s="21"/>
      <c r="N320" s="24"/>
      <c r="O320" s="21"/>
      <c r="P320" s="24"/>
      <c r="Q320" s="21"/>
      <c r="R320" s="24"/>
      <c r="S320" s="21"/>
      <c r="U320" s="33"/>
      <c r="V320" s="19"/>
      <c r="W320" s="21"/>
    </row>
    <row r="321" spans="1:23" ht="14.25" customHeight="1">
      <c r="C321" s="21"/>
      <c r="E321" s="21"/>
      <c r="G321" s="21"/>
      <c r="H321" s="21"/>
      <c r="I321" s="21"/>
      <c r="K321" s="21"/>
      <c r="M321" s="21"/>
      <c r="O321" s="21"/>
      <c r="Q321" s="21"/>
      <c r="S321" s="21"/>
    </row>
    <row r="322" spans="1:23" ht="14.25" customHeight="1">
      <c r="T322" s="21"/>
      <c r="U322" s="21"/>
      <c r="V322" s="24"/>
    </row>
    <row r="323" spans="1:23" ht="14.25" customHeight="1">
      <c r="T323" s="21"/>
      <c r="U323" s="21"/>
    </row>
    <row r="324" spans="1:23" ht="15" customHeight="1">
      <c r="U324" s="21"/>
      <c r="V324" s="21"/>
    </row>
    <row r="325" spans="1:23" ht="15.75" customHeight="1">
      <c r="A325" s="989"/>
      <c r="B325" s="989"/>
      <c r="C325" s="989"/>
      <c r="D325" s="989"/>
      <c r="E325" s="989"/>
      <c r="F325" s="989"/>
      <c r="G325" s="989"/>
      <c r="H325" s="989"/>
      <c r="I325" s="989"/>
      <c r="J325" s="989"/>
      <c r="K325" s="989"/>
      <c r="L325" s="989"/>
      <c r="M325" s="989"/>
      <c r="N325" s="989"/>
      <c r="O325" s="989"/>
      <c r="P325" s="989"/>
      <c r="Q325" s="989"/>
      <c r="R325" s="989"/>
      <c r="S325" s="989"/>
      <c r="U325" s="1"/>
      <c r="V325" s="1"/>
    </row>
    <row r="326" spans="1:23" ht="15" customHeight="1">
      <c r="A326" s="987"/>
      <c r="B326" s="987"/>
      <c r="C326" s="987"/>
      <c r="D326" s="987"/>
      <c r="E326" s="987"/>
      <c r="F326" s="987"/>
      <c r="G326" s="987"/>
      <c r="H326" s="987"/>
      <c r="I326" s="987"/>
      <c r="J326" s="987"/>
      <c r="K326" s="987"/>
      <c r="L326" s="987"/>
      <c r="M326" s="987"/>
      <c r="N326" s="420"/>
      <c r="O326" s="420"/>
      <c r="P326" s="420"/>
      <c r="Q326" s="420"/>
      <c r="R326" s="987"/>
      <c r="S326" s="987"/>
      <c r="U326" s="1"/>
      <c r="V326" s="1"/>
    </row>
    <row r="327" spans="1:23" ht="36" customHeight="1">
      <c r="A327" s="987"/>
      <c r="B327" s="985"/>
      <c r="C327" s="985"/>
      <c r="D327" s="985"/>
      <c r="E327" s="985"/>
      <c r="F327" s="985"/>
      <c r="G327" s="985"/>
      <c r="H327" s="985"/>
      <c r="I327" s="985"/>
      <c r="J327" s="985"/>
      <c r="K327" s="985"/>
      <c r="L327" s="985"/>
      <c r="M327" s="985"/>
      <c r="N327" s="985"/>
      <c r="O327" s="985"/>
      <c r="P327" s="985"/>
      <c r="Q327" s="985"/>
      <c r="R327" s="985"/>
      <c r="S327" s="986"/>
      <c r="U327" s="999"/>
      <c r="V327" s="999"/>
    </row>
    <row r="328" spans="1:23" ht="15" customHeight="1">
      <c r="A328" s="990"/>
      <c r="B328" s="24"/>
      <c r="C328" s="21"/>
      <c r="D328" s="1"/>
      <c r="E328" s="21"/>
      <c r="F328" s="1"/>
      <c r="G328" s="21"/>
      <c r="H328" s="24"/>
      <c r="I328" s="991"/>
      <c r="J328" s="24"/>
      <c r="K328" s="21"/>
      <c r="L328" s="992"/>
      <c r="M328" s="21"/>
      <c r="N328" s="24"/>
      <c r="O328" s="21"/>
      <c r="P328" s="24"/>
      <c r="Q328" s="21"/>
      <c r="R328" s="24"/>
      <c r="S328" s="21"/>
      <c r="T328" s="18"/>
      <c r="U328" s="44"/>
      <c r="V328" s="19"/>
      <c r="W328" s="21"/>
    </row>
    <row r="329" spans="1:23" ht="15" customHeight="1">
      <c r="A329" s="990"/>
      <c r="B329" s="24"/>
      <c r="C329" s="21"/>
      <c r="E329" s="21"/>
      <c r="F329" s="1"/>
      <c r="G329" s="21"/>
      <c r="H329" s="24"/>
      <c r="I329" s="21"/>
      <c r="J329" s="24"/>
      <c r="K329" s="21"/>
      <c r="L329" s="992"/>
      <c r="M329" s="21"/>
      <c r="N329" s="24"/>
      <c r="O329" s="21"/>
      <c r="P329" s="24"/>
      <c r="Q329" s="21"/>
      <c r="R329" s="24"/>
      <c r="S329" s="21"/>
      <c r="T329" s="45"/>
      <c r="V329" s="19"/>
      <c r="W329" s="21"/>
    </row>
    <row r="330" spans="1:23" ht="15" customHeight="1">
      <c r="B330" s="24"/>
      <c r="C330" s="21"/>
      <c r="D330" s="24"/>
      <c r="E330" s="21"/>
      <c r="F330" s="24"/>
      <c r="G330" s="21"/>
      <c r="H330" s="24"/>
      <c r="I330" s="991"/>
      <c r="J330" s="24"/>
      <c r="K330" s="21"/>
      <c r="L330" s="24"/>
      <c r="M330" s="21"/>
      <c r="N330" s="24"/>
      <c r="O330" s="21"/>
      <c r="P330" s="24"/>
      <c r="Q330" s="21"/>
      <c r="R330" s="24"/>
      <c r="S330" s="21"/>
      <c r="U330" s="19"/>
      <c r="V330" s="19"/>
      <c r="W330" s="21"/>
    </row>
    <row r="331" spans="1:23" ht="15" customHeight="1">
      <c r="B331" s="24"/>
      <c r="C331" s="21"/>
      <c r="D331" s="24"/>
      <c r="E331" s="21"/>
      <c r="F331" s="24"/>
      <c r="G331" s="21"/>
      <c r="H331" s="24"/>
      <c r="I331" s="991"/>
      <c r="J331" s="24"/>
      <c r="K331" s="21"/>
      <c r="L331" s="24"/>
      <c r="M331" s="21"/>
      <c r="N331" s="24"/>
      <c r="O331" s="21"/>
      <c r="P331" s="24"/>
      <c r="Q331" s="21"/>
      <c r="R331" s="24"/>
      <c r="S331" s="21"/>
      <c r="U331" s="19"/>
      <c r="V331" s="19"/>
      <c r="W331" s="21"/>
    </row>
    <row r="332" spans="1:23" ht="15" customHeight="1">
      <c r="B332" s="24"/>
      <c r="C332" s="21"/>
      <c r="D332" s="24"/>
      <c r="E332" s="21"/>
      <c r="F332" s="24"/>
      <c r="G332" s="21"/>
      <c r="H332" s="24"/>
      <c r="I332" s="991"/>
      <c r="J332" s="24"/>
      <c r="K332" s="21"/>
      <c r="L332" s="24"/>
      <c r="M332" s="21"/>
      <c r="N332" s="24"/>
      <c r="O332" s="21"/>
      <c r="P332" s="24"/>
      <c r="Q332" s="21"/>
      <c r="R332" s="24"/>
      <c r="S332" s="21"/>
      <c r="U332" s="19"/>
      <c r="V332" s="19"/>
      <c r="W332" s="21"/>
    </row>
    <row r="333" spans="1:23" ht="15" customHeight="1">
      <c r="B333" s="24"/>
      <c r="C333" s="21"/>
      <c r="D333" s="24"/>
      <c r="E333" s="21"/>
      <c r="F333" s="24"/>
      <c r="G333" s="21"/>
      <c r="H333" s="24"/>
      <c r="I333" s="991"/>
      <c r="J333" s="24"/>
      <c r="K333" s="21"/>
      <c r="L333" s="24"/>
      <c r="M333" s="21"/>
      <c r="N333" s="24"/>
      <c r="O333" s="21"/>
      <c r="P333" s="24"/>
      <c r="Q333" s="21"/>
      <c r="R333" s="24"/>
      <c r="S333" s="21"/>
      <c r="U333" s="19"/>
      <c r="V333" s="19"/>
      <c r="W333" s="21"/>
    </row>
    <row r="334" spans="1:23" ht="15" customHeight="1">
      <c r="B334" s="24"/>
      <c r="C334" s="21"/>
      <c r="D334" s="24"/>
      <c r="E334" s="21"/>
      <c r="F334" s="24"/>
      <c r="G334" s="21"/>
      <c r="H334" s="24"/>
      <c r="I334" s="991"/>
      <c r="J334" s="24"/>
      <c r="K334" s="21"/>
      <c r="L334" s="24"/>
      <c r="M334" s="21"/>
      <c r="N334" s="24"/>
      <c r="O334" s="21"/>
      <c r="P334" s="24"/>
      <c r="Q334" s="21"/>
      <c r="R334" s="24"/>
      <c r="S334" s="21"/>
      <c r="U334" s="19"/>
      <c r="V334" s="19"/>
      <c r="W334" s="21"/>
    </row>
    <row r="335" spans="1:23" ht="15" customHeight="1">
      <c r="B335" s="24"/>
      <c r="C335" s="21"/>
      <c r="D335" s="24"/>
      <c r="E335" s="21"/>
      <c r="F335" s="24"/>
      <c r="G335" s="21"/>
      <c r="H335" s="24"/>
      <c r="I335" s="991"/>
      <c r="J335" s="24"/>
      <c r="K335" s="21"/>
      <c r="L335" s="24"/>
      <c r="M335" s="21"/>
      <c r="N335" s="24"/>
      <c r="O335" s="21"/>
      <c r="P335" s="24"/>
      <c r="Q335" s="21"/>
      <c r="R335" s="24"/>
      <c r="S335" s="21"/>
      <c r="U335" s="19"/>
      <c r="V335" s="19"/>
      <c r="W335" s="21"/>
    </row>
    <row r="336" spans="1:23" ht="15" customHeight="1">
      <c r="B336" s="24"/>
      <c r="C336" s="21"/>
      <c r="D336" s="24"/>
      <c r="E336" s="21"/>
      <c r="F336" s="24"/>
      <c r="G336" s="21"/>
      <c r="H336" s="24"/>
      <c r="I336" s="991"/>
      <c r="J336" s="24"/>
      <c r="K336" s="21"/>
      <c r="L336" s="24"/>
      <c r="M336" s="21"/>
      <c r="N336" s="24"/>
      <c r="O336" s="21"/>
      <c r="P336" s="24"/>
      <c r="Q336" s="21"/>
      <c r="R336" s="24"/>
      <c r="S336" s="21"/>
      <c r="U336" s="19"/>
      <c r="V336" s="19"/>
      <c r="W336" s="21"/>
    </row>
    <row r="337" spans="1:23" ht="15" customHeight="1">
      <c r="B337" s="24"/>
      <c r="C337" s="21"/>
      <c r="D337" s="24"/>
      <c r="E337" s="21"/>
      <c r="F337" s="24"/>
      <c r="G337" s="21"/>
      <c r="H337" s="24"/>
      <c r="I337" s="991"/>
      <c r="J337" s="24"/>
      <c r="K337" s="21"/>
      <c r="L337" s="24"/>
      <c r="M337" s="21"/>
      <c r="N337" s="24"/>
      <c r="O337" s="21"/>
      <c r="P337" s="24"/>
      <c r="Q337" s="21"/>
      <c r="R337" s="24"/>
      <c r="S337" s="21"/>
      <c r="U337" s="19"/>
      <c r="V337" s="19"/>
      <c r="W337" s="21"/>
    </row>
    <row r="338" spans="1:23" ht="15.75" customHeight="1">
      <c r="B338" s="24"/>
      <c r="C338" s="21"/>
      <c r="D338" s="24"/>
      <c r="E338" s="21"/>
      <c r="F338" s="24"/>
      <c r="G338" s="21"/>
      <c r="H338" s="24"/>
      <c r="I338" s="991"/>
      <c r="J338" s="24"/>
      <c r="K338" s="21"/>
      <c r="L338" s="24"/>
      <c r="M338" s="21"/>
      <c r="N338" s="24"/>
      <c r="O338" s="21"/>
      <c r="P338" s="24"/>
      <c r="Q338" s="21"/>
      <c r="R338" s="24"/>
      <c r="S338" s="21"/>
      <c r="U338" s="33"/>
      <c r="V338" s="19"/>
      <c r="W338" s="21"/>
    </row>
    <row r="339" spans="1:23" ht="14.25" customHeight="1">
      <c r="C339" s="21"/>
      <c r="E339" s="21"/>
      <c r="G339" s="21"/>
      <c r="H339" s="21"/>
      <c r="I339" s="21"/>
      <c r="K339" s="21"/>
      <c r="M339" s="21"/>
      <c r="O339" s="21"/>
      <c r="Q339" s="21"/>
      <c r="S339" s="21"/>
    </row>
    <row r="340" spans="1:23" ht="14.25" customHeight="1">
      <c r="T340" s="21"/>
      <c r="U340" s="21"/>
      <c r="V340" s="24"/>
    </row>
    <row r="341" spans="1:23" ht="14.25" customHeight="1">
      <c r="T341" s="21"/>
      <c r="U341" s="21"/>
    </row>
    <row r="342" spans="1:23" ht="15" customHeight="1">
      <c r="U342" s="21"/>
      <c r="V342" s="21"/>
    </row>
    <row r="343" spans="1:23" ht="15.75" customHeight="1">
      <c r="A343" s="989"/>
      <c r="B343" s="989"/>
      <c r="C343" s="989"/>
      <c r="D343" s="989"/>
      <c r="E343" s="989"/>
      <c r="F343" s="989"/>
      <c r="G343" s="989"/>
      <c r="H343" s="989"/>
      <c r="I343" s="989"/>
      <c r="J343" s="989"/>
      <c r="K343" s="989"/>
      <c r="L343" s="989"/>
      <c r="M343" s="989"/>
      <c r="N343" s="989"/>
      <c r="O343" s="989"/>
      <c r="P343" s="989"/>
      <c r="Q343" s="989"/>
      <c r="R343" s="989"/>
      <c r="S343" s="989"/>
      <c r="U343" s="1"/>
      <c r="V343" s="1"/>
    </row>
    <row r="344" spans="1:23" ht="15" customHeight="1">
      <c r="A344" s="987"/>
      <c r="B344" s="987"/>
      <c r="C344" s="987"/>
      <c r="D344" s="987"/>
      <c r="E344" s="987"/>
      <c r="F344" s="987"/>
      <c r="G344" s="987"/>
      <c r="H344" s="987"/>
      <c r="I344" s="987"/>
      <c r="J344" s="987"/>
      <c r="K344" s="987"/>
      <c r="L344" s="987"/>
      <c r="M344" s="987"/>
      <c r="N344" s="420"/>
      <c r="O344" s="420"/>
      <c r="P344" s="420"/>
      <c r="Q344" s="420"/>
      <c r="R344" s="987"/>
      <c r="S344" s="987"/>
      <c r="U344" s="1"/>
      <c r="V344" s="1"/>
    </row>
    <row r="345" spans="1:23" ht="36" customHeight="1">
      <c r="A345" s="987"/>
      <c r="B345" s="985"/>
      <c r="C345" s="985"/>
      <c r="D345" s="985"/>
      <c r="E345" s="985"/>
      <c r="F345" s="985"/>
      <c r="G345" s="985"/>
      <c r="H345" s="985"/>
      <c r="I345" s="985"/>
      <c r="J345" s="985"/>
      <c r="K345" s="985"/>
      <c r="L345" s="985"/>
      <c r="M345" s="985"/>
      <c r="N345" s="985"/>
      <c r="O345" s="985"/>
      <c r="P345" s="985"/>
      <c r="Q345" s="985"/>
      <c r="R345" s="985"/>
      <c r="S345" s="986"/>
      <c r="U345" s="999"/>
      <c r="V345" s="999"/>
    </row>
    <row r="346" spans="1:23" ht="15" customHeight="1">
      <c r="A346" s="990"/>
      <c r="B346" s="24"/>
      <c r="C346" s="21"/>
      <c r="D346" s="1"/>
      <c r="E346" s="21"/>
      <c r="F346" s="1"/>
      <c r="G346" s="21"/>
      <c r="H346" s="24"/>
      <c r="I346" s="991"/>
      <c r="J346" s="24"/>
      <c r="K346" s="21"/>
      <c r="L346" s="992"/>
      <c r="M346" s="21"/>
      <c r="N346" s="24"/>
      <c r="O346" s="21"/>
      <c r="P346" s="24"/>
      <c r="Q346" s="21"/>
      <c r="R346" s="24"/>
      <c r="S346" s="21"/>
      <c r="T346" s="18"/>
      <c r="U346" s="44"/>
      <c r="V346" s="19"/>
      <c r="W346" s="21"/>
    </row>
    <row r="347" spans="1:23" ht="15" customHeight="1">
      <c r="A347" s="990"/>
      <c r="B347" s="24"/>
      <c r="C347" s="21"/>
      <c r="E347" s="21"/>
      <c r="F347" s="1"/>
      <c r="G347" s="21"/>
      <c r="H347" s="24"/>
      <c r="I347" s="21"/>
      <c r="J347" s="24"/>
      <c r="K347" s="21"/>
      <c r="L347" s="992"/>
      <c r="M347" s="21"/>
      <c r="N347" s="24"/>
      <c r="O347" s="21"/>
      <c r="P347" s="24"/>
      <c r="Q347" s="21"/>
      <c r="R347" s="24"/>
      <c r="S347" s="21"/>
      <c r="T347" s="45"/>
      <c r="V347" s="19"/>
      <c r="W347" s="21"/>
    </row>
    <row r="348" spans="1:23" ht="15" customHeight="1">
      <c r="B348" s="24"/>
      <c r="C348" s="21"/>
      <c r="D348" s="24"/>
      <c r="E348" s="21"/>
      <c r="F348" s="24"/>
      <c r="G348" s="21"/>
      <c r="H348" s="24"/>
      <c r="I348" s="991"/>
      <c r="J348" s="24"/>
      <c r="K348" s="21"/>
      <c r="L348" s="24"/>
      <c r="M348" s="21"/>
      <c r="N348" s="24"/>
      <c r="O348" s="21"/>
      <c r="P348" s="24"/>
      <c r="Q348" s="21"/>
      <c r="R348" s="24"/>
      <c r="S348" s="21"/>
      <c r="U348" s="19"/>
      <c r="V348" s="19"/>
      <c r="W348" s="21"/>
    </row>
    <row r="349" spans="1:23" ht="15" customHeight="1">
      <c r="B349" s="24"/>
      <c r="C349" s="21"/>
      <c r="D349" s="24"/>
      <c r="E349" s="21"/>
      <c r="F349" s="24"/>
      <c r="G349" s="21"/>
      <c r="H349" s="24"/>
      <c r="I349" s="991"/>
      <c r="J349" s="24"/>
      <c r="K349" s="21"/>
      <c r="L349" s="24"/>
      <c r="M349" s="21"/>
      <c r="N349" s="24"/>
      <c r="O349" s="21"/>
      <c r="P349" s="24"/>
      <c r="Q349" s="21"/>
      <c r="R349" s="24"/>
      <c r="S349" s="21"/>
      <c r="U349" s="19"/>
      <c r="V349" s="19"/>
      <c r="W349" s="21"/>
    </row>
    <row r="350" spans="1:23" ht="15" customHeight="1">
      <c r="B350" s="24"/>
      <c r="C350" s="21"/>
      <c r="D350" s="24"/>
      <c r="E350" s="21"/>
      <c r="F350" s="24"/>
      <c r="G350" s="21"/>
      <c r="H350" s="24"/>
      <c r="I350" s="991"/>
      <c r="J350" s="24"/>
      <c r="K350" s="21"/>
      <c r="L350" s="24"/>
      <c r="M350" s="21"/>
      <c r="N350" s="24"/>
      <c r="O350" s="21"/>
      <c r="P350" s="24"/>
      <c r="Q350" s="21"/>
      <c r="R350" s="24"/>
      <c r="S350" s="21"/>
      <c r="U350" s="19"/>
      <c r="V350" s="19"/>
      <c r="W350" s="21"/>
    </row>
    <row r="351" spans="1:23" ht="15" customHeight="1">
      <c r="B351" s="24"/>
      <c r="C351" s="21"/>
      <c r="D351" s="24"/>
      <c r="E351" s="21"/>
      <c r="F351" s="24"/>
      <c r="G351" s="21"/>
      <c r="H351" s="24"/>
      <c r="I351" s="991"/>
      <c r="J351" s="24"/>
      <c r="K351" s="21"/>
      <c r="L351" s="24"/>
      <c r="M351" s="21"/>
      <c r="N351" s="24"/>
      <c r="O351" s="21"/>
      <c r="P351" s="24"/>
      <c r="Q351" s="21"/>
      <c r="R351" s="24"/>
      <c r="S351" s="21"/>
      <c r="U351" s="19"/>
      <c r="V351" s="19"/>
      <c r="W351" s="21"/>
    </row>
    <row r="352" spans="1:23" ht="15" customHeight="1">
      <c r="B352" s="24"/>
      <c r="C352" s="21"/>
      <c r="D352" s="24"/>
      <c r="E352" s="21"/>
      <c r="F352" s="24"/>
      <c r="G352" s="21"/>
      <c r="H352" s="24"/>
      <c r="I352" s="991"/>
      <c r="J352" s="24"/>
      <c r="K352" s="21"/>
      <c r="L352" s="24"/>
      <c r="M352" s="21"/>
      <c r="N352" s="24"/>
      <c r="O352" s="21"/>
      <c r="P352" s="24"/>
      <c r="Q352" s="21"/>
      <c r="R352" s="24"/>
      <c r="S352" s="21"/>
      <c r="U352" s="19"/>
      <c r="V352" s="19"/>
      <c r="W352" s="21"/>
    </row>
    <row r="353" spans="1:23" ht="15" customHeight="1">
      <c r="B353" s="24"/>
      <c r="C353" s="21"/>
      <c r="D353" s="24"/>
      <c r="E353" s="21"/>
      <c r="F353" s="24"/>
      <c r="G353" s="21"/>
      <c r="H353" s="24"/>
      <c r="I353" s="991"/>
      <c r="J353" s="24"/>
      <c r="K353" s="21"/>
      <c r="L353" s="24"/>
      <c r="M353" s="21"/>
      <c r="N353" s="24"/>
      <c r="O353" s="21"/>
      <c r="P353" s="24"/>
      <c r="Q353" s="21"/>
      <c r="R353" s="24"/>
      <c r="S353" s="21"/>
      <c r="U353" s="19"/>
      <c r="V353" s="19"/>
      <c r="W353" s="21"/>
    </row>
    <row r="354" spans="1:23" ht="15" customHeight="1">
      <c r="B354" s="24"/>
      <c r="C354" s="21"/>
      <c r="D354" s="24"/>
      <c r="E354" s="21"/>
      <c r="F354" s="24"/>
      <c r="G354" s="21"/>
      <c r="H354" s="24"/>
      <c r="I354" s="991"/>
      <c r="J354" s="24"/>
      <c r="K354" s="21"/>
      <c r="L354" s="24"/>
      <c r="M354" s="21"/>
      <c r="N354" s="24"/>
      <c r="O354" s="21"/>
      <c r="P354" s="24"/>
      <c r="Q354" s="21"/>
      <c r="R354" s="24"/>
      <c r="S354" s="21"/>
      <c r="U354" s="19"/>
      <c r="V354" s="19"/>
      <c r="W354" s="21"/>
    </row>
    <row r="355" spans="1:23" ht="15" customHeight="1">
      <c r="B355" s="24"/>
      <c r="C355" s="21"/>
      <c r="D355" s="24"/>
      <c r="E355" s="21"/>
      <c r="F355" s="24"/>
      <c r="G355" s="21"/>
      <c r="H355" s="24"/>
      <c r="I355" s="991"/>
      <c r="J355" s="24"/>
      <c r="K355" s="21"/>
      <c r="L355" s="24"/>
      <c r="M355" s="21"/>
      <c r="N355" s="24"/>
      <c r="O355" s="21"/>
      <c r="P355" s="24"/>
      <c r="Q355" s="21"/>
      <c r="R355" s="24"/>
      <c r="S355" s="21"/>
      <c r="U355" s="19"/>
      <c r="V355" s="19"/>
      <c r="W355" s="21"/>
    </row>
    <row r="356" spans="1:23" ht="15.75" customHeight="1">
      <c r="B356" s="24"/>
      <c r="C356" s="21"/>
      <c r="D356" s="24"/>
      <c r="E356" s="21"/>
      <c r="F356" s="24"/>
      <c r="G356" s="21"/>
      <c r="H356" s="24"/>
      <c r="I356" s="991"/>
      <c r="J356" s="24"/>
      <c r="K356" s="21"/>
      <c r="L356" s="24"/>
      <c r="M356" s="21"/>
      <c r="N356" s="24"/>
      <c r="O356" s="21"/>
      <c r="P356" s="24"/>
      <c r="Q356" s="21"/>
      <c r="R356" s="24"/>
      <c r="S356" s="21"/>
      <c r="U356" s="33"/>
      <c r="V356" s="19"/>
      <c r="W356" s="21"/>
    </row>
    <row r="357" spans="1:23" ht="14.25" customHeight="1">
      <c r="C357" s="21"/>
      <c r="E357" s="21"/>
      <c r="G357" s="21"/>
      <c r="H357" s="21"/>
      <c r="I357" s="21"/>
      <c r="K357" s="21"/>
      <c r="M357" s="21"/>
      <c r="O357" s="21"/>
      <c r="Q357" s="21"/>
      <c r="S357" s="21"/>
    </row>
    <row r="358" spans="1:23" ht="14.25" customHeight="1">
      <c r="T358" s="21"/>
      <c r="U358" s="21"/>
      <c r="V358" s="24"/>
    </row>
    <row r="359" spans="1:23" ht="14.25" customHeight="1">
      <c r="T359" s="21"/>
      <c r="U359" s="21"/>
    </row>
    <row r="360" spans="1:23" ht="15" customHeight="1">
      <c r="U360" s="21"/>
      <c r="V360" s="21"/>
    </row>
    <row r="361" spans="1:23" ht="15.75" customHeight="1">
      <c r="A361" s="989"/>
      <c r="B361" s="989"/>
      <c r="C361" s="989"/>
      <c r="D361" s="989"/>
      <c r="E361" s="989"/>
      <c r="F361" s="989"/>
      <c r="G361" s="989"/>
      <c r="H361" s="989"/>
      <c r="I361" s="989"/>
      <c r="J361" s="989"/>
      <c r="K361" s="989"/>
      <c r="L361" s="989"/>
      <c r="M361" s="989"/>
      <c r="N361" s="989"/>
      <c r="O361" s="989"/>
      <c r="P361" s="989"/>
      <c r="Q361" s="989"/>
      <c r="R361" s="989"/>
      <c r="S361" s="989"/>
      <c r="U361" s="1"/>
      <c r="V361" s="1"/>
    </row>
    <row r="362" spans="1:23" ht="15" customHeight="1">
      <c r="A362" s="987"/>
      <c r="B362" s="987"/>
      <c r="C362" s="987"/>
      <c r="D362" s="987"/>
      <c r="E362" s="987"/>
      <c r="F362" s="987"/>
      <c r="G362" s="987"/>
      <c r="H362" s="987"/>
      <c r="I362" s="987"/>
      <c r="J362" s="987"/>
      <c r="K362" s="987"/>
      <c r="L362" s="987"/>
      <c r="M362" s="987"/>
      <c r="N362" s="420"/>
      <c r="O362" s="420"/>
      <c r="P362" s="420"/>
      <c r="Q362" s="420"/>
      <c r="R362" s="987"/>
      <c r="S362" s="987"/>
      <c r="U362" s="1"/>
      <c r="V362" s="1"/>
    </row>
    <row r="363" spans="1:23" ht="36" customHeight="1">
      <c r="A363" s="987"/>
      <c r="B363" s="985"/>
      <c r="C363" s="985"/>
      <c r="D363" s="985"/>
      <c r="E363" s="985"/>
      <c r="F363" s="985"/>
      <c r="G363" s="985"/>
      <c r="H363" s="985"/>
      <c r="I363" s="985"/>
      <c r="J363" s="985"/>
      <c r="K363" s="985"/>
      <c r="L363" s="985"/>
      <c r="M363" s="985"/>
      <c r="N363" s="985"/>
      <c r="O363" s="985"/>
      <c r="P363" s="985"/>
      <c r="Q363" s="985"/>
      <c r="R363" s="985"/>
      <c r="S363" s="986"/>
      <c r="U363" s="999"/>
      <c r="V363" s="999"/>
    </row>
    <row r="364" spans="1:23" ht="15" customHeight="1">
      <c r="A364" s="990"/>
      <c r="B364" s="24"/>
      <c r="C364" s="21"/>
      <c r="D364" s="1"/>
      <c r="E364" s="21"/>
      <c r="F364" s="1"/>
      <c r="G364" s="21"/>
      <c r="H364" s="24"/>
      <c r="I364" s="991"/>
      <c r="J364" s="24"/>
      <c r="K364" s="21"/>
      <c r="L364" s="992"/>
      <c r="M364" s="21"/>
      <c r="N364" s="24"/>
      <c r="O364" s="21"/>
      <c r="P364" s="24"/>
      <c r="Q364" s="21"/>
      <c r="R364" s="24"/>
      <c r="S364" s="21"/>
      <c r="T364" s="18"/>
      <c r="U364" s="44"/>
      <c r="V364" s="19"/>
      <c r="W364" s="21"/>
    </row>
    <row r="365" spans="1:23" ht="15" customHeight="1">
      <c r="A365" s="990"/>
      <c r="B365" s="24"/>
      <c r="C365" s="21"/>
      <c r="E365" s="21"/>
      <c r="F365" s="1"/>
      <c r="G365" s="21"/>
      <c r="H365" s="24"/>
      <c r="I365" s="21"/>
      <c r="J365" s="24"/>
      <c r="K365" s="21"/>
      <c r="L365" s="992"/>
      <c r="M365" s="21"/>
      <c r="N365" s="24"/>
      <c r="O365" s="21"/>
      <c r="P365" s="24"/>
      <c r="Q365" s="21"/>
      <c r="R365" s="24"/>
      <c r="S365" s="21"/>
      <c r="T365" s="45"/>
      <c r="V365" s="19"/>
      <c r="W365" s="21"/>
    </row>
    <row r="366" spans="1:23" ht="15" customHeight="1">
      <c r="B366" s="24"/>
      <c r="C366" s="21"/>
      <c r="D366" s="24"/>
      <c r="E366" s="21"/>
      <c r="F366" s="24"/>
      <c r="G366" s="21"/>
      <c r="H366" s="24"/>
      <c r="I366" s="991"/>
      <c r="J366" s="24"/>
      <c r="K366" s="21"/>
      <c r="L366" s="24"/>
      <c r="M366" s="21"/>
      <c r="N366" s="24"/>
      <c r="O366" s="21"/>
      <c r="P366" s="24"/>
      <c r="Q366" s="21"/>
      <c r="R366" s="24"/>
      <c r="S366" s="21"/>
      <c r="U366" s="19"/>
      <c r="V366" s="19"/>
      <c r="W366" s="21"/>
    </row>
    <row r="367" spans="1:23" ht="15" customHeight="1">
      <c r="B367" s="24"/>
      <c r="C367" s="21"/>
      <c r="D367" s="24"/>
      <c r="E367" s="21"/>
      <c r="F367" s="24"/>
      <c r="G367" s="21"/>
      <c r="H367" s="24"/>
      <c r="I367" s="991"/>
      <c r="J367" s="24"/>
      <c r="K367" s="21"/>
      <c r="L367" s="24"/>
      <c r="M367" s="21"/>
      <c r="N367" s="24"/>
      <c r="O367" s="21"/>
      <c r="P367" s="24"/>
      <c r="Q367" s="21"/>
      <c r="R367" s="24"/>
      <c r="S367" s="21"/>
      <c r="U367" s="19"/>
      <c r="V367" s="19"/>
      <c r="W367" s="21"/>
    </row>
    <row r="368" spans="1:23" ht="15" customHeight="1">
      <c r="B368" s="24"/>
      <c r="C368" s="21"/>
      <c r="D368" s="24"/>
      <c r="E368" s="21"/>
      <c r="F368" s="24"/>
      <c r="G368" s="21"/>
      <c r="H368" s="24"/>
      <c r="I368" s="991"/>
      <c r="J368" s="24"/>
      <c r="K368" s="21"/>
      <c r="L368" s="24"/>
      <c r="M368" s="21"/>
      <c r="N368" s="24"/>
      <c r="O368" s="21"/>
      <c r="P368" s="24"/>
      <c r="Q368" s="21"/>
      <c r="R368" s="24"/>
      <c r="S368" s="21"/>
      <c r="U368" s="19"/>
      <c r="V368" s="19"/>
      <c r="W368" s="21"/>
    </row>
    <row r="369" spans="1:23" ht="15" customHeight="1">
      <c r="B369" s="24"/>
      <c r="C369" s="21"/>
      <c r="D369" s="24"/>
      <c r="E369" s="21"/>
      <c r="F369" s="24"/>
      <c r="G369" s="21"/>
      <c r="H369" s="24"/>
      <c r="I369" s="991"/>
      <c r="J369" s="24"/>
      <c r="K369" s="21"/>
      <c r="L369" s="24"/>
      <c r="M369" s="21"/>
      <c r="N369" s="24"/>
      <c r="O369" s="21"/>
      <c r="P369" s="24"/>
      <c r="Q369" s="21"/>
      <c r="R369" s="24"/>
      <c r="S369" s="21"/>
      <c r="U369" s="19"/>
      <c r="V369" s="19"/>
      <c r="W369" s="21"/>
    </row>
    <row r="370" spans="1:23" ht="15" customHeight="1">
      <c r="B370" s="24"/>
      <c r="C370" s="21"/>
      <c r="D370" s="24"/>
      <c r="E370" s="21"/>
      <c r="F370" s="24"/>
      <c r="G370" s="21"/>
      <c r="H370" s="24"/>
      <c r="I370" s="991"/>
      <c r="J370" s="24"/>
      <c r="K370" s="21"/>
      <c r="L370" s="24"/>
      <c r="M370" s="21"/>
      <c r="N370" s="24"/>
      <c r="O370" s="21"/>
      <c r="P370" s="24"/>
      <c r="Q370" s="21"/>
      <c r="R370" s="24"/>
      <c r="S370" s="21"/>
      <c r="U370" s="19"/>
      <c r="V370" s="19"/>
      <c r="W370" s="21"/>
    </row>
    <row r="371" spans="1:23" ht="15" customHeight="1">
      <c r="B371" s="24"/>
      <c r="C371" s="21"/>
      <c r="D371" s="24"/>
      <c r="E371" s="21"/>
      <c r="F371" s="24"/>
      <c r="G371" s="21"/>
      <c r="H371" s="24"/>
      <c r="I371" s="991"/>
      <c r="J371" s="24"/>
      <c r="K371" s="21"/>
      <c r="L371" s="24"/>
      <c r="M371" s="21"/>
      <c r="N371" s="24"/>
      <c r="O371" s="21"/>
      <c r="P371" s="24"/>
      <c r="Q371" s="21"/>
      <c r="R371" s="24"/>
      <c r="S371" s="21"/>
      <c r="U371" s="19"/>
      <c r="V371" s="19"/>
      <c r="W371" s="21"/>
    </row>
    <row r="372" spans="1:23" ht="15" customHeight="1">
      <c r="B372" s="24"/>
      <c r="C372" s="21"/>
      <c r="D372" s="24"/>
      <c r="E372" s="21"/>
      <c r="F372" s="24"/>
      <c r="G372" s="21"/>
      <c r="H372" s="24"/>
      <c r="I372" s="991"/>
      <c r="J372" s="24"/>
      <c r="K372" s="21"/>
      <c r="L372" s="24"/>
      <c r="M372" s="21"/>
      <c r="N372" s="24"/>
      <c r="O372" s="21"/>
      <c r="P372" s="24"/>
      <c r="Q372" s="21"/>
      <c r="R372" s="24"/>
      <c r="S372" s="21"/>
      <c r="U372" s="19"/>
      <c r="V372" s="19"/>
      <c r="W372" s="21"/>
    </row>
    <row r="373" spans="1:23" ht="15" customHeight="1">
      <c r="B373" s="24"/>
      <c r="C373" s="21"/>
      <c r="D373" s="24"/>
      <c r="E373" s="21"/>
      <c r="F373" s="24"/>
      <c r="G373" s="21"/>
      <c r="H373" s="24"/>
      <c r="I373" s="991"/>
      <c r="J373" s="24"/>
      <c r="K373" s="21"/>
      <c r="L373" s="24"/>
      <c r="M373" s="21"/>
      <c r="N373" s="24"/>
      <c r="O373" s="21"/>
      <c r="P373" s="24"/>
      <c r="Q373" s="21"/>
      <c r="R373" s="24"/>
      <c r="S373" s="21"/>
      <c r="U373" s="19"/>
      <c r="V373" s="19"/>
      <c r="W373" s="21"/>
    </row>
    <row r="374" spans="1:23" ht="15.75" customHeight="1">
      <c r="B374" s="24"/>
      <c r="C374" s="21"/>
      <c r="D374" s="24"/>
      <c r="E374" s="21"/>
      <c r="F374" s="24"/>
      <c r="G374" s="21"/>
      <c r="H374" s="24"/>
      <c r="I374" s="991"/>
      <c r="J374" s="24"/>
      <c r="K374" s="21"/>
      <c r="L374" s="24"/>
      <c r="M374" s="21"/>
      <c r="N374" s="24"/>
      <c r="O374" s="21"/>
      <c r="P374" s="24"/>
      <c r="Q374" s="21"/>
      <c r="R374" s="24"/>
      <c r="S374" s="21"/>
      <c r="U374" s="33"/>
      <c r="V374" s="19"/>
      <c r="W374" s="21"/>
    </row>
    <row r="375" spans="1:23" ht="14.25" customHeight="1">
      <c r="C375" s="21"/>
      <c r="E375" s="21"/>
      <c r="G375" s="21"/>
      <c r="H375" s="21"/>
      <c r="I375" s="21"/>
      <c r="K375" s="21"/>
      <c r="M375" s="21"/>
      <c r="O375" s="21"/>
      <c r="Q375" s="21"/>
      <c r="S375" s="21"/>
    </row>
    <row r="376" spans="1:23" ht="14.25" customHeight="1">
      <c r="T376" s="21"/>
      <c r="U376" s="21"/>
      <c r="V376" s="24"/>
    </row>
    <row r="377" spans="1:23" ht="14.25" customHeight="1">
      <c r="T377" s="21"/>
      <c r="U377" s="21"/>
    </row>
    <row r="378" spans="1:23" ht="15" customHeight="1">
      <c r="U378" s="21"/>
      <c r="V378" s="21"/>
    </row>
    <row r="379" spans="1:23" ht="15.75" customHeight="1">
      <c r="A379" s="989"/>
      <c r="B379" s="989"/>
      <c r="C379" s="989"/>
      <c r="D379" s="989"/>
      <c r="E379" s="989"/>
      <c r="F379" s="989"/>
      <c r="G379" s="989"/>
      <c r="H379" s="989"/>
      <c r="I379" s="989"/>
      <c r="J379" s="989"/>
      <c r="K379" s="989"/>
      <c r="L379" s="989"/>
      <c r="M379" s="989"/>
      <c r="N379" s="989"/>
      <c r="O379" s="989"/>
      <c r="P379" s="989"/>
      <c r="Q379" s="989"/>
      <c r="R379" s="989"/>
      <c r="S379" s="989"/>
      <c r="U379" s="1"/>
      <c r="V379" s="1"/>
    </row>
    <row r="380" spans="1:23" ht="15" customHeight="1">
      <c r="A380" s="987"/>
      <c r="B380" s="987"/>
      <c r="C380" s="987"/>
      <c r="D380" s="987"/>
      <c r="E380" s="987"/>
      <c r="F380" s="987"/>
      <c r="G380" s="987"/>
      <c r="H380" s="987"/>
      <c r="I380" s="987"/>
      <c r="J380" s="987"/>
      <c r="K380" s="987"/>
      <c r="L380" s="987"/>
      <c r="M380" s="987"/>
      <c r="N380" s="420"/>
      <c r="O380" s="420"/>
      <c r="P380" s="420"/>
      <c r="Q380" s="420"/>
      <c r="R380" s="987"/>
      <c r="S380" s="987"/>
      <c r="U380" s="1"/>
      <c r="V380" s="1"/>
    </row>
    <row r="381" spans="1:23" ht="36" customHeight="1">
      <c r="A381" s="987"/>
      <c r="B381" s="985"/>
      <c r="C381" s="985"/>
      <c r="D381" s="985"/>
      <c r="E381" s="985"/>
      <c r="F381" s="985"/>
      <c r="G381" s="985"/>
      <c r="H381" s="985"/>
      <c r="I381" s="985"/>
      <c r="J381" s="985"/>
      <c r="K381" s="985"/>
      <c r="L381" s="985"/>
      <c r="M381" s="985"/>
      <c r="N381" s="985"/>
      <c r="O381" s="985"/>
      <c r="P381" s="985"/>
      <c r="Q381" s="985"/>
      <c r="R381" s="985"/>
      <c r="S381" s="986"/>
      <c r="U381" s="999"/>
      <c r="V381" s="999"/>
    </row>
    <row r="382" spans="1:23" ht="15" customHeight="1">
      <c r="A382" s="990"/>
      <c r="B382" s="24"/>
      <c r="C382" s="21"/>
      <c r="D382" s="1"/>
      <c r="E382" s="21"/>
      <c r="F382" s="1"/>
      <c r="G382" s="21"/>
      <c r="H382" s="24"/>
      <c r="I382" s="991"/>
      <c r="J382" s="24"/>
      <c r="K382" s="21"/>
      <c r="L382" s="992"/>
      <c r="M382" s="21"/>
      <c r="N382" s="24"/>
      <c r="O382" s="21"/>
      <c r="P382" s="24"/>
      <c r="Q382" s="21"/>
      <c r="R382" s="24"/>
      <c r="S382" s="21"/>
      <c r="T382" s="18"/>
      <c r="U382" s="44"/>
      <c r="V382" s="19"/>
      <c r="W382" s="21"/>
    </row>
    <row r="383" spans="1:23" ht="15" customHeight="1">
      <c r="A383" s="990"/>
      <c r="B383" s="24"/>
      <c r="C383" s="21"/>
      <c r="E383" s="21"/>
      <c r="F383" s="1"/>
      <c r="G383" s="21"/>
      <c r="H383" s="24"/>
      <c r="I383" s="21"/>
      <c r="J383" s="24"/>
      <c r="K383" s="21"/>
      <c r="L383" s="992"/>
      <c r="M383" s="21"/>
      <c r="N383" s="24"/>
      <c r="O383" s="21"/>
      <c r="P383" s="24"/>
      <c r="Q383" s="21"/>
      <c r="R383" s="24"/>
      <c r="S383" s="21"/>
      <c r="T383" s="45"/>
      <c r="V383" s="19"/>
      <c r="W383" s="21"/>
    </row>
    <row r="384" spans="1:23" ht="15" customHeight="1">
      <c r="B384" s="24"/>
      <c r="C384" s="21"/>
      <c r="D384" s="24"/>
      <c r="E384" s="21"/>
      <c r="F384" s="24"/>
      <c r="G384" s="21"/>
      <c r="H384" s="24"/>
      <c r="I384" s="991"/>
      <c r="J384" s="24"/>
      <c r="K384" s="21"/>
      <c r="L384" s="24"/>
      <c r="M384" s="21"/>
      <c r="N384" s="24"/>
      <c r="O384" s="21"/>
      <c r="P384" s="24"/>
      <c r="Q384" s="21"/>
      <c r="R384" s="24"/>
      <c r="S384" s="21"/>
      <c r="U384" s="19"/>
      <c r="V384" s="19"/>
      <c r="W384" s="21"/>
    </row>
    <row r="385" spans="1:23" ht="15" customHeight="1">
      <c r="B385" s="24"/>
      <c r="C385" s="21"/>
      <c r="D385" s="24"/>
      <c r="E385" s="21"/>
      <c r="F385" s="24"/>
      <c r="G385" s="21"/>
      <c r="H385" s="24"/>
      <c r="I385" s="991"/>
      <c r="J385" s="24"/>
      <c r="K385" s="21"/>
      <c r="L385" s="24"/>
      <c r="M385" s="21"/>
      <c r="N385" s="24"/>
      <c r="O385" s="21"/>
      <c r="P385" s="24"/>
      <c r="Q385" s="21"/>
      <c r="R385" s="24"/>
      <c r="S385" s="21"/>
      <c r="U385" s="19"/>
      <c r="V385" s="19"/>
      <c r="W385" s="21"/>
    </row>
    <row r="386" spans="1:23" ht="15" customHeight="1">
      <c r="B386" s="24"/>
      <c r="C386" s="21"/>
      <c r="D386" s="24"/>
      <c r="E386" s="21"/>
      <c r="F386" s="24"/>
      <c r="G386" s="21"/>
      <c r="H386" s="24"/>
      <c r="I386" s="991"/>
      <c r="J386" s="24"/>
      <c r="K386" s="21"/>
      <c r="L386" s="24"/>
      <c r="M386" s="21"/>
      <c r="N386" s="24"/>
      <c r="O386" s="21"/>
      <c r="P386" s="24"/>
      <c r="Q386" s="21"/>
      <c r="R386" s="24"/>
      <c r="S386" s="21"/>
      <c r="U386" s="19"/>
      <c r="V386" s="19"/>
      <c r="W386" s="21"/>
    </row>
    <row r="387" spans="1:23" ht="15" customHeight="1">
      <c r="B387" s="24"/>
      <c r="C387" s="21"/>
      <c r="D387" s="24"/>
      <c r="E387" s="21"/>
      <c r="F387" s="24"/>
      <c r="G387" s="21"/>
      <c r="H387" s="24"/>
      <c r="I387" s="991"/>
      <c r="J387" s="24"/>
      <c r="K387" s="21"/>
      <c r="L387" s="24"/>
      <c r="M387" s="21"/>
      <c r="N387" s="24"/>
      <c r="O387" s="21"/>
      <c r="P387" s="24"/>
      <c r="Q387" s="21"/>
      <c r="R387" s="24"/>
      <c r="S387" s="21"/>
      <c r="U387" s="19"/>
      <c r="V387" s="19"/>
      <c r="W387" s="21"/>
    </row>
    <row r="388" spans="1:23" ht="15" customHeight="1">
      <c r="B388" s="24"/>
      <c r="C388" s="21"/>
      <c r="D388" s="24"/>
      <c r="E388" s="21"/>
      <c r="F388" s="24"/>
      <c r="G388" s="21"/>
      <c r="H388" s="24"/>
      <c r="I388" s="991"/>
      <c r="J388" s="24"/>
      <c r="K388" s="21"/>
      <c r="L388" s="24"/>
      <c r="M388" s="21"/>
      <c r="N388" s="24"/>
      <c r="O388" s="21"/>
      <c r="P388" s="24"/>
      <c r="Q388" s="21"/>
      <c r="R388" s="24"/>
      <c r="S388" s="21"/>
      <c r="U388" s="19"/>
      <c r="V388" s="19"/>
      <c r="W388" s="21"/>
    </row>
    <row r="389" spans="1:23" ht="15" customHeight="1">
      <c r="B389" s="24"/>
      <c r="C389" s="21"/>
      <c r="D389" s="24"/>
      <c r="E389" s="21"/>
      <c r="F389" s="24"/>
      <c r="G389" s="21"/>
      <c r="H389" s="24"/>
      <c r="I389" s="991"/>
      <c r="J389" s="24"/>
      <c r="K389" s="21"/>
      <c r="L389" s="24"/>
      <c r="M389" s="21"/>
      <c r="N389" s="24"/>
      <c r="O389" s="21"/>
      <c r="P389" s="24"/>
      <c r="Q389" s="21"/>
      <c r="R389" s="24"/>
      <c r="S389" s="21"/>
      <c r="U389" s="19"/>
      <c r="V389" s="19"/>
      <c r="W389" s="21"/>
    </row>
    <row r="390" spans="1:23" ht="15" customHeight="1">
      <c r="B390" s="24"/>
      <c r="C390" s="21"/>
      <c r="D390" s="24"/>
      <c r="E390" s="21"/>
      <c r="F390" s="24"/>
      <c r="G390" s="21"/>
      <c r="H390" s="24"/>
      <c r="I390" s="991"/>
      <c r="J390" s="24"/>
      <c r="K390" s="21"/>
      <c r="L390" s="24"/>
      <c r="M390" s="21"/>
      <c r="N390" s="24"/>
      <c r="O390" s="21"/>
      <c r="P390" s="24"/>
      <c r="Q390" s="21"/>
      <c r="R390" s="24"/>
      <c r="S390" s="21"/>
      <c r="U390" s="19"/>
      <c r="V390" s="19"/>
      <c r="W390" s="21"/>
    </row>
    <row r="391" spans="1:23" ht="15" customHeight="1">
      <c r="B391" s="24"/>
      <c r="C391" s="21"/>
      <c r="D391" s="24"/>
      <c r="E391" s="21"/>
      <c r="F391" s="24"/>
      <c r="G391" s="21"/>
      <c r="H391" s="24"/>
      <c r="I391" s="991"/>
      <c r="J391" s="24"/>
      <c r="K391" s="21"/>
      <c r="L391" s="24"/>
      <c r="M391" s="21"/>
      <c r="N391" s="24"/>
      <c r="O391" s="21"/>
      <c r="P391" s="24"/>
      <c r="Q391" s="21"/>
      <c r="R391" s="24"/>
      <c r="S391" s="21"/>
      <c r="U391" s="19"/>
      <c r="V391" s="19"/>
      <c r="W391" s="21"/>
    </row>
    <row r="392" spans="1:23" ht="15.75" customHeight="1">
      <c r="B392" s="24"/>
      <c r="C392" s="21"/>
      <c r="D392" s="24"/>
      <c r="E392" s="21"/>
      <c r="F392" s="24"/>
      <c r="G392" s="21"/>
      <c r="H392" s="24"/>
      <c r="I392" s="991"/>
      <c r="J392" s="24"/>
      <c r="K392" s="21"/>
      <c r="L392" s="24"/>
      <c r="M392" s="21"/>
      <c r="N392" s="24"/>
      <c r="O392" s="21"/>
      <c r="P392" s="24"/>
      <c r="Q392" s="21"/>
      <c r="R392" s="24"/>
      <c r="S392" s="21"/>
      <c r="U392" s="33"/>
      <c r="V392" s="19"/>
      <c r="W392" s="21"/>
    </row>
    <row r="393" spans="1:23" ht="14.25" customHeight="1">
      <c r="C393" s="21"/>
      <c r="E393" s="21"/>
      <c r="G393" s="21"/>
      <c r="H393" s="21"/>
      <c r="I393" s="21"/>
      <c r="K393" s="21"/>
      <c r="M393" s="21"/>
      <c r="O393" s="21"/>
      <c r="Q393" s="21"/>
      <c r="S393" s="21"/>
    </row>
    <row r="394" spans="1:23" ht="14.25" customHeight="1">
      <c r="T394" s="21"/>
      <c r="U394" s="21"/>
      <c r="V394" s="24"/>
    </row>
    <row r="395" spans="1:23" ht="14.25" customHeight="1">
      <c r="T395" s="21"/>
      <c r="U395" s="21"/>
    </row>
    <row r="396" spans="1:23" ht="15" customHeight="1">
      <c r="U396" s="21"/>
      <c r="V396" s="21"/>
    </row>
    <row r="397" spans="1:23" ht="15.75" customHeight="1">
      <c r="A397" s="989"/>
      <c r="B397" s="989"/>
      <c r="C397" s="989"/>
      <c r="D397" s="989"/>
      <c r="E397" s="989"/>
      <c r="F397" s="989"/>
      <c r="G397" s="989"/>
      <c r="H397" s="989"/>
      <c r="I397" s="989"/>
      <c r="J397" s="989"/>
      <c r="K397" s="989"/>
      <c r="L397" s="989"/>
      <c r="M397" s="989"/>
      <c r="N397" s="989"/>
      <c r="O397" s="989"/>
      <c r="P397" s="989"/>
      <c r="Q397" s="989"/>
      <c r="R397" s="989"/>
      <c r="S397" s="989"/>
      <c r="U397" s="1"/>
      <c r="V397" s="1"/>
    </row>
    <row r="398" spans="1:23" ht="15" customHeight="1">
      <c r="A398" s="987"/>
      <c r="B398" s="987"/>
      <c r="C398" s="987"/>
      <c r="D398" s="987"/>
      <c r="E398" s="987"/>
      <c r="F398" s="987"/>
      <c r="G398" s="987"/>
      <c r="H398" s="987"/>
      <c r="I398" s="987"/>
      <c r="J398" s="987"/>
      <c r="K398" s="987"/>
      <c r="L398" s="987"/>
      <c r="M398" s="987"/>
      <c r="N398" s="420"/>
      <c r="O398" s="420"/>
      <c r="P398" s="420"/>
      <c r="Q398" s="420"/>
      <c r="R398" s="987"/>
      <c r="S398" s="987"/>
      <c r="U398" s="1"/>
      <c r="V398" s="1"/>
    </row>
    <row r="399" spans="1:23" ht="36" customHeight="1">
      <c r="A399" s="987"/>
      <c r="B399" s="985"/>
      <c r="C399" s="985"/>
      <c r="D399" s="985"/>
      <c r="E399" s="985"/>
      <c r="F399" s="985"/>
      <c r="G399" s="985"/>
      <c r="H399" s="985"/>
      <c r="I399" s="985"/>
      <c r="J399" s="985"/>
      <c r="K399" s="985"/>
      <c r="L399" s="985"/>
      <c r="M399" s="985"/>
      <c r="N399" s="985"/>
      <c r="O399" s="985"/>
      <c r="P399" s="985"/>
      <c r="Q399" s="985"/>
      <c r="R399" s="985"/>
      <c r="S399" s="986"/>
      <c r="U399" s="999"/>
      <c r="V399" s="999"/>
    </row>
    <row r="400" spans="1:23" ht="15" customHeight="1">
      <c r="A400" s="990"/>
      <c r="B400" s="24"/>
      <c r="C400" s="21"/>
      <c r="D400" s="1"/>
      <c r="E400" s="21"/>
      <c r="F400" s="1"/>
      <c r="G400" s="21"/>
      <c r="H400" s="24"/>
      <c r="I400" s="991"/>
      <c r="J400" s="24"/>
      <c r="K400" s="21"/>
      <c r="L400" s="992"/>
      <c r="M400" s="21"/>
      <c r="N400" s="24"/>
      <c r="O400" s="21"/>
      <c r="P400" s="24"/>
      <c r="Q400" s="21"/>
      <c r="R400" s="24"/>
      <c r="S400" s="21"/>
      <c r="T400" s="18"/>
      <c r="U400" s="44"/>
      <c r="V400" s="19"/>
      <c r="W400" s="21"/>
    </row>
    <row r="401" spans="1:23" ht="15" customHeight="1">
      <c r="A401" s="990"/>
      <c r="B401" s="24"/>
      <c r="C401" s="21"/>
      <c r="E401" s="21"/>
      <c r="F401" s="1"/>
      <c r="G401" s="21"/>
      <c r="H401" s="24"/>
      <c r="I401" s="21"/>
      <c r="J401" s="24"/>
      <c r="K401" s="21"/>
      <c r="L401" s="992"/>
      <c r="M401" s="21"/>
      <c r="N401" s="24"/>
      <c r="O401" s="21"/>
      <c r="P401" s="24"/>
      <c r="Q401" s="21"/>
      <c r="R401" s="24"/>
      <c r="S401" s="21"/>
      <c r="T401" s="45"/>
      <c r="V401" s="19"/>
      <c r="W401" s="21"/>
    </row>
    <row r="402" spans="1:23" ht="15" customHeight="1">
      <c r="B402" s="24"/>
      <c r="C402" s="21"/>
      <c r="D402" s="24"/>
      <c r="E402" s="21"/>
      <c r="F402" s="24"/>
      <c r="G402" s="21"/>
      <c r="H402" s="24"/>
      <c r="I402" s="991"/>
      <c r="J402" s="24"/>
      <c r="K402" s="21"/>
      <c r="L402" s="24"/>
      <c r="M402" s="21"/>
      <c r="N402" s="24"/>
      <c r="O402" s="21"/>
      <c r="P402" s="24"/>
      <c r="Q402" s="21"/>
      <c r="R402" s="24"/>
      <c r="S402" s="21"/>
      <c r="U402" s="19"/>
      <c r="V402" s="19"/>
      <c r="W402" s="21"/>
    </row>
    <row r="403" spans="1:23" ht="15" customHeight="1">
      <c r="B403" s="24"/>
      <c r="C403" s="21"/>
      <c r="D403" s="24"/>
      <c r="E403" s="21"/>
      <c r="F403" s="24"/>
      <c r="G403" s="21"/>
      <c r="H403" s="24"/>
      <c r="I403" s="991"/>
      <c r="J403" s="24"/>
      <c r="K403" s="21"/>
      <c r="L403" s="24"/>
      <c r="M403" s="21"/>
      <c r="N403" s="24"/>
      <c r="O403" s="21"/>
      <c r="P403" s="24"/>
      <c r="Q403" s="21"/>
      <c r="R403" s="24"/>
      <c r="S403" s="21"/>
      <c r="U403" s="19"/>
      <c r="V403" s="19"/>
      <c r="W403" s="21"/>
    </row>
    <row r="404" spans="1:23" ht="15" customHeight="1">
      <c r="B404" s="24"/>
      <c r="C404" s="21"/>
      <c r="D404" s="24"/>
      <c r="E404" s="21"/>
      <c r="F404" s="24"/>
      <c r="G404" s="21"/>
      <c r="H404" s="24"/>
      <c r="I404" s="991"/>
      <c r="J404" s="24"/>
      <c r="K404" s="21"/>
      <c r="L404" s="24"/>
      <c r="M404" s="21"/>
      <c r="N404" s="24"/>
      <c r="O404" s="21"/>
      <c r="P404" s="24"/>
      <c r="Q404" s="21"/>
      <c r="R404" s="24"/>
      <c r="S404" s="21"/>
      <c r="U404" s="19"/>
      <c r="V404" s="19"/>
      <c r="W404" s="21"/>
    </row>
    <row r="405" spans="1:23" ht="15" customHeight="1">
      <c r="B405" s="24"/>
      <c r="C405" s="21"/>
      <c r="D405" s="24"/>
      <c r="E405" s="21"/>
      <c r="F405" s="24"/>
      <c r="G405" s="21"/>
      <c r="H405" s="24"/>
      <c r="I405" s="991"/>
      <c r="J405" s="24"/>
      <c r="K405" s="21"/>
      <c r="L405" s="24"/>
      <c r="M405" s="21"/>
      <c r="N405" s="24"/>
      <c r="O405" s="21"/>
      <c r="P405" s="24"/>
      <c r="Q405" s="21"/>
      <c r="R405" s="24"/>
      <c r="S405" s="21"/>
      <c r="U405" s="19"/>
      <c r="V405" s="19"/>
      <c r="W405" s="21"/>
    </row>
    <row r="406" spans="1:23" ht="15" customHeight="1">
      <c r="B406" s="24"/>
      <c r="C406" s="21"/>
      <c r="D406" s="24"/>
      <c r="E406" s="21"/>
      <c r="F406" s="24"/>
      <c r="G406" s="21"/>
      <c r="H406" s="24"/>
      <c r="I406" s="991"/>
      <c r="J406" s="24"/>
      <c r="K406" s="21"/>
      <c r="L406" s="24"/>
      <c r="M406" s="21"/>
      <c r="N406" s="24"/>
      <c r="O406" s="21"/>
      <c r="P406" s="24"/>
      <c r="Q406" s="21"/>
      <c r="R406" s="24"/>
      <c r="S406" s="21"/>
      <c r="U406" s="19"/>
      <c r="V406" s="19"/>
      <c r="W406" s="21"/>
    </row>
    <row r="407" spans="1:23" ht="15" customHeight="1">
      <c r="B407" s="24"/>
      <c r="C407" s="21"/>
      <c r="D407" s="24"/>
      <c r="E407" s="21"/>
      <c r="F407" s="24"/>
      <c r="G407" s="21"/>
      <c r="H407" s="24"/>
      <c r="I407" s="991"/>
      <c r="J407" s="24"/>
      <c r="K407" s="21"/>
      <c r="L407" s="24"/>
      <c r="M407" s="21"/>
      <c r="N407" s="24"/>
      <c r="O407" s="21"/>
      <c r="P407" s="24"/>
      <c r="Q407" s="21"/>
      <c r="R407" s="24"/>
      <c r="S407" s="21"/>
      <c r="U407" s="19"/>
      <c r="V407" s="19"/>
      <c r="W407" s="21"/>
    </row>
    <row r="408" spans="1:23" ht="15" customHeight="1">
      <c r="B408" s="24"/>
      <c r="C408" s="21"/>
      <c r="D408" s="24"/>
      <c r="E408" s="21"/>
      <c r="F408" s="24"/>
      <c r="G408" s="21"/>
      <c r="H408" s="24"/>
      <c r="I408" s="991"/>
      <c r="J408" s="24"/>
      <c r="K408" s="21"/>
      <c r="L408" s="24"/>
      <c r="M408" s="21"/>
      <c r="N408" s="24"/>
      <c r="O408" s="21"/>
      <c r="P408" s="24"/>
      <c r="Q408" s="21"/>
      <c r="R408" s="24"/>
      <c r="S408" s="21"/>
      <c r="U408" s="19"/>
      <c r="V408" s="19"/>
      <c r="W408" s="21"/>
    </row>
    <row r="409" spans="1:23" ht="15" customHeight="1">
      <c r="B409" s="24"/>
      <c r="C409" s="21"/>
      <c r="D409" s="24"/>
      <c r="E409" s="21"/>
      <c r="F409" s="24"/>
      <c r="G409" s="21"/>
      <c r="H409" s="24"/>
      <c r="I409" s="991"/>
      <c r="J409" s="24"/>
      <c r="K409" s="21"/>
      <c r="L409" s="24"/>
      <c r="M409" s="21"/>
      <c r="N409" s="24"/>
      <c r="O409" s="21"/>
      <c r="P409" s="24"/>
      <c r="Q409" s="21"/>
      <c r="R409" s="24"/>
      <c r="S409" s="21"/>
      <c r="U409" s="19"/>
      <c r="V409" s="19"/>
      <c r="W409" s="21"/>
    </row>
    <row r="410" spans="1:23" ht="15.75" customHeight="1">
      <c r="B410" s="24"/>
      <c r="C410" s="21"/>
      <c r="D410" s="24"/>
      <c r="E410" s="21"/>
      <c r="F410" s="24"/>
      <c r="G410" s="21"/>
      <c r="H410" s="24"/>
      <c r="I410" s="991"/>
      <c r="J410" s="24"/>
      <c r="K410" s="21"/>
      <c r="L410" s="24"/>
      <c r="M410" s="21"/>
      <c r="N410" s="24"/>
      <c r="O410" s="21"/>
      <c r="P410" s="24"/>
      <c r="Q410" s="21"/>
      <c r="R410" s="24"/>
      <c r="S410" s="21"/>
      <c r="U410" s="33"/>
      <c r="V410" s="19"/>
      <c r="W410" s="21"/>
    </row>
    <row r="411" spans="1:23" ht="14.25" customHeight="1">
      <c r="C411" s="21"/>
      <c r="E411" s="21"/>
      <c r="G411" s="21"/>
      <c r="H411" s="21"/>
      <c r="I411" s="21"/>
      <c r="K411" s="21"/>
      <c r="M411" s="21"/>
      <c r="O411" s="21"/>
      <c r="Q411" s="21"/>
      <c r="S411" s="21"/>
    </row>
    <row r="412" spans="1:23" ht="14.25" customHeight="1">
      <c r="T412" s="21"/>
      <c r="U412" s="21"/>
      <c r="V412" s="24"/>
    </row>
    <row r="413" spans="1:23" ht="14.25" customHeight="1">
      <c r="T413" s="21"/>
      <c r="U413" s="21"/>
    </row>
    <row r="414" spans="1:23" ht="15" customHeight="1">
      <c r="U414" s="21"/>
      <c r="V414" s="21"/>
    </row>
    <row r="415" spans="1:23" ht="15.75" customHeight="1">
      <c r="A415" s="989"/>
      <c r="B415" s="989"/>
      <c r="C415" s="989"/>
      <c r="D415" s="989"/>
      <c r="E415" s="989"/>
      <c r="F415" s="989"/>
      <c r="G415" s="989"/>
      <c r="H415" s="989"/>
      <c r="I415" s="989"/>
      <c r="J415" s="989"/>
      <c r="K415" s="989"/>
      <c r="L415" s="989"/>
      <c r="M415" s="989"/>
      <c r="N415" s="989"/>
      <c r="O415" s="989"/>
      <c r="P415" s="989"/>
      <c r="Q415" s="989"/>
      <c r="R415" s="989"/>
      <c r="S415" s="989"/>
      <c r="U415" s="1"/>
      <c r="V415" s="1"/>
    </row>
    <row r="416" spans="1:23" ht="15" customHeight="1">
      <c r="A416" s="987"/>
      <c r="B416" s="987"/>
      <c r="C416" s="987"/>
      <c r="D416" s="987"/>
      <c r="E416" s="987"/>
      <c r="F416" s="987"/>
      <c r="G416" s="987"/>
      <c r="H416" s="987"/>
      <c r="I416" s="987"/>
      <c r="J416" s="987"/>
      <c r="K416" s="987"/>
      <c r="L416" s="987"/>
      <c r="M416" s="987"/>
      <c r="N416" s="420"/>
      <c r="O416" s="420"/>
      <c r="P416" s="420"/>
      <c r="Q416" s="420"/>
      <c r="R416" s="987"/>
      <c r="S416" s="987"/>
      <c r="U416" s="1"/>
      <c r="V416" s="1"/>
    </row>
    <row r="417" spans="1:23" ht="36" customHeight="1">
      <c r="A417" s="987"/>
      <c r="B417" s="985"/>
      <c r="C417" s="985"/>
      <c r="D417" s="985"/>
      <c r="E417" s="985"/>
      <c r="F417" s="985"/>
      <c r="G417" s="985"/>
      <c r="H417" s="985"/>
      <c r="I417" s="985"/>
      <c r="J417" s="985"/>
      <c r="K417" s="985"/>
      <c r="L417" s="985"/>
      <c r="M417" s="985"/>
      <c r="N417" s="985"/>
      <c r="O417" s="985"/>
      <c r="P417" s="985"/>
      <c r="Q417" s="985"/>
      <c r="R417" s="985"/>
      <c r="S417" s="986"/>
      <c r="U417" s="999"/>
      <c r="V417" s="999"/>
    </row>
    <row r="418" spans="1:23" ht="15" customHeight="1">
      <c r="A418" s="990"/>
      <c r="B418" s="24"/>
      <c r="C418" s="21"/>
      <c r="D418" s="1"/>
      <c r="E418" s="21"/>
      <c r="F418" s="1"/>
      <c r="G418" s="21"/>
      <c r="H418" s="24"/>
      <c r="I418" s="991"/>
      <c r="J418" s="24"/>
      <c r="K418" s="21"/>
      <c r="L418" s="992"/>
      <c r="M418" s="21"/>
      <c r="N418" s="24"/>
      <c r="O418" s="21"/>
      <c r="P418" s="24"/>
      <c r="Q418" s="21"/>
      <c r="R418" s="24"/>
      <c r="S418" s="21"/>
      <c r="T418" s="18"/>
      <c r="U418" s="44"/>
      <c r="V418" s="19"/>
      <c r="W418" s="21"/>
    </row>
    <row r="419" spans="1:23" ht="15" customHeight="1">
      <c r="A419" s="990"/>
      <c r="B419" s="24"/>
      <c r="C419" s="21"/>
      <c r="E419" s="21"/>
      <c r="F419" s="1"/>
      <c r="G419" s="21"/>
      <c r="H419" s="24"/>
      <c r="I419" s="21"/>
      <c r="J419" s="24"/>
      <c r="K419" s="21"/>
      <c r="L419" s="992"/>
      <c r="M419" s="21"/>
      <c r="N419" s="24"/>
      <c r="O419" s="21"/>
      <c r="P419" s="24"/>
      <c r="Q419" s="21"/>
      <c r="R419" s="24"/>
      <c r="S419" s="21"/>
      <c r="T419" s="45"/>
      <c r="V419" s="19"/>
      <c r="W419" s="21"/>
    </row>
    <row r="420" spans="1:23" ht="15" customHeight="1">
      <c r="B420" s="24"/>
      <c r="C420" s="21"/>
      <c r="D420" s="24"/>
      <c r="E420" s="21"/>
      <c r="F420" s="24"/>
      <c r="G420" s="21"/>
      <c r="H420" s="24"/>
      <c r="I420" s="991"/>
      <c r="J420" s="24"/>
      <c r="K420" s="21"/>
      <c r="L420" s="24"/>
      <c r="M420" s="21"/>
      <c r="N420" s="24"/>
      <c r="O420" s="21"/>
      <c r="P420" s="24"/>
      <c r="Q420" s="21"/>
      <c r="R420" s="24"/>
      <c r="S420" s="21"/>
      <c r="U420" s="19"/>
      <c r="V420" s="19"/>
      <c r="W420" s="21"/>
    </row>
    <row r="421" spans="1:23" ht="15" customHeight="1">
      <c r="B421" s="24"/>
      <c r="C421" s="21"/>
      <c r="D421" s="24"/>
      <c r="E421" s="21"/>
      <c r="F421" s="24"/>
      <c r="G421" s="21"/>
      <c r="H421" s="24"/>
      <c r="I421" s="991"/>
      <c r="J421" s="24"/>
      <c r="K421" s="21"/>
      <c r="L421" s="24"/>
      <c r="M421" s="21"/>
      <c r="N421" s="24"/>
      <c r="O421" s="21"/>
      <c r="P421" s="24"/>
      <c r="Q421" s="21"/>
      <c r="R421" s="24"/>
      <c r="S421" s="21"/>
      <c r="U421" s="19"/>
      <c r="V421" s="19"/>
      <c r="W421" s="21"/>
    </row>
    <row r="422" spans="1:23" ht="15" customHeight="1">
      <c r="B422" s="24"/>
      <c r="C422" s="21"/>
      <c r="D422" s="24"/>
      <c r="E422" s="21"/>
      <c r="F422" s="24"/>
      <c r="G422" s="21"/>
      <c r="H422" s="24"/>
      <c r="I422" s="991"/>
      <c r="J422" s="24"/>
      <c r="K422" s="21"/>
      <c r="L422" s="24"/>
      <c r="M422" s="21"/>
      <c r="N422" s="24"/>
      <c r="O422" s="21"/>
      <c r="P422" s="24"/>
      <c r="Q422" s="21"/>
      <c r="R422" s="24"/>
      <c r="S422" s="21"/>
      <c r="U422" s="19"/>
      <c r="V422" s="19"/>
      <c r="W422" s="21"/>
    </row>
    <row r="423" spans="1:23" ht="15" customHeight="1">
      <c r="B423" s="24"/>
      <c r="C423" s="21"/>
      <c r="D423" s="24"/>
      <c r="E423" s="21"/>
      <c r="F423" s="24"/>
      <c r="G423" s="21"/>
      <c r="H423" s="24"/>
      <c r="I423" s="991"/>
      <c r="J423" s="24"/>
      <c r="K423" s="21"/>
      <c r="L423" s="24"/>
      <c r="M423" s="21"/>
      <c r="N423" s="24"/>
      <c r="O423" s="21"/>
      <c r="P423" s="24"/>
      <c r="Q423" s="21"/>
      <c r="R423" s="24"/>
      <c r="S423" s="21"/>
      <c r="U423" s="19"/>
      <c r="V423" s="19"/>
      <c r="W423" s="21"/>
    </row>
    <row r="424" spans="1:23" ht="15" customHeight="1">
      <c r="B424" s="24"/>
      <c r="C424" s="21"/>
      <c r="D424" s="24"/>
      <c r="E424" s="21"/>
      <c r="F424" s="24"/>
      <c r="G424" s="21"/>
      <c r="H424" s="24"/>
      <c r="I424" s="991"/>
      <c r="J424" s="24"/>
      <c r="K424" s="21"/>
      <c r="L424" s="24"/>
      <c r="M424" s="21"/>
      <c r="N424" s="24"/>
      <c r="O424" s="21"/>
      <c r="P424" s="24"/>
      <c r="Q424" s="21"/>
      <c r="R424" s="24"/>
      <c r="S424" s="21"/>
      <c r="U424" s="19"/>
      <c r="V424" s="19"/>
      <c r="W424" s="21"/>
    </row>
    <row r="425" spans="1:23" ht="15" customHeight="1">
      <c r="B425" s="24"/>
      <c r="C425" s="21"/>
      <c r="D425" s="24"/>
      <c r="E425" s="21"/>
      <c r="F425" s="24"/>
      <c r="G425" s="21"/>
      <c r="H425" s="24"/>
      <c r="I425" s="991"/>
      <c r="J425" s="24"/>
      <c r="K425" s="21"/>
      <c r="L425" s="24"/>
      <c r="M425" s="21"/>
      <c r="N425" s="24"/>
      <c r="O425" s="21"/>
      <c r="P425" s="24"/>
      <c r="Q425" s="21"/>
      <c r="R425" s="24"/>
      <c r="S425" s="21"/>
      <c r="U425" s="19"/>
      <c r="V425" s="19"/>
      <c r="W425" s="21"/>
    </row>
    <row r="426" spans="1:23" ht="15" customHeight="1">
      <c r="B426" s="24"/>
      <c r="C426" s="21"/>
      <c r="D426" s="24"/>
      <c r="E426" s="21"/>
      <c r="F426" s="24"/>
      <c r="G426" s="21"/>
      <c r="H426" s="24"/>
      <c r="I426" s="991"/>
      <c r="J426" s="24"/>
      <c r="K426" s="21"/>
      <c r="L426" s="24"/>
      <c r="M426" s="21"/>
      <c r="N426" s="24"/>
      <c r="O426" s="21"/>
      <c r="P426" s="24"/>
      <c r="Q426" s="21"/>
      <c r="R426" s="24"/>
      <c r="S426" s="21"/>
      <c r="U426" s="19"/>
      <c r="V426" s="19"/>
      <c r="W426" s="21"/>
    </row>
    <row r="427" spans="1:23" ht="15" customHeight="1">
      <c r="B427" s="24"/>
      <c r="C427" s="21"/>
      <c r="D427" s="24"/>
      <c r="E427" s="21"/>
      <c r="F427" s="24"/>
      <c r="G427" s="21"/>
      <c r="H427" s="24"/>
      <c r="I427" s="991"/>
      <c r="J427" s="24"/>
      <c r="K427" s="21"/>
      <c r="L427" s="24"/>
      <c r="M427" s="21"/>
      <c r="N427" s="24"/>
      <c r="O427" s="21"/>
      <c r="P427" s="24"/>
      <c r="Q427" s="21"/>
      <c r="R427" s="24"/>
      <c r="S427" s="21"/>
      <c r="U427" s="19"/>
      <c r="V427" s="19"/>
      <c r="W427" s="21"/>
    </row>
    <row r="428" spans="1:23" ht="15.75" customHeight="1">
      <c r="B428" s="24"/>
      <c r="C428" s="21"/>
      <c r="D428" s="24"/>
      <c r="E428" s="21"/>
      <c r="F428" s="24"/>
      <c r="G428" s="21"/>
      <c r="H428" s="24"/>
      <c r="I428" s="991"/>
      <c r="J428" s="24"/>
      <c r="K428" s="21"/>
      <c r="L428" s="24"/>
      <c r="M428" s="21"/>
      <c r="N428" s="24"/>
      <c r="O428" s="21"/>
      <c r="P428" s="24"/>
      <c r="Q428" s="21"/>
      <c r="R428" s="24"/>
      <c r="S428" s="21"/>
      <c r="U428" s="33"/>
      <c r="V428" s="19"/>
      <c r="W428" s="21"/>
    </row>
    <row r="429" spans="1:23" ht="14.25" customHeight="1">
      <c r="C429" s="21"/>
      <c r="E429" s="21"/>
      <c r="G429" s="21"/>
      <c r="H429" s="21"/>
      <c r="I429" s="21"/>
      <c r="K429" s="21"/>
      <c r="M429" s="21"/>
      <c r="O429" s="21"/>
      <c r="Q429" s="21"/>
      <c r="S429" s="21"/>
    </row>
    <row r="430" spans="1:23" ht="14.25" customHeight="1">
      <c r="T430" s="21"/>
      <c r="U430" s="21"/>
      <c r="V430" s="24"/>
    </row>
    <row r="431" spans="1:23" ht="14.25" customHeight="1">
      <c r="T431" s="21"/>
      <c r="U431" s="21"/>
    </row>
    <row r="432" spans="1:23" ht="15" customHeight="1">
      <c r="U432" s="21"/>
      <c r="V432" s="21"/>
    </row>
    <row r="433" spans="1:23" ht="15.75" customHeight="1">
      <c r="A433" s="989"/>
      <c r="B433" s="989"/>
      <c r="C433" s="989"/>
      <c r="D433" s="989"/>
      <c r="E433" s="989"/>
      <c r="F433" s="989"/>
      <c r="G433" s="989"/>
      <c r="H433" s="989"/>
      <c r="I433" s="989"/>
      <c r="J433" s="989"/>
      <c r="K433" s="989"/>
      <c r="L433" s="989"/>
      <c r="M433" s="989"/>
      <c r="N433" s="989"/>
      <c r="O433" s="989"/>
      <c r="P433" s="989"/>
      <c r="Q433" s="989"/>
      <c r="R433" s="989"/>
      <c r="S433" s="989"/>
      <c r="U433" s="1"/>
      <c r="V433" s="1"/>
    </row>
    <row r="434" spans="1:23" ht="15" customHeight="1">
      <c r="A434" s="987"/>
      <c r="B434" s="987"/>
      <c r="C434" s="987"/>
      <c r="D434" s="987"/>
      <c r="E434" s="987"/>
      <c r="F434" s="987"/>
      <c r="G434" s="987"/>
      <c r="H434" s="987"/>
      <c r="I434" s="987"/>
      <c r="J434" s="987"/>
      <c r="K434" s="987"/>
      <c r="L434" s="987"/>
      <c r="M434" s="987"/>
      <c r="N434" s="420"/>
      <c r="O434" s="420"/>
      <c r="P434" s="420"/>
      <c r="Q434" s="420"/>
      <c r="R434" s="987"/>
      <c r="S434" s="987"/>
      <c r="U434" s="1"/>
      <c r="V434" s="1"/>
    </row>
    <row r="435" spans="1:23" ht="36" customHeight="1">
      <c r="A435" s="987"/>
      <c r="B435" s="985"/>
      <c r="C435" s="985"/>
      <c r="D435" s="985"/>
      <c r="E435" s="985"/>
      <c r="F435" s="985"/>
      <c r="G435" s="985"/>
      <c r="H435" s="985"/>
      <c r="I435" s="985"/>
      <c r="J435" s="985"/>
      <c r="K435" s="985"/>
      <c r="L435" s="985"/>
      <c r="M435" s="985"/>
      <c r="N435" s="985"/>
      <c r="O435" s="985"/>
      <c r="P435" s="985"/>
      <c r="Q435" s="985"/>
      <c r="R435" s="985"/>
      <c r="S435" s="986"/>
      <c r="U435" s="999"/>
      <c r="V435" s="999"/>
    </row>
    <row r="436" spans="1:23" ht="15" customHeight="1">
      <c r="A436" s="990"/>
      <c r="B436" s="24"/>
      <c r="C436" s="21"/>
      <c r="D436" s="1"/>
      <c r="E436" s="21"/>
      <c r="F436" s="1"/>
      <c r="G436" s="21"/>
      <c r="H436" s="24"/>
      <c r="I436" s="991"/>
      <c r="J436" s="24"/>
      <c r="K436" s="21"/>
      <c r="L436" s="992"/>
      <c r="M436" s="21"/>
      <c r="N436" s="24"/>
      <c r="O436" s="21"/>
      <c r="P436" s="24"/>
      <c r="Q436" s="21"/>
      <c r="R436" s="24"/>
      <c r="S436" s="21"/>
      <c r="T436" s="18"/>
      <c r="U436" s="44"/>
      <c r="V436" s="19"/>
      <c r="W436" s="21"/>
    </row>
    <row r="437" spans="1:23" ht="15" customHeight="1">
      <c r="A437" s="990"/>
      <c r="B437" s="24"/>
      <c r="C437" s="21"/>
      <c r="E437" s="21"/>
      <c r="F437" s="1"/>
      <c r="G437" s="21"/>
      <c r="H437" s="24"/>
      <c r="I437" s="21"/>
      <c r="J437" s="24"/>
      <c r="K437" s="21"/>
      <c r="L437" s="992"/>
      <c r="M437" s="21"/>
      <c r="N437" s="24"/>
      <c r="O437" s="21"/>
      <c r="P437" s="24"/>
      <c r="Q437" s="21"/>
      <c r="R437" s="24"/>
      <c r="S437" s="21"/>
      <c r="T437" s="45"/>
      <c r="V437" s="19"/>
      <c r="W437" s="21"/>
    </row>
    <row r="438" spans="1:23" ht="15" customHeight="1">
      <c r="B438" s="24"/>
      <c r="C438" s="21"/>
      <c r="D438" s="24"/>
      <c r="E438" s="21"/>
      <c r="F438" s="24"/>
      <c r="G438" s="21"/>
      <c r="H438" s="24"/>
      <c r="I438" s="991"/>
      <c r="J438" s="24"/>
      <c r="K438" s="21"/>
      <c r="L438" s="24"/>
      <c r="M438" s="21"/>
      <c r="N438" s="24"/>
      <c r="O438" s="21"/>
      <c r="P438" s="24"/>
      <c r="Q438" s="21"/>
      <c r="R438" s="24"/>
      <c r="S438" s="21"/>
      <c r="U438" s="19"/>
      <c r="V438" s="19"/>
      <c r="W438" s="21"/>
    </row>
    <row r="439" spans="1:23" ht="15" customHeight="1">
      <c r="B439" s="24"/>
      <c r="C439" s="21"/>
      <c r="D439" s="24"/>
      <c r="E439" s="21"/>
      <c r="F439" s="24"/>
      <c r="G439" s="21"/>
      <c r="H439" s="24"/>
      <c r="I439" s="991"/>
      <c r="J439" s="24"/>
      <c r="K439" s="21"/>
      <c r="L439" s="24"/>
      <c r="M439" s="21"/>
      <c r="N439" s="24"/>
      <c r="O439" s="21"/>
      <c r="P439" s="24"/>
      <c r="Q439" s="21"/>
      <c r="R439" s="24"/>
      <c r="S439" s="21"/>
      <c r="U439" s="19"/>
      <c r="V439" s="19"/>
      <c r="W439" s="21"/>
    </row>
    <row r="440" spans="1:23" ht="15" customHeight="1">
      <c r="B440" s="24"/>
      <c r="C440" s="21"/>
      <c r="D440" s="24"/>
      <c r="E440" s="21"/>
      <c r="F440" s="24"/>
      <c r="G440" s="21"/>
      <c r="H440" s="24"/>
      <c r="I440" s="991"/>
      <c r="J440" s="24"/>
      <c r="K440" s="21"/>
      <c r="L440" s="24"/>
      <c r="M440" s="21"/>
      <c r="N440" s="24"/>
      <c r="O440" s="21"/>
      <c r="P440" s="24"/>
      <c r="Q440" s="21"/>
      <c r="R440" s="24"/>
      <c r="S440" s="21"/>
      <c r="U440" s="19"/>
      <c r="V440" s="19"/>
      <c r="W440" s="21"/>
    </row>
    <row r="441" spans="1:23" ht="15" customHeight="1">
      <c r="B441" s="24"/>
      <c r="C441" s="21"/>
      <c r="D441" s="24"/>
      <c r="E441" s="21"/>
      <c r="F441" s="24"/>
      <c r="G441" s="21"/>
      <c r="H441" s="24"/>
      <c r="I441" s="991"/>
      <c r="J441" s="24"/>
      <c r="K441" s="21"/>
      <c r="L441" s="24"/>
      <c r="M441" s="21"/>
      <c r="N441" s="24"/>
      <c r="O441" s="21"/>
      <c r="P441" s="24"/>
      <c r="Q441" s="21"/>
      <c r="R441" s="24"/>
      <c r="S441" s="21"/>
      <c r="U441" s="19"/>
      <c r="V441" s="19"/>
      <c r="W441" s="21"/>
    </row>
    <row r="442" spans="1:23" ht="15" customHeight="1">
      <c r="B442" s="24"/>
      <c r="C442" s="21"/>
      <c r="D442" s="24"/>
      <c r="E442" s="21"/>
      <c r="F442" s="24"/>
      <c r="G442" s="21"/>
      <c r="H442" s="24"/>
      <c r="I442" s="991"/>
      <c r="J442" s="24"/>
      <c r="K442" s="21"/>
      <c r="L442" s="24"/>
      <c r="M442" s="21"/>
      <c r="N442" s="24"/>
      <c r="O442" s="21"/>
      <c r="P442" s="24"/>
      <c r="Q442" s="21"/>
      <c r="R442" s="24"/>
      <c r="S442" s="21"/>
      <c r="U442" s="19"/>
      <c r="V442" s="19"/>
      <c r="W442" s="21"/>
    </row>
    <row r="443" spans="1:23" ht="15" customHeight="1">
      <c r="B443" s="24"/>
      <c r="C443" s="21"/>
      <c r="D443" s="24"/>
      <c r="E443" s="21"/>
      <c r="F443" s="24"/>
      <c r="G443" s="21"/>
      <c r="H443" s="24"/>
      <c r="I443" s="991"/>
      <c r="J443" s="24"/>
      <c r="K443" s="21"/>
      <c r="L443" s="24"/>
      <c r="M443" s="21"/>
      <c r="N443" s="24"/>
      <c r="O443" s="21"/>
      <c r="P443" s="24"/>
      <c r="Q443" s="21"/>
      <c r="R443" s="24"/>
      <c r="S443" s="21"/>
      <c r="U443" s="19"/>
      <c r="V443" s="19"/>
      <c r="W443" s="21"/>
    </row>
    <row r="444" spans="1:23" ht="15" customHeight="1">
      <c r="B444" s="24"/>
      <c r="C444" s="21"/>
      <c r="D444" s="24"/>
      <c r="E444" s="21"/>
      <c r="F444" s="24"/>
      <c r="G444" s="21"/>
      <c r="H444" s="24"/>
      <c r="I444" s="991"/>
      <c r="J444" s="24"/>
      <c r="K444" s="21"/>
      <c r="L444" s="24"/>
      <c r="M444" s="21"/>
      <c r="N444" s="24"/>
      <c r="O444" s="21"/>
      <c r="P444" s="24"/>
      <c r="Q444" s="21"/>
      <c r="R444" s="24"/>
      <c r="S444" s="21"/>
      <c r="U444" s="19"/>
      <c r="V444" s="19"/>
      <c r="W444" s="21"/>
    </row>
    <row r="445" spans="1:23" ht="15" customHeight="1">
      <c r="B445" s="24"/>
      <c r="C445" s="21"/>
      <c r="D445" s="24"/>
      <c r="E445" s="21"/>
      <c r="F445" s="24"/>
      <c r="G445" s="21"/>
      <c r="H445" s="24"/>
      <c r="I445" s="991"/>
      <c r="J445" s="24"/>
      <c r="K445" s="21"/>
      <c r="L445" s="24"/>
      <c r="M445" s="21"/>
      <c r="N445" s="24"/>
      <c r="O445" s="21"/>
      <c r="P445" s="24"/>
      <c r="Q445" s="21"/>
      <c r="R445" s="24"/>
      <c r="S445" s="21"/>
      <c r="U445" s="19"/>
      <c r="V445" s="19"/>
      <c r="W445" s="21"/>
    </row>
    <row r="446" spans="1:23" ht="15.75" customHeight="1">
      <c r="B446" s="24"/>
      <c r="C446" s="21"/>
      <c r="D446" s="24"/>
      <c r="E446" s="21"/>
      <c r="F446" s="24"/>
      <c r="G446" s="21"/>
      <c r="H446" s="24"/>
      <c r="I446" s="991"/>
      <c r="J446" s="24"/>
      <c r="K446" s="21"/>
      <c r="L446" s="24"/>
      <c r="M446" s="21"/>
      <c r="N446" s="24"/>
      <c r="O446" s="21"/>
      <c r="P446" s="24"/>
      <c r="Q446" s="21"/>
      <c r="R446" s="24"/>
      <c r="S446" s="21"/>
      <c r="U446" s="33"/>
      <c r="V446" s="19"/>
      <c r="W446" s="21"/>
    </row>
    <row r="447" spans="1:23" ht="14.25" customHeight="1">
      <c r="C447" s="21"/>
      <c r="E447" s="21"/>
      <c r="G447" s="21"/>
      <c r="H447" s="21"/>
      <c r="I447" s="21"/>
      <c r="K447" s="21"/>
      <c r="M447" s="21"/>
      <c r="O447" s="21"/>
      <c r="Q447" s="21"/>
      <c r="S447" s="21"/>
    </row>
    <row r="448" spans="1:23" ht="14.25" customHeight="1">
      <c r="T448" s="21"/>
      <c r="U448" s="21"/>
      <c r="V448" s="24"/>
    </row>
    <row r="449" spans="1:23" ht="14.25" customHeight="1">
      <c r="T449" s="21"/>
      <c r="U449" s="21"/>
    </row>
    <row r="450" spans="1:23" ht="15" customHeight="1">
      <c r="U450" s="21"/>
      <c r="V450" s="21"/>
    </row>
    <row r="451" spans="1:23" ht="15.75" customHeight="1">
      <c r="A451" s="989"/>
      <c r="B451" s="989"/>
      <c r="C451" s="989"/>
      <c r="D451" s="989"/>
      <c r="E451" s="989"/>
      <c r="F451" s="989"/>
      <c r="G451" s="989"/>
      <c r="H451" s="989"/>
      <c r="I451" s="989"/>
      <c r="J451" s="989"/>
      <c r="K451" s="989"/>
      <c r="L451" s="989"/>
      <c r="M451" s="989"/>
      <c r="N451" s="989"/>
      <c r="O451" s="989"/>
      <c r="P451" s="989"/>
      <c r="Q451" s="989"/>
      <c r="R451" s="989"/>
      <c r="S451" s="989"/>
      <c r="U451" s="1"/>
      <c r="V451" s="1"/>
    </row>
    <row r="452" spans="1:23" ht="15" customHeight="1">
      <c r="A452" s="987"/>
      <c r="B452" s="987"/>
      <c r="C452" s="987"/>
      <c r="D452" s="987"/>
      <c r="E452" s="987"/>
      <c r="F452" s="987"/>
      <c r="G452" s="987"/>
      <c r="H452" s="987"/>
      <c r="I452" s="987"/>
      <c r="J452" s="987"/>
      <c r="K452" s="987"/>
      <c r="L452" s="987"/>
      <c r="M452" s="987"/>
      <c r="N452" s="420"/>
      <c r="O452" s="420"/>
      <c r="P452" s="420"/>
      <c r="Q452" s="420"/>
      <c r="R452" s="987"/>
      <c r="S452" s="987"/>
      <c r="U452" s="1"/>
      <c r="V452" s="1"/>
    </row>
    <row r="453" spans="1:23" ht="36" customHeight="1">
      <c r="A453" s="987"/>
      <c r="B453" s="985"/>
      <c r="C453" s="985"/>
      <c r="D453" s="985"/>
      <c r="E453" s="985"/>
      <c r="F453" s="985"/>
      <c r="G453" s="985"/>
      <c r="H453" s="985"/>
      <c r="I453" s="985"/>
      <c r="J453" s="985"/>
      <c r="K453" s="985"/>
      <c r="L453" s="985"/>
      <c r="M453" s="985"/>
      <c r="N453" s="985"/>
      <c r="O453" s="985"/>
      <c r="P453" s="985"/>
      <c r="Q453" s="985"/>
      <c r="R453" s="985"/>
      <c r="S453" s="986"/>
      <c r="U453" s="999"/>
      <c r="V453" s="999"/>
    </row>
    <row r="454" spans="1:23" ht="15" customHeight="1">
      <c r="A454" s="990"/>
      <c r="B454" s="24"/>
      <c r="C454" s="21"/>
      <c r="D454" s="1"/>
      <c r="E454" s="21"/>
      <c r="F454" s="1"/>
      <c r="G454" s="21"/>
      <c r="H454" s="24"/>
      <c r="I454" s="991"/>
      <c r="J454" s="24"/>
      <c r="K454" s="21"/>
      <c r="L454" s="992"/>
      <c r="M454" s="21"/>
      <c r="N454" s="24"/>
      <c r="O454" s="21"/>
      <c r="P454" s="24"/>
      <c r="Q454" s="21"/>
      <c r="R454" s="24"/>
      <c r="S454" s="21"/>
      <c r="T454" s="18"/>
      <c r="U454" s="44"/>
      <c r="V454" s="19"/>
      <c r="W454" s="21"/>
    </row>
    <row r="455" spans="1:23" ht="15" customHeight="1">
      <c r="A455" s="990"/>
      <c r="B455" s="24"/>
      <c r="C455" s="21"/>
      <c r="E455" s="21"/>
      <c r="F455" s="1"/>
      <c r="G455" s="21"/>
      <c r="H455" s="24"/>
      <c r="I455" s="21"/>
      <c r="J455" s="24"/>
      <c r="K455" s="21"/>
      <c r="L455" s="992"/>
      <c r="M455" s="21"/>
      <c r="N455" s="24"/>
      <c r="O455" s="21"/>
      <c r="P455" s="24"/>
      <c r="Q455" s="21"/>
      <c r="R455" s="24"/>
      <c r="S455" s="21"/>
      <c r="T455" s="45"/>
      <c r="V455" s="19"/>
      <c r="W455" s="21"/>
    </row>
    <row r="456" spans="1:23" ht="15" customHeight="1">
      <c r="B456" s="24"/>
      <c r="C456" s="21"/>
      <c r="D456" s="24"/>
      <c r="E456" s="21"/>
      <c r="F456" s="24"/>
      <c r="G456" s="21"/>
      <c r="H456" s="24"/>
      <c r="I456" s="991"/>
      <c r="J456" s="24"/>
      <c r="K456" s="21"/>
      <c r="L456" s="24"/>
      <c r="M456" s="21"/>
      <c r="N456" s="24"/>
      <c r="O456" s="21"/>
      <c r="P456" s="24"/>
      <c r="Q456" s="21"/>
      <c r="R456" s="24"/>
      <c r="S456" s="21"/>
      <c r="U456" s="19"/>
      <c r="V456" s="19"/>
      <c r="W456" s="21"/>
    </row>
    <row r="457" spans="1:23" ht="15" customHeight="1">
      <c r="B457" s="24"/>
      <c r="C457" s="21"/>
      <c r="D457" s="24"/>
      <c r="E457" s="21"/>
      <c r="F457" s="24"/>
      <c r="G457" s="21"/>
      <c r="H457" s="24"/>
      <c r="I457" s="991"/>
      <c r="J457" s="24"/>
      <c r="K457" s="21"/>
      <c r="L457" s="24"/>
      <c r="M457" s="21"/>
      <c r="N457" s="24"/>
      <c r="O457" s="21"/>
      <c r="P457" s="24"/>
      <c r="Q457" s="21"/>
      <c r="R457" s="24"/>
      <c r="S457" s="21"/>
      <c r="U457" s="19"/>
      <c r="V457" s="19"/>
      <c r="W457" s="21"/>
    </row>
    <row r="458" spans="1:23" ht="15" customHeight="1">
      <c r="B458" s="24"/>
      <c r="C458" s="21"/>
      <c r="D458" s="24"/>
      <c r="E458" s="21"/>
      <c r="F458" s="24"/>
      <c r="G458" s="21"/>
      <c r="H458" s="24"/>
      <c r="I458" s="991"/>
      <c r="J458" s="24"/>
      <c r="K458" s="21"/>
      <c r="L458" s="24"/>
      <c r="M458" s="21"/>
      <c r="N458" s="24"/>
      <c r="O458" s="21"/>
      <c r="P458" s="24"/>
      <c r="Q458" s="21"/>
      <c r="R458" s="24"/>
      <c r="S458" s="21"/>
      <c r="U458" s="19"/>
      <c r="V458" s="19"/>
      <c r="W458" s="21"/>
    </row>
    <row r="459" spans="1:23" ht="15" customHeight="1">
      <c r="B459" s="24"/>
      <c r="C459" s="21"/>
      <c r="D459" s="24"/>
      <c r="E459" s="21"/>
      <c r="F459" s="24"/>
      <c r="G459" s="21"/>
      <c r="H459" s="24"/>
      <c r="I459" s="991"/>
      <c r="J459" s="24"/>
      <c r="K459" s="21"/>
      <c r="L459" s="24"/>
      <c r="M459" s="21"/>
      <c r="N459" s="24"/>
      <c r="O459" s="21"/>
      <c r="P459" s="24"/>
      <c r="Q459" s="21"/>
      <c r="R459" s="24"/>
      <c r="S459" s="21"/>
      <c r="U459" s="19"/>
      <c r="V459" s="19"/>
      <c r="W459" s="21"/>
    </row>
    <row r="460" spans="1:23" ht="15" customHeight="1">
      <c r="B460" s="24"/>
      <c r="C460" s="21"/>
      <c r="D460" s="24"/>
      <c r="E460" s="21"/>
      <c r="F460" s="24"/>
      <c r="G460" s="21"/>
      <c r="H460" s="24"/>
      <c r="I460" s="991"/>
      <c r="J460" s="24"/>
      <c r="K460" s="21"/>
      <c r="L460" s="24"/>
      <c r="M460" s="21"/>
      <c r="N460" s="24"/>
      <c r="O460" s="21"/>
      <c r="P460" s="24"/>
      <c r="Q460" s="21"/>
      <c r="R460" s="24"/>
      <c r="S460" s="21"/>
      <c r="U460" s="19"/>
      <c r="V460" s="19"/>
      <c r="W460" s="21"/>
    </row>
    <row r="461" spans="1:23" ht="15" customHeight="1">
      <c r="B461" s="24"/>
      <c r="C461" s="21"/>
      <c r="D461" s="24"/>
      <c r="E461" s="21"/>
      <c r="F461" s="24"/>
      <c r="G461" s="21"/>
      <c r="H461" s="24"/>
      <c r="I461" s="991"/>
      <c r="J461" s="24"/>
      <c r="K461" s="21"/>
      <c r="L461" s="24"/>
      <c r="M461" s="21"/>
      <c r="N461" s="24"/>
      <c r="O461" s="21"/>
      <c r="P461" s="24"/>
      <c r="Q461" s="21"/>
      <c r="R461" s="24"/>
      <c r="S461" s="21"/>
      <c r="U461" s="19"/>
      <c r="V461" s="19"/>
      <c r="W461" s="21"/>
    </row>
    <row r="462" spans="1:23" ht="15" customHeight="1">
      <c r="B462" s="24"/>
      <c r="C462" s="21"/>
      <c r="D462" s="24"/>
      <c r="E462" s="21"/>
      <c r="F462" s="24"/>
      <c r="G462" s="21"/>
      <c r="H462" s="24"/>
      <c r="I462" s="991"/>
      <c r="J462" s="24"/>
      <c r="K462" s="21"/>
      <c r="L462" s="24"/>
      <c r="M462" s="21"/>
      <c r="N462" s="24"/>
      <c r="O462" s="21"/>
      <c r="P462" s="24"/>
      <c r="Q462" s="21"/>
      <c r="R462" s="24"/>
      <c r="S462" s="21"/>
      <c r="U462" s="19"/>
      <c r="V462" s="19"/>
      <c r="W462" s="21"/>
    </row>
    <row r="463" spans="1:23" ht="15" customHeight="1">
      <c r="B463" s="24"/>
      <c r="C463" s="21"/>
      <c r="D463" s="24"/>
      <c r="E463" s="21"/>
      <c r="F463" s="24"/>
      <c r="G463" s="21"/>
      <c r="H463" s="24"/>
      <c r="I463" s="991"/>
      <c r="J463" s="24"/>
      <c r="K463" s="21"/>
      <c r="L463" s="24"/>
      <c r="M463" s="21"/>
      <c r="N463" s="24"/>
      <c r="O463" s="21"/>
      <c r="P463" s="24"/>
      <c r="Q463" s="21"/>
      <c r="R463" s="24"/>
      <c r="S463" s="21"/>
      <c r="U463" s="19"/>
      <c r="V463" s="19"/>
      <c r="W463" s="21"/>
    </row>
    <row r="464" spans="1:23" ht="15.75" customHeight="1">
      <c r="B464" s="24"/>
      <c r="C464" s="21"/>
      <c r="D464" s="24"/>
      <c r="E464" s="21"/>
      <c r="F464" s="24"/>
      <c r="G464" s="21"/>
      <c r="H464" s="24"/>
      <c r="I464" s="991"/>
      <c r="J464" s="24"/>
      <c r="K464" s="21"/>
      <c r="L464" s="24"/>
      <c r="M464" s="21"/>
      <c r="N464" s="24"/>
      <c r="O464" s="21"/>
      <c r="P464" s="24"/>
      <c r="Q464" s="21"/>
      <c r="R464" s="24"/>
      <c r="S464" s="21"/>
      <c r="U464" s="33"/>
      <c r="V464" s="19"/>
      <c r="W464" s="21"/>
    </row>
    <row r="465" spans="1:23" ht="14.25" customHeight="1">
      <c r="C465" s="21"/>
      <c r="E465" s="21"/>
      <c r="G465" s="21"/>
      <c r="H465" s="21"/>
      <c r="I465" s="21"/>
      <c r="K465" s="21"/>
      <c r="M465" s="21"/>
      <c r="O465" s="21"/>
      <c r="Q465" s="21"/>
      <c r="S465" s="21"/>
    </row>
    <row r="466" spans="1:23" ht="14.25" customHeight="1">
      <c r="T466" s="21"/>
      <c r="U466" s="21"/>
      <c r="V466" s="24"/>
    </row>
    <row r="467" spans="1:23" ht="14.25" customHeight="1">
      <c r="T467" s="21"/>
      <c r="U467" s="21"/>
    </row>
    <row r="468" spans="1:23" ht="15" customHeight="1">
      <c r="U468" s="21"/>
      <c r="V468" s="21"/>
    </row>
    <row r="469" spans="1:23" ht="15.75" customHeight="1">
      <c r="A469" s="989"/>
      <c r="B469" s="989"/>
      <c r="C469" s="989"/>
      <c r="D469" s="989"/>
      <c r="E469" s="989"/>
      <c r="F469" s="989"/>
      <c r="G469" s="989"/>
      <c r="H469" s="989"/>
      <c r="I469" s="989"/>
      <c r="J469" s="989"/>
      <c r="K469" s="989"/>
      <c r="L469" s="989"/>
      <c r="M469" s="989"/>
      <c r="N469" s="989"/>
      <c r="O469" s="989"/>
      <c r="P469" s="989"/>
      <c r="Q469" s="989"/>
      <c r="R469" s="989"/>
      <c r="S469" s="989"/>
      <c r="U469" s="1"/>
      <c r="V469" s="1"/>
    </row>
    <row r="470" spans="1:23" ht="15" customHeight="1">
      <c r="A470" s="987"/>
      <c r="B470" s="987"/>
      <c r="C470" s="987"/>
      <c r="D470" s="987"/>
      <c r="E470" s="987"/>
      <c r="F470" s="987"/>
      <c r="G470" s="987"/>
      <c r="H470" s="987"/>
      <c r="I470" s="987"/>
      <c r="J470" s="987"/>
      <c r="K470" s="987"/>
      <c r="L470" s="987"/>
      <c r="M470" s="987"/>
      <c r="N470" s="420"/>
      <c r="O470" s="420"/>
      <c r="P470" s="420"/>
      <c r="Q470" s="420"/>
      <c r="R470" s="987"/>
      <c r="S470" s="987"/>
      <c r="U470" s="1"/>
      <c r="V470" s="1"/>
    </row>
    <row r="471" spans="1:23" ht="36" customHeight="1">
      <c r="A471" s="987"/>
      <c r="B471" s="985"/>
      <c r="C471" s="985"/>
      <c r="D471" s="985"/>
      <c r="E471" s="985"/>
      <c r="F471" s="985"/>
      <c r="G471" s="985"/>
      <c r="H471" s="985"/>
      <c r="I471" s="985"/>
      <c r="J471" s="985"/>
      <c r="K471" s="985"/>
      <c r="L471" s="985"/>
      <c r="M471" s="985"/>
      <c r="N471" s="985"/>
      <c r="O471" s="985"/>
      <c r="P471" s="985"/>
      <c r="Q471" s="985"/>
      <c r="R471" s="985"/>
      <c r="S471" s="986"/>
      <c r="U471" s="999"/>
      <c r="V471" s="999"/>
    </row>
    <row r="472" spans="1:23" ht="15" customHeight="1">
      <c r="A472" s="990"/>
      <c r="B472" s="24"/>
      <c r="C472" s="21"/>
      <c r="D472" s="1"/>
      <c r="E472" s="21"/>
      <c r="F472" s="1"/>
      <c r="G472" s="21"/>
      <c r="H472" s="24"/>
      <c r="I472" s="991"/>
      <c r="J472" s="24"/>
      <c r="K472" s="21"/>
      <c r="L472" s="992"/>
      <c r="M472" s="21"/>
      <c r="N472" s="24"/>
      <c r="O472" s="21"/>
      <c r="P472" s="24"/>
      <c r="Q472" s="21"/>
      <c r="R472" s="24"/>
      <c r="S472" s="21"/>
      <c r="T472" s="18"/>
      <c r="U472" s="44"/>
      <c r="V472" s="19"/>
      <c r="W472" s="21"/>
    </row>
    <row r="473" spans="1:23" ht="15" customHeight="1">
      <c r="A473" s="990"/>
      <c r="B473" s="24"/>
      <c r="C473" s="21"/>
      <c r="E473" s="21"/>
      <c r="F473" s="1"/>
      <c r="G473" s="21"/>
      <c r="H473" s="24"/>
      <c r="I473" s="21"/>
      <c r="J473" s="24"/>
      <c r="K473" s="21"/>
      <c r="L473" s="992"/>
      <c r="M473" s="21"/>
      <c r="N473" s="24"/>
      <c r="O473" s="21"/>
      <c r="P473" s="24"/>
      <c r="Q473" s="21"/>
      <c r="R473" s="24"/>
      <c r="S473" s="21"/>
      <c r="T473" s="45"/>
      <c r="V473" s="19"/>
      <c r="W473" s="21"/>
    </row>
    <row r="474" spans="1:23" ht="15" customHeight="1">
      <c r="B474" s="24"/>
      <c r="C474" s="21"/>
      <c r="D474" s="24"/>
      <c r="E474" s="21"/>
      <c r="F474" s="24"/>
      <c r="G474" s="21"/>
      <c r="H474" s="24"/>
      <c r="I474" s="991"/>
      <c r="J474" s="24"/>
      <c r="K474" s="21"/>
      <c r="L474" s="24"/>
      <c r="M474" s="21"/>
      <c r="N474" s="24"/>
      <c r="O474" s="21"/>
      <c r="P474" s="24"/>
      <c r="Q474" s="21"/>
      <c r="R474" s="24"/>
      <c r="S474" s="21"/>
      <c r="U474" s="19"/>
      <c r="V474" s="19"/>
      <c r="W474" s="21"/>
    </row>
    <row r="475" spans="1:23" ht="15" customHeight="1">
      <c r="B475" s="24"/>
      <c r="C475" s="21"/>
      <c r="D475" s="24"/>
      <c r="E475" s="21"/>
      <c r="F475" s="24"/>
      <c r="G475" s="21"/>
      <c r="H475" s="24"/>
      <c r="I475" s="991"/>
      <c r="J475" s="24"/>
      <c r="K475" s="21"/>
      <c r="L475" s="24"/>
      <c r="M475" s="21"/>
      <c r="N475" s="24"/>
      <c r="O475" s="21"/>
      <c r="P475" s="24"/>
      <c r="Q475" s="21"/>
      <c r="R475" s="24"/>
      <c r="S475" s="21"/>
      <c r="U475" s="19"/>
      <c r="V475" s="19"/>
      <c r="W475" s="21"/>
    </row>
    <row r="476" spans="1:23" ht="15" customHeight="1">
      <c r="B476" s="24"/>
      <c r="C476" s="21"/>
      <c r="D476" s="24"/>
      <c r="E476" s="21"/>
      <c r="F476" s="24"/>
      <c r="G476" s="21"/>
      <c r="H476" s="24"/>
      <c r="I476" s="991"/>
      <c r="J476" s="24"/>
      <c r="K476" s="21"/>
      <c r="L476" s="24"/>
      <c r="M476" s="21"/>
      <c r="N476" s="24"/>
      <c r="O476" s="21"/>
      <c r="P476" s="24"/>
      <c r="Q476" s="21"/>
      <c r="R476" s="24"/>
      <c r="S476" s="21"/>
      <c r="U476" s="19"/>
      <c r="V476" s="19"/>
      <c r="W476" s="21"/>
    </row>
    <row r="477" spans="1:23" ht="15" customHeight="1">
      <c r="B477" s="24"/>
      <c r="C477" s="21"/>
      <c r="D477" s="24"/>
      <c r="E477" s="21"/>
      <c r="F477" s="24"/>
      <c r="G477" s="21"/>
      <c r="H477" s="24"/>
      <c r="I477" s="991"/>
      <c r="J477" s="24"/>
      <c r="K477" s="21"/>
      <c r="L477" s="24"/>
      <c r="M477" s="21"/>
      <c r="N477" s="24"/>
      <c r="O477" s="21"/>
      <c r="P477" s="24"/>
      <c r="Q477" s="21"/>
      <c r="R477" s="24"/>
      <c r="S477" s="21"/>
      <c r="U477" s="19"/>
      <c r="V477" s="19"/>
      <c r="W477" s="21"/>
    </row>
    <row r="478" spans="1:23" ht="15" customHeight="1">
      <c r="B478" s="24"/>
      <c r="C478" s="21"/>
      <c r="D478" s="24"/>
      <c r="E478" s="21"/>
      <c r="F478" s="24"/>
      <c r="G478" s="21"/>
      <c r="H478" s="24"/>
      <c r="I478" s="991"/>
      <c r="J478" s="24"/>
      <c r="K478" s="21"/>
      <c r="L478" s="24"/>
      <c r="M478" s="21"/>
      <c r="N478" s="24"/>
      <c r="O478" s="21"/>
      <c r="P478" s="24"/>
      <c r="Q478" s="21"/>
      <c r="R478" s="24"/>
      <c r="S478" s="21"/>
      <c r="U478" s="19"/>
      <c r="V478" s="19"/>
      <c r="W478" s="21"/>
    </row>
    <row r="479" spans="1:23" ht="15" customHeight="1">
      <c r="B479" s="24"/>
      <c r="C479" s="21"/>
      <c r="D479" s="24"/>
      <c r="E479" s="21"/>
      <c r="F479" s="24"/>
      <c r="G479" s="21"/>
      <c r="H479" s="24"/>
      <c r="I479" s="991"/>
      <c r="J479" s="24"/>
      <c r="K479" s="21"/>
      <c r="L479" s="24"/>
      <c r="M479" s="21"/>
      <c r="N479" s="24"/>
      <c r="O479" s="21"/>
      <c r="P479" s="24"/>
      <c r="Q479" s="21"/>
      <c r="R479" s="24"/>
      <c r="S479" s="21"/>
      <c r="U479" s="19"/>
      <c r="V479" s="19"/>
      <c r="W479" s="21"/>
    </row>
    <row r="480" spans="1:23" ht="15" customHeight="1">
      <c r="B480" s="24"/>
      <c r="C480" s="21"/>
      <c r="D480" s="24"/>
      <c r="E480" s="21"/>
      <c r="F480" s="24"/>
      <c r="G480" s="21"/>
      <c r="H480" s="24"/>
      <c r="I480" s="991"/>
      <c r="J480" s="24"/>
      <c r="K480" s="21"/>
      <c r="L480" s="24"/>
      <c r="M480" s="21"/>
      <c r="N480" s="24"/>
      <c r="O480" s="21"/>
      <c r="P480" s="24"/>
      <c r="Q480" s="21"/>
      <c r="R480" s="24"/>
      <c r="S480" s="21"/>
      <c r="U480" s="19"/>
      <c r="V480" s="19"/>
      <c r="W480" s="21"/>
    </row>
    <row r="481" spans="1:23" ht="15" customHeight="1">
      <c r="B481" s="24"/>
      <c r="C481" s="21"/>
      <c r="D481" s="24"/>
      <c r="E481" s="21"/>
      <c r="F481" s="24"/>
      <c r="G481" s="21"/>
      <c r="H481" s="24"/>
      <c r="I481" s="991"/>
      <c r="J481" s="24"/>
      <c r="K481" s="21"/>
      <c r="L481" s="24"/>
      <c r="M481" s="21"/>
      <c r="N481" s="24"/>
      <c r="O481" s="21"/>
      <c r="P481" s="24"/>
      <c r="Q481" s="21"/>
      <c r="R481" s="24"/>
      <c r="S481" s="21"/>
      <c r="U481" s="19"/>
      <c r="V481" s="19"/>
      <c r="W481" s="21"/>
    </row>
    <row r="482" spans="1:23" ht="15.75" customHeight="1">
      <c r="B482" s="24"/>
      <c r="C482" s="21"/>
      <c r="D482" s="24"/>
      <c r="E482" s="21"/>
      <c r="F482" s="24"/>
      <c r="G482" s="21"/>
      <c r="H482" s="24"/>
      <c r="I482" s="991"/>
      <c r="J482" s="24"/>
      <c r="K482" s="21"/>
      <c r="L482" s="24"/>
      <c r="M482" s="21"/>
      <c r="N482" s="24"/>
      <c r="O482" s="21"/>
      <c r="P482" s="24"/>
      <c r="Q482" s="21"/>
      <c r="R482" s="24"/>
      <c r="S482" s="21"/>
      <c r="U482" s="33"/>
      <c r="V482" s="19"/>
      <c r="W482" s="21"/>
    </row>
    <row r="483" spans="1:23" ht="14.25" customHeight="1">
      <c r="C483" s="21"/>
      <c r="E483" s="21"/>
      <c r="G483" s="21"/>
      <c r="H483" s="21"/>
      <c r="I483" s="21"/>
      <c r="K483" s="21"/>
      <c r="M483" s="21"/>
      <c r="O483" s="21"/>
      <c r="Q483" s="21"/>
      <c r="S483" s="21"/>
    </row>
    <row r="484" spans="1:23" ht="14.25" customHeight="1">
      <c r="T484" s="21"/>
      <c r="U484" s="21"/>
      <c r="V484" s="24"/>
    </row>
    <row r="485" spans="1:23" ht="14.25" customHeight="1">
      <c r="T485" s="21"/>
      <c r="U485" s="21"/>
    </row>
    <row r="486" spans="1:23" ht="15" customHeight="1">
      <c r="U486" s="21"/>
      <c r="V486" s="21"/>
    </row>
    <row r="487" spans="1:23" ht="15.75" customHeight="1">
      <c r="A487" s="989"/>
      <c r="B487" s="989"/>
      <c r="C487" s="989"/>
      <c r="D487" s="989"/>
      <c r="E487" s="989"/>
      <c r="F487" s="989"/>
      <c r="G487" s="989"/>
      <c r="H487" s="989"/>
      <c r="I487" s="989"/>
      <c r="J487" s="989"/>
      <c r="K487" s="989"/>
      <c r="L487" s="989"/>
      <c r="M487" s="989"/>
      <c r="N487" s="989"/>
      <c r="O487" s="989"/>
      <c r="P487" s="989"/>
      <c r="Q487" s="989"/>
      <c r="R487" s="989"/>
      <c r="S487" s="989"/>
      <c r="U487" s="1"/>
      <c r="V487" s="1"/>
    </row>
    <row r="488" spans="1:23" ht="15" customHeight="1">
      <c r="A488" s="987"/>
      <c r="B488" s="987"/>
      <c r="C488" s="987"/>
      <c r="D488" s="987"/>
      <c r="E488" s="987"/>
      <c r="F488" s="987"/>
      <c r="G488" s="987"/>
      <c r="H488" s="987"/>
      <c r="I488" s="987"/>
      <c r="J488" s="987"/>
      <c r="K488" s="987"/>
      <c r="L488" s="987"/>
      <c r="M488" s="987"/>
      <c r="N488" s="420"/>
      <c r="O488" s="420"/>
      <c r="P488" s="420"/>
      <c r="Q488" s="420"/>
      <c r="R488" s="987"/>
      <c r="S488" s="987"/>
      <c r="U488" s="1"/>
      <c r="V488" s="1"/>
    </row>
    <row r="489" spans="1:23" ht="36" customHeight="1">
      <c r="A489" s="987"/>
      <c r="B489" s="985"/>
      <c r="C489" s="985"/>
      <c r="D489" s="985"/>
      <c r="E489" s="985"/>
      <c r="F489" s="985"/>
      <c r="G489" s="985"/>
      <c r="H489" s="985"/>
      <c r="I489" s="985"/>
      <c r="J489" s="985"/>
      <c r="K489" s="985"/>
      <c r="L489" s="985"/>
      <c r="M489" s="985"/>
      <c r="N489" s="985"/>
      <c r="O489" s="985"/>
      <c r="P489" s="985"/>
      <c r="Q489" s="985"/>
      <c r="R489" s="985"/>
      <c r="S489" s="986"/>
      <c r="U489" s="999"/>
      <c r="V489" s="999"/>
    </row>
    <row r="490" spans="1:23" ht="15" customHeight="1">
      <c r="A490" s="990"/>
      <c r="B490" s="24"/>
      <c r="C490" s="21"/>
      <c r="D490" s="1"/>
      <c r="E490" s="21"/>
      <c r="F490" s="1"/>
      <c r="G490" s="21"/>
      <c r="H490" s="24"/>
      <c r="I490" s="991"/>
      <c r="J490" s="24"/>
      <c r="K490" s="21"/>
      <c r="L490" s="992"/>
      <c r="M490" s="21"/>
      <c r="N490" s="24"/>
      <c r="O490" s="21"/>
      <c r="P490" s="24"/>
      <c r="Q490" s="21"/>
      <c r="R490" s="24"/>
      <c r="S490" s="21"/>
      <c r="T490" s="18"/>
      <c r="U490" s="44"/>
      <c r="V490" s="19"/>
      <c r="W490" s="21"/>
    </row>
    <row r="491" spans="1:23" ht="15" customHeight="1">
      <c r="A491" s="990"/>
      <c r="B491" s="24"/>
      <c r="C491" s="21"/>
      <c r="E491" s="21"/>
      <c r="F491" s="1"/>
      <c r="G491" s="21"/>
      <c r="H491" s="24"/>
      <c r="I491" s="21"/>
      <c r="J491" s="24"/>
      <c r="K491" s="21"/>
      <c r="L491" s="992"/>
      <c r="M491" s="21"/>
      <c r="N491" s="24"/>
      <c r="O491" s="21"/>
      <c r="P491" s="24"/>
      <c r="Q491" s="21"/>
      <c r="R491" s="24"/>
      <c r="S491" s="21"/>
      <c r="T491" s="45"/>
      <c r="V491" s="19"/>
      <c r="W491" s="21"/>
    </row>
    <row r="492" spans="1:23" ht="15" customHeight="1">
      <c r="B492" s="24"/>
      <c r="C492" s="21"/>
      <c r="D492" s="24"/>
      <c r="E492" s="21"/>
      <c r="F492" s="24"/>
      <c r="G492" s="21"/>
      <c r="H492" s="24"/>
      <c r="I492" s="991"/>
      <c r="J492" s="24"/>
      <c r="K492" s="21"/>
      <c r="L492" s="24"/>
      <c r="M492" s="21"/>
      <c r="N492" s="24"/>
      <c r="O492" s="21"/>
      <c r="P492" s="24"/>
      <c r="Q492" s="21"/>
      <c r="R492" s="24"/>
      <c r="S492" s="21"/>
      <c r="U492" s="19"/>
      <c r="V492" s="19"/>
      <c r="W492" s="21"/>
    </row>
    <row r="493" spans="1:23" ht="15" customHeight="1">
      <c r="B493" s="24"/>
      <c r="C493" s="21"/>
      <c r="D493" s="24"/>
      <c r="E493" s="21"/>
      <c r="F493" s="24"/>
      <c r="G493" s="21"/>
      <c r="H493" s="24"/>
      <c r="I493" s="991"/>
      <c r="J493" s="24"/>
      <c r="K493" s="21"/>
      <c r="L493" s="24"/>
      <c r="M493" s="21"/>
      <c r="N493" s="24"/>
      <c r="O493" s="21"/>
      <c r="P493" s="24"/>
      <c r="Q493" s="21"/>
      <c r="R493" s="24"/>
      <c r="S493" s="21"/>
      <c r="U493" s="19"/>
      <c r="V493" s="19"/>
      <c r="W493" s="21"/>
    </row>
    <row r="494" spans="1:23" ht="15" customHeight="1">
      <c r="B494" s="24"/>
      <c r="C494" s="21"/>
      <c r="D494" s="24"/>
      <c r="E494" s="21"/>
      <c r="F494" s="24"/>
      <c r="G494" s="21"/>
      <c r="H494" s="24"/>
      <c r="I494" s="991"/>
      <c r="J494" s="24"/>
      <c r="K494" s="21"/>
      <c r="L494" s="24"/>
      <c r="M494" s="21"/>
      <c r="N494" s="24"/>
      <c r="O494" s="21"/>
      <c r="P494" s="24"/>
      <c r="Q494" s="21"/>
      <c r="R494" s="24"/>
      <c r="S494" s="21"/>
      <c r="U494" s="19"/>
      <c r="V494" s="19"/>
      <c r="W494" s="21"/>
    </row>
    <row r="495" spans="1:23" ht="15" customHeight="1">
      <c r="B495" s="24"/>
      <c r="C495" s="21"/>
      <c r="D495" s="24"/>
      <c r="E495" s="21"/>
      <c r="F495" s="24"/>
      <c r="G495" s="21"/>
      <c r="H495" s="24"/>
      <c r="I495" s="991"/>
      <c r="J495" s="24"/>
      <c r="K495" s="21"/>
      <c r="L495" s="24"/>
      <c r="M495" s="21"/>
      <c r="N495" s="24"/>
      <c r="O495" s="21"/>
      <c r="P495" s="24"/>
      <c r="Q495" s="21"/>
      <c r="R495" s="24"/>
      <c r="S495" s="21"/>
      <c r="U495" s="19"/>
      <c r="V495" s="19"/>
      <c r="W495" s="21"/>
    </row>
    <row r="496" spans="1:23" ht="15" customHeight="1">
      <c r="B496" s="24"/>
      <c r="C496" s="21"/>
      <c r="D496" s="24"/>
      <c r="E496" s="21"/>
      <c r="F496" s="24"/>
      <c r="G496" s="21"/>
      <c r="H496" s="24"/>
      <c r="I496" s="991"/>
      <c r="J496" s="24"/>
      <c r="K496" s="21"/>
      <c r="L496" s="24"/>
      <c r="M496" s="21"/>
      <c r="N496" s="24"/>
      <c r="O496" s="21"/>
      <c r="P496" s="24"/>
      <c r="Q496" s="21"/>
      <c r="R496" s="24"/>
      <c r="S496" s="21"/>
      <c r="U496" s="19"/>
      <c r="V496" s="19"/>
      <c r="W496" s="21"/>
    </row>
    <row r="497" spans="1:23" ht="15" customHeight="1">
      <c r="B497" s="24"/>
      <c r="C497" s="21"/>
      <c r="D497" s="24"/>
      <c r="E497" s="21"/>
      <c r="F497" s="24"/>
      <c r="G497" s="21"/>
      <c r="H497" s="24"/>
      <c r="I497" s="991"/>
      <c r="J497" s="24"/>
      <c r="K497" s="21"/>
      <c r="L497" s="24"/>
      <c r="M497" s="21"/>
      <c r="N497" s="24"/>
      <c r="O497" s="21"/>
      <c r="P497" s="24"/>
      <c r="Q497" s="21"/>
      <c r="R497" s="24"/>
      <c r="S497" s="21"/>
      <c r="U497" s="19"/>
      <c r="V497" s="19"/>
      <c r="W497" s="21"/>
    </row>
    <row r="498" spans="1:23" ht="15" customHeight="1">
      <c r="B498" s="24"/>
      <c r="C498" s="21"/>
      <c r="D498" s="24"/>
      <c r="E498" s="21"/>
      <c r="F498" s="24"/>
      <c r="G498" s="21"/>
      <c r="H498" s="24"/>
      <c r="I498" s="991"/>
      <c r="J498" s="24"/>
      <c r="K498" s="21"/>
      <c r="L498" s="24"/>
      <c r="M498" s="21"/>
      <c r="N498" s="24"/>
      <c r="O498" s="21"/>
      <c r="P498" s="24"/>
      <c r="Q498" s="21"/>
      <c r="R498" s="24"/>
      <c r="S498" s="21"/>
      <c r="U498" s="19"/>
      <c r="V498" s="19"/>
      <c r="W498" s="21"/>
    </row>
    <row r="499" spans="1:23" ht="15" customHeight="1">
      <c r="B499" s="24"/>
      <c r="C499" s="21"/>
      <c r="D499" s="24"/>
      <c r="E499" s="21"/>
      <c r="F499" s="24"/>
      <c r="G499" s="21"/>
      <c r="H499" s="24"/>
      <c r="I499" s="991"/>
      <c r="J499" s="24"/>
      <c r="K499" s="21"/>
      <c r="L499" s="24"/>
      <c r="M499" s="21"/>
      <c r="N499" s="24"/>
      <c r="O499" s="21"/>
      <c r="P499" s="24"/>
      <c r="Q499" s="21"/>
      <c r="R499" s="24"/>
      <c r="S499" s="21"/>
      <c r="U499" s="19"/>
      <c r="V499" s="19"/>
      <c r="W499" s="21"/>
    </row>
    <row r="500" spans="1:23" ht="15.75" customHeight="1">
      <c r="B500" s="24"/>
      <c r="C500" s="21"/>
      <c r="D500" s="24"/>
      <c r="E500" s="21"/>
      <c r="F500" s="24"/>
      <c r="G500" s="21"/>
      <c r="H500" s="24"/>
      <c r="I500" s="991"/>
      <c r="J500" s="24"/>
      <c r="K500" s="21"/>
      <c r="L500" s="24"/>
      <c r="M500" s="21"/>
      <c r="N500" s="24"/>
      <c r="O500" s="21"/>
      <c r="P500" s="24"/>
      <c r="Q500" s="21"/>
      <c r="R500" s="24"/>
      <c r="S500" s="21"/>
      <c r="U500" s="33"/>
      <c r="V500" s="19"/>
      <c r="W500" s="21"/>
    </row>
    <row r="501" spans="1:23" ht="14.25" customHeight="1">
      <c r="C501" s="21"/>
      <c r="E501" s="21"/>
      <c r="G501" s="21"/>
      <c r="H501" s="21"/>
      <c r="I501" s="21"/>
      <c r="K501" s="21"/>
      <c r="M501" s="21"/>
      <c r="O501" s="21"/>
      <c r="Q501" s="21"/>
      <c r="S501" s="21"/>
    </row>
    <row r="502" spans="1:23" ht="14.25" customHeight="1">
      <c r="T502" s="21"/>
      <c r="U502" s="21"/>
      <c r="V502" s="24"/>
    </row>
    <row r="503" spans="1:23" ht="14.25" customHeight="1">
      <c r="T503" s="21"/>
      <c r="U503" s="21"/>
    </row>
    <row r="504" spans="1:23" ht="15" customHeight="1">
      <c r="U504" s="21"/>
      <c r="V504" s="21"/>
    </row>
    <row r="505" spans="1:23" ht="15.75" customHeight="1">
      <c r="A505" s="989"/>
      <c r="B505" s="989"/>
      <c r="C505" s="989"/>
      <c r="D505" s="989"/>
      <c r="E505" s="989"/>
      <c r="F505" s="989"/>
      <c r="G505" s="989"/>
      <c r="H505" s="989"/>
      <c r="I505" s="989"/>
      <c r="J505" s="989"/>
      <c r="K505" s="989"/>
      <c r="L505" s="989"/>
      <c r="M505" s="989"/>
      <c r="N505" s="989"/>
      <c r="O505" s="989"/>
      <c r="P505" s="989"/>
      <c r="Q505" s="989"/>
      <c r="R505" s="989"/>
      <c r="S505" s="989"/>
      <c r="U505" s="1"/>
      <c r="V505" s="1"/>
    </row>
    <row r="506" spans="1:23" ht="15" customHeight="1">
      <c r="A506" s="987"/>
      <c r="B506" s="987"/>
      <c r="C506" s="987"/>
      <c r="D506" s="987"/>
      <c r="E506" s="987"/>
      <c r="F506" s="987"/>
      <c r="G506" s="987"/>
      <c r="H506" s="987"/>
      <c r="I506" s="987"/>
      <c r="J506" s="987"/>
      <c r="K506" s="987"/>
      <c r="L506" s="987"/>
      <c r="M506" s="987"/>
      <c r="N506" s="420"/>
      <c r="O506" s="420"/>
      <c r="P506" s="420"/>
      <c r="Q506" s="420"/>
      <c r="R506" s="987"/>
      <c r="S506" s="987"/>
      <c r="U506" s="1"/>
      <c r="V506" s="1"/>
    </row>
    <row r="507" spans="1:23" ht="36" customHeight="1">
      <c r="A507" s="987"/>
      <c r="B507" s="985"/>
      <c r="C507" s="985"/>
      <c r="D507" s="985"/>
      <c r="E507" s="985"/>
      <c r="F507" s="985"/>
      <c r="G507" s="985"/>
      <c r="H507" s="985"/>
      <c r="I507" s="985"/>
      <c r="J507" s="985"/>
      <c r="K507" s="985"/>
      <c r="L507" s="985"/>
      <c r="M507" s="985"/>
      <c r="N507" s="985"/>
      <c r="O507" s="985"/>
      <c r="P507" s="985"/>
      <c r="Q507" s="985"/>
      <c r="R507" s="985"/>
      <c r="S507" s="986"/>
      <c r="U507" s="999"/>
      <c r="V507" s="999"/>
    </row>
    <row r="508" spans="1:23" ht="15" customHeight="1">
      <c r="A508" s="990"/>
      <c r="B508" s="24"/>
      <c r="C508" s="21"/>
      <c r="D508" s="1"/>
      <c r="E508" s="21"/>
      <c r="F508" s="1"/>
      <c r="G508" s="21"/>
      <c r="H508" s="24"/>
      <c r="I508" s="991"/>
      <c r="J508" s="24"/>
      <c r="K508" s="21"/>
      <c r="L508" s="992"/>
      <c r="M508" s="21"/>
      <c r="N508" s="24"/>
      <c r="O508" s="21"/>
      <c r="P508" s="24"/>
      <c r="Q508" s="21"/>
      <c r="R508" s="24"/>
      <c r="S508" s="21"/>
      <c r="T508" s="18"/>
      <c r="U508" s="44"/>
      <c r="V508" s="19"/>
      <c r="W508" s="21"/>
    </row>
    <row r="509" spans="1:23" ht="15" customHeight="1">
      <c r="A509" s="990"/>
      <c r="B509" s="24"/>
      <c r="C509" s="21"/>
      <c r="E509" s="21"/>
      <c r="F509" s="1"/>
      <c r="G509" s="21"/>
      <c r="H509" s="24"/>
      <c r="I509" s="21"/>
      <c r="J509" s="24"/>
      <c r="K509" s="21"/>
      <c r="L509" s="992"/>
      <c r="M509" s="21"/>
      <c r="N509" s="24"/>
      <c r="O509" s="21"/>
      <c r="P509" s="24"/>
      <c r="Q509" s="21"/>
      <c r="R509" s="24"/>
      <c r="S509" s="21"/>
      <c r="T509" s="45"/>
      <c r="V509" s="19"/>
      <c r="W509" s="21"/>
    </row>
    <row r="510" spans="1:23" ht="15" customHeight="1">
      <c r="B510" s="24"/>
      <c r="C510" s="21"/>
      <c r="D510" s="24"/>
      <c r="E510" s="21"/>
      <c r="F510" s="24"/>
      <c r="G510" s="21"/>
      <c r="H510" s="24"/>
      <c r="I510" s="991"/>
      <c r="J510" s="24"/>
      <c r="K510" s="21"/>
      <c r="L510" s="24"/>
      <c r="M510" s="21"/>
      <c r="N510" s="24"/>
      <c r="O510" s="21"/>
      <c r="P510" s="24"/>
      <c r="Q510" s="21"/>
      <c r="R510" s="24"/>
      <c r="S510" s="21"/>
      <c r="U510" s="19"/>
      <c r="V510" s="19"/>
      <c r="W510" s="21"/>
    </row>
    <row r="511" spans="1:23" ht="15" customHeight="1">
      <c r="B511" s="24"/>
      <c r="C511" s="21"/>
      <c r="D511" s="24"/>
      <c r="E511" s="21"/>
      <c r="F511" s="24"/>
      <c r="G511" s="21"/>
      <c r="H511" s="24"/>
      <c r="I511" s="991"/>
      <c r="J511" s="24"/>
      <c r="K511" s="21"/>
      <c r="L511" s="24"/>
      <c r="M511" s="21"/>
      <c r="N511" s="24"/>
      <c r="O511" s="21"/>
      <c r="P511" s="24"/>
      <c r="Q511" s="21"/>
      <c r="R511" s="24"/>
      <c r="S511" s="21"/>
      <c r="U511" s="19"/>
      <c r="V511" s="19"/>
      <c r="W511" s="21"/>
    </row>
    <row r="512" spans="1:23" ht="15" customHeight="1">
      <c r="B512" s="24"/>
      <c r="C512" s="21"/>
      <c r="D512" s="24"/>
      <c r="E512" s="21"/>
      <c r="F512" s="24"/>
      <c r="G512" s="21"/>
      <c r="H512" s="24"/>
      <c r="I512" s="991"/>
      <c r="J512" s="24"/>
      <c r="K512" s="21"/>
      <c r="L512" s="24"/>
      <c r="M512" s="21"/>
      <c r="N512" s="24"/>
      <c r="O512" s="21"/>
      <c r="P512" s="24"/>
      <c r="Q512" s="21"/>
      <c r="R512" s="24"/>
      <c r="S512" s="21"/>
      <c r="U512" s="19"/>
      <c r="V512" s="19"/>
      <c r="W512" s="21"/>
    </row>
    <row r="513" spans="1:23" ht="15" customHeight="1">
      <c r="B513" s="24"/>
      <c r="C513" s="21"/>
      <c r="D513" s="24"/>
      <c r="E513" s="21"/>
      <c r="F513" s="24"/>
      <c r="G513" s="21"/>
      <c r="H513" s="24"/>
      <c r="I513" s="991"/>
      <c r="J513" s="24"/>
      <c r="K513" s="21"/>
      <c r="L513" s="24"/>
      <c r="M513" s="21"/>
      <c r="N513" s="24"/>
      <c r="O513" s="21"/>
      <c r="P513" s="24"/>
      <c r="Q513" s="21"/>
      <c r="R513" s="24"/>
      <c r="S513" s="21"/>
      <c r="U513" s="19"/>
      <c r="V513" s="19"/>
      <c r="W513" s="21"/>
    </row>
    <row r="514" spans="1:23" ht="15" customHeight="1">
      <c r="B514" s="24"/>
      <c r="C514" s="21"/>
      <c r="D514" s="24"/>
      <c r="E514" s="21"/>
      <c r="F514" s="24"/>
      <c r="G514" s="21"/>
      <c r="H514" s="24"/>
      <c r="I514" s="991"/>
      <c r="J514" s="24"/>
      <c r="K514" s="21"/>
      <c r="L514" s="24"/>
      <c r="M514" s="21"/>
      <c r="N514" s="24"/>
      <c r="O514" s="21"/>
      <c r="P514" s="24"/>
      <c r="Q514" s="21"/>
      <c r="R514" s="24"/>
      <c r="S514" s="21"/>
      <c r="U514" s="19"/>
      <c r="V514" s="19"/>
      <c r="W514" s="21"/>
    </row>
    <row r="515" spans="1:23" ht="15" customHeight="1">
      <c r="B515" s="24"/>
      <c r="C515" s="21"/>
      <c r="D515" s="24"/>
      <c r="E515" s="21"/>
      <c r="F515" s="24"/>
      <c r="G515" s="21"/>
      <c r="H515" s="24"/>
      <c r="I515" s="991"/>
      <c r="J515" s="24"/>
      <c r="K515" s="21"/>
      <c r="L515" s="24"/>
      <c r="M515" s="21"/>
      <c r="N515" s="24"/>
      <c r="O515" s="21"/>
      <c r="P515" s="24"/>
      <c r="Q515" s="21"/>
      <c r="R515" s="24"/>
      <c r="S515" s="21"/>
      <c r="U515" s="19"/>
      <c r="V515" s="19"/>
      <c r="W515" s="21"/>
    </row>
    <row r="516" spans="1:23" ht="15" customHeight="1">
      <c r="B516" s="24"/>
      <c r="C516" s="21"/>
      <c r="D516" s="24"/>
      <c r="E516" s="21"/>
      <c r="F516" s="24"/>
      <c r="G516" s="21"/>
      <c r="H516" s="24"/>
      <c r="I516" s="991"/>
      <c r="J516" s="24"/>
      <c r="K516" s="21"/>
      <c r="L516" s="24"/>
      <c r="M516" s="21"/>
      <c r="N516" s="24"/>
      <c r="O516" s="21"/>
      <c r="P516" s="24"/>
      <c r="Q516" s="21"/>
      <c r="R516" s="24"/>
      <c r="S516" s="21"/>
      <c r="U516" s="19"/>
      <c r="V516" s="19"/>
      <c r="W516" s="21"/>
    </row>
    <row r="517" spans="1:23" ht="15" customHeight="1">
      <c r="B517" s="24"/>
      <c r="C517" s="21"/>
      <c r="D517" s="24"/>
      <c r="E517" s="21"/>
      <c r="F517" s="24"/>
      <c r="G517" s="21"/>
      <c r="H517" s="24"/>
      <c r="I517" s="991"/>
      <c r="J517" s="24"/>
      <c r="K517" s="21"/>
      <c r="L517" s="24"/>
      <c r="M517" s="21"/>
      <c r="N517" s="24"/>
      <c r="O517" s="21"/>
      <c r="P517" s="24"/>
      <c r="Q517" s="21"/>
      <c r="R517" s="24"/>
      <c r="S517" s="21"/>
      <c r="U517" s="19"/>
      <c r="V517" s="19"/>
      <c r="W517" s="21"/>
    </row>
    <row r="518" spans="1:23" ht="15.75" customHeight="1">
      <c r="B518" s="24"/>
      <c r="C518" s="21"/>
      <c r="D518" s="24"/>
      <c r="E518" s="21"/>
      <c r="F518" s="24"/>
      <c r="G518" s="21"/>
      <c r="H518" s="24"/>
      <c r="I518" s="991"/>
      <c r="J518" s="24"/>
      <c r="K518" s="21"/>
      <c r="L518" s="24"/>
      <c r="M518" s="21"/>
      <c r="N518" s="24"/>
      <c r="O518" s="21"/>
      <c r="P518" s="24"/>
      <c r="Q518" s="21"/>
      <c r="R518" s="24"/>
      <c r="S518" s="21"/>
      <c r="U518" s="33"/>
      <c r="V518" s="19"/>
      <c r="W518" s="21"/>
    </row>
    <row r="519" spans="1:23" ht="14.25" customHeight="1">
      <c r="C519" s="21"/>
      <c r="E519" s="21"/>
      <c r="G519" s="21"/>
      <c r="H519" s="21"/>
      <c r="I519" s="21"/>
      <c r="K519" s="21"/>
      <c r="M519" s="21"/>
      <c r="O519" s="21"/>
      <c r="Q519" s="21"/>
      <c r="S519" s="21"/>
    </row>
    <row r="520" spans="1:23" ht="14.25" customHeight="1">
      <c r="T520" s="21"/>
      <c r="U520" s="21"/>
      <c r="V520" s="24"/>
    </row>
    <row r="521" spans="1:23" ht="14.25" customHeight="1">
      <c r="T521" s="21"/>
      <c r="U521" s="21"/>
    </row>
    <row r="522" spans="1:23" ht="15" customHeight="1">
      <c r="U522" s="21"/>
      <c r="V522" s="21"/>
    </row>
    <row r="523" spans="1:23" ht="15.75" customHeight="1">
      <c r="A523" s="989"/>
      <c r="B523" s="989"/>
      <c r="C523" s="989"/>
      <c r="D523" s="989"/>
      <c r="E523" s="989"/>
      <c r="F523" s="989"/>
      <c r="G523" s="989"/>
      <c r="H523" s="989"/>
      <c r="I523" s="989"/>
      <c r="J523" s="989"/>
      <c r="K523" s="989"/>
      <c r="L523" s="989"/>
      <c r="M523" s="989"/>
      <c r="N523" s="989"/>
      <c r="O523" s="989"/>
      <c r="P523" s="989"/>
      <c r="Q523" s="989"/>
      <c r="R523" s="989"/>
      <c r="S523" s="989"/>
      <c r="U523" s="1"/>
      <c r="V523" s="1"/>
    </row>
    <row r="524" spans="1:23" ht="15" customHeight="1">
      <c r="A524" s="987"/>
      <c r="B524" s="987"/>
      <c r="C524" s="987"/>
      <c r="D524" s="987"/>
      <c r="E524" s="987"/>
      <c r="F524" s="987"/>
      <c r="G524" s="987"/>
      <c r="H524" s="987"/>
      <c r="I524" s="987"/>
      <c r="J524" s="987"/>
      <c r="K524" s="987"/>
      <c r="L524" s="987"/>
      <c r="M524" s="987"/>
      <c r="N524" s="420"/>
      <c r="O524" s="420"/>
      <c r="P524" s="420"/>
      <c r="Q524" s="420"/>
      <c r="R524" s="987"/>
      <c r="S524" s="987"/>
      <c r="U524" s="1"/>
      <c r="V524" s="1"/>
    </row>
    <row r="525" spans="1:23" ht="36" customHeight="1">
      <c r="A525" s="987"/>
      <c r="B525" s="985"/>
      <c r="C525" s="985"/>
      <c r="D525" s="985"/>
      <c r="E525" s="985"/>
      <c r="F525" s="985"/>
      <c r="G525" s="985"/>
      <c r="H525" s="985"/>
      <c r="I525" s="985"/>
      <c r="J525" s="985"/>
      <c r="K525" s="985"/>
      <c r="L525" s="985"/>
      <c r="M525" s="985"/>
      <c r="N525" s="985"/>
      <c r="O525" s="985"/>
      <c r="P525" s="985"/>
      <c r="Q525" s="985"/>
      <c r="R525" s="985"/>
      <c r="S525" s="986"/>
      <c r="U525" s="999"/>
      <c r="V525" s="999"/>
    </row>
    <row r="526" spans="1:23" ht="15" customHeight="1">
      <c r="A526" s="990"/>
      <c r="B526" s="24"/>
      <c r="C526" s="21"/>
      <c r="D526" s="1"/>
      <c r="E526" s="21"/>
      <c r="F526" s="1"/>
      <c r="G526" s="21"/>
      <c r="H526" s="24"/>
      <c r="I526" s="991"/>
      <c r="J526" s="24"/>
      <c r="K526" s="21"/>
      <c r="L526" s="992"/>
      <c r="M526" s="21"/>
      <c r="N526" s="24"/>
      <c r="O526" s="21"/>
      <c r="P526" s="24"/>
      <c r="Q526" s="21"/>
      <c r="R526" s="24"/>
      <c r="S526" s="21"/>
      <c r="T526" s="18"/>
      <c r="U526" s="44"/>
      <c r="V526" s="19"/>
      <c r="W526" s="21"/>
    </row>
    <row r="527" spans="1:23" ht="15" customHeight="1">
      <c r="A527" s="990"/>
      <c r="B527" s="24"/>
      <c r="C527" s="21"/>
      <c r="E527" s="21"/>
      <c r="F527" s="1"/>
      <c r="G527" s="21"/>
      <c r="H527" s="24"/>
      <c r="I527" s="21"/>
      <c r="J527" s="24"/>
      <c r="K527" s="21"/>
      <c r="L527" s="992"/>
      <c r="M527" s="21"/>
      <c r="N527" s="24"/>
      <c r="O527" s="21"/>
      <c r="P527" s="24"/>
      <c r="Q527" s="21"/>
      <c r="R527" s="24"/>
      <c r="S527" s="21"/>
      <c r="T527" s="45"/>
      <c r="V527" s="19"/>
      <c r="W527" s="21"/>
    </row>
    <row r="528" spans="1:23" ht="15" customHeight="1">
      <c r="B528" s="24"/>
      <c r="C528" s="21"/>
      <c r="D528" s="24"/>
      <c r="E528" s="21"/>
      <c r="F528" s="24"/>
      <c r="G528" s="21"/>
      <c r="H528" s="24"/>
      <c r="I528" s="991"/>
      <c r="J528" s="24"/>
      <c r="K528" s="21"/>
      <c r="L528" s="24"/>
      <c r="M528" s="21"/>
      <c r="N528" s="24"/>
      <c r="O528" s="21"/>
      <c r="P528" s="24"/>
      <c r="Q528" s="21"/>
      <c r="R528" s="24"/>
      <c r="S528" s="21"/>
      <c r="U528" s="19"/>
      <c r="V528" s="19"/>
      <c r="W528" s="21"/>
    </row>
    <row r="529" spans="1:23" ht="15" customHeight="1">
      <c r="B529" s="24"/>
      <c r="C529" s="21"/>
      <c r="D529" s="24"/>
      <c r="E529" s="21"/>
      <c r="F529" s="24"/>
      <c r="G529" s="21"/>
      <c r="H529" s="24"/>
      <c r="I529" s="991"/>
      <c r="J529" s="24"/>
      <c r="K529" s="21"/>
      <c r="L529" s="24"/>
      <c r="M529" s="21"/>
      <c r="N529" s="24"/>
      <c r="O529" s="21"/>
      <c r="P529" s="24"/>
      <c r="Q529" s="21"/>
      <c r="R529" s="24"/>
      <c r="S529" s="21"/>
      <c r="U529" s="19"/>
      <c r="V529" s="19"/>
      <c r="W529" s="21"/>
    </row>
    <row r="530" spans="1:23" ht="15" customHeight="1">
      <c r="B530" s="24"/>
      <c r="C530" s="21"/>
      <c r="D530" s="24"/>
      <c r="E530" s="21"/>
      <c r="F530" s="24"/>
      <c r="G530" s="21"/>
      <c r="H530" s="24"/>
      <c r="I530" s="991"/>
      <c r="J530" s="24"/>
      <c r="K530" s="21"/>
      <c r="L530" s="24"/>
      <c r="M530" s="21"/>
      <c r="N530" s="24"/>
      <c r="O530" s="21"/>
      <c r="P530" s="24"/>
      <c r="Q530" s="21"/>
      <c r="R530" s="24"/>
      <c r="S530" s="21"/>
      <c r="U530" s="19"/>
      <c r="V530" s="19"/>
      <c r="W530" s="21"/>
    </row>
    <row r="531" spans="1:23" ht="15" customHeight="1">
      <c r="B531" s="24"/>
      <c r="C531" s="21"/>
      <c r="D531" s="24"/>
      <c r="E531" s="21"/>
      <c r="F531" s="24"/>
      <c r="G531" s="21"/>
      <c r="H531" s="24"/>
      <c r="I531" s="991"/>
      <c r="J531" s="24"/>
      <c r="K531" s="21"/>
      <c r="L531" s="24"/>
      <c r="M531" s="21"/>
      <c r="N531" s="24"/>
      <c r="O531" s="21"/>
      <c r="P531" s="24"/>
      <c r="Q531" s="21"/>
      <c r="R531" s="24"/>
      <c r="S531" s="21"/>
      <c r="U531" s="19"/>
      <c r="V531" s="19"/>
      <c r="W531" s="21"/>
    </row>
    <row r="532" spans="1:23" ht="15" customHeight="1">
      <c r="B532" s="24"/>
      <c r="C532" s="21"/>
      <c r="D532" s="24"/>
      <c r="E532" s="21"/>
      <c r="F532" s="24"/>
      <c r="G532" s="21"/>
      <c r="H532" s="24"/>
      <c r="I532" s="991"/>
      <c r="J532" s="24"/>
      <c r="K532" s="21"/>
      <c r="L532" s="24"/>
      <c r="M532" s="21"/>
      <c r="N532" s="24"/>
      <c r="O532" s="21"/>
      <c r="P532" s="24"/>
      <c r="Q532" s="21"/>
      <c r="R532" s="24"/>
      <c r="S532" s="21"/>
      <c r="U532" s="19"/>
      <c r="V532" s="19"/>
      <c r="W532" s="21"/>
    </row>
    <row r="533" spans="1:23" ht="15" customHeight="1">
      <c r="B533" s="24"/>
      <c r="C533" s="21"/>
      <c r="D533" s="24"/>
      <c r="E533" s="21"/>
      <c r="F533" s="24"/>
      <c r="G533" s="21"/>
      <c r="H533" s="24"/>
      <c r="I533" s="991"/>
      <c r="J533" s="24"/>
      <c r="K533" s="21"/>
      <c r="L533" s="24"/>
      <c r="M533" s="21"/>
      <c r="N533" s="24"/>
      <c r="O533" s="21"/>
      <c r="P533" s="24"/>
      <c r="Q533" s="21"/>
      <c r="R533" s="24"/>
      <c r="S533" s="21"/>
      <c r="U533" s="19"/>
      <c r="V533" s="19"/>
      <c r="W533" s="21"/>
    </row>
    <row r="534" spans="1:23" ht="15" customHeight="1">
      <c r="B534" s="24"/>
      <c r="C534" s="21"/>
      <c r="D534" s="24"/>
      <c r="E534" s="21"/>
      <c r="F534" s="24"/>
      <c r="G534" s="21"/>
      <c r="H534" s="24"/>
      <c r="I534" s="991"/>
      <c r="J534" s="24"/>
      <c r="K534" s="21"/>
      <c r="L534" s="24"/>
      <c r="M534" s="21"/>
      <c r="N534" s="24"/>
      <c r="O534" s="21"/>
      <c r="P534" s="24"/>
      <c r="Q534" s="21"/>
      <c r="R534" s="24"/>
      <c r="S534" s="21"/>
      <c r="U534" s="19"/>
      <c r="V534" s="19"/>
      <c r="W534" s="21"/>
    </row>
    <row r="535" spans="1:23" ht="15" customHeight="1">
      <c r="B535" s="24"/>
      <c r="C535" s="21"/>
      <c r="D535" s="24"/>
      <c r="E535" s="21"/>
      <c r="F535" s="24"/>
      <c r="G535" s="21"/>
      <c r="H535" s="24"/>
      <c r="I535" s="991"/>
      <c r="J535" s="24"/>
      <c r="K535" s="21"/>
      <c r="L535" s="24"/>
      <c r="M535" s="21"/>
      <c r="N535" s="24"/>
      <c r="O535" s="21"/>
      <c r="P535" s="24"/>
      <c r="Q535" s="21"/>
      <c r="R535" s="24"/>
      <c r="S535" s="21"/>
      <c r="U535" s="19"/>
      <c r="V535" s="19"/>
      <c r="W535" s="21"/>
    </row>
    <row r="536" spans="1:23" ht="15.75" customHeight="1">
      <c r="B536" s="24"/>
      <c r="C536" s="21"/>
      <c r="D536" s="24"/>
      <c r="E536" s="21"/>
      <c r="F536" s="24"/>
      <c r="G536" s="21"/>
      <c r="H536" s="24"/>
      <c r="I536" s="991"/>
      <c r="J536" s="24"/>
      <c r="K536" s="21"/>
      <c r="L536" s="24"/>
      <c r="M536" s="21"/>
      <c r="N536" s="24"/>
      <c r="O536" s="21"/>
      <c r="P536" s="24"/>
      <c r="Q536" s="21"/>
      <c r="R536" s="24"/>
      <c r="S536" s="21"/>
      <c r="U536" s="33"/>
      <c r="V536" s="19"/>
      <c r="W536" s="21"/>
    </row>
    <row r="537" spans="1:23" ht="14.25" customHeight="1">
      <c r="C537" s="21"/>
      <c r="E537" s="21"/>
      <c r="G537" s="21"/>
      <c r="H537" s="21"/>
      <c r="I537" s="21"/>
      <c r="K537" s="21"/>
      <c r="M537" s="21"/>
      <c r="O537" s="21"/>
      <c r="Q537" s="21"/>
      <c r="S537" s="21"/>
    </row>
    <row r="538" spans="1:23" ht="14.25" customHeight="1">
      <c r="T538" s="21"/>
      <c r="U538" s="21"/>
      <c r="V538" s="24"/>
    </row>
    <row r="539" spans="1:23" ht="14.25" customHeight="1">
      <c r="T539" s="21"/>
      <c r="U539" s="21"/>
    </row>
    <row r="540" spans="1:23" ht="15" customHeight="1">
      <c r="U540" s="21"/>
      <c r="V540" s="21"/>
    </row>
    <row r="541" spans="1:23" ht="15.75" customHeight="1">
      <c r="A541" s="989"/>
      <c r="B541" s="989"/>
      <c r="C541" s="989"/>
      <c r="D541" s="989"/>
      <c r="E541" s="989"/>
      <c r="F541" s="989"/>
      <c r="G541" s="989"/>
      <c r="H541" s="989"/>
      <c r="I541" s="989"/>
      <c r="J541" s="989"/>
      <c r="K541" s="989"/>
      <c r="L541" s="989"/>
      <c r="M541" s="989"/>
      <c r="N541" s="989"/>
      <c r="O541" s="989"/>
      <c r="P541" s="989"/>
      <c r="Q541" s="989"/>
      <c r="R541" s="989"/>
      <c r="S541" s="989"/>
      <c r="U541" s="1"/>
      <c r="V541" s="1"/>
    </row>
    <row r="542" spans="1:23" ht="15" customHeight="1">
      <c r="A542" s="987"/>
      <c r="B542" s="987"/>
      <c r="C542" s="987"/>
      <c r="D542" s="987"/>
      <c r="E542" s="987"/>
      <c r="F542" s="987"/>
      <c r="G542" s="987"/>
      <c r="H542" s="987"/>
      <c r="I542" s="987"/>
      <c r="J542" s="987"/>
      <c r="K542" s="987"/>
      <c r="L542" s="987"/>
      <c r="M542" s="987"/>
      <c r="N542" s="420"/>
      <c r="O542" s="420"/>
      <c r="P542" s="420"/>
      <c r="Q542" s="420"/>
      <c r="R542" s="987"/>
      <c r="S542" s="987"/>
      <c r="U542" s="1"/>
      <c r="V542" s="1"/>
    </row>
    <row r="543" spans="1:23" ht="36" customHeight="1">
      <c r="A543" s="987"/>
      <c r="B543" s="985"/>
      <c r="C543" s="985"/>
      <c r="D543" s="985"/>
      <c r="E543" s="985"/>
      <c r="F543" s="985"/>
      <c r="G543" s="985"/>
      <c r="H543" s="985"/>
      <c r="I543" s="985"/>
      <c r="J543" s="985"/>
      <c r="K543" s="985"/>
      <c r="L543" s="985"/>
      <c r="M543" s="985"/>
      <c r="N543" s="985"/>
      <c r="O543" s="985"/>
      <c r="P543" s="985"/>
      <c r="Q543" s="985"/>
      <c r="R543" s="985"/>
      <c r="S543" s="986"/>
      <c r="U543" s="999"/>
      <c r="V543" s="999"/>
    </row>
    <row r="544" spans="1:23" ht="15" customHeight="1">
      <c r="A544" s="990"/>
      <c r="B544" s="24"/>
      <c r="C544" s="21"/>
      <c r="D544" s="1"/>
      <c r="E544" s="21"/>
      <c r="F544" s="1"/>
      <c r="G544" s="21"/>
      <c r="H544" s="24"/>
      <c r="I544" s="991"/>
      <c r="J544" s="24"/>
      <c r="K544" s="21"/>
      <c r="L544" s="992"/>
      <c r="M544" s="21"/>
      <c r="N544" s="24"/>
      <c r="O544" s="21"/>
      <c r="P544" s="24"/>
      <c r="Q544" s="21"/>
      <c r="R544" s="24"/>
      <c r="S544" s="21"/>
      <c r="T544" s="18"/>
      <c r="U544" s="44"/>
      <c r="V544" s="19"/>
      <c r="W544" s="21"/>
    </row>
    <row r="545" spans="1:23" ht="15" customHeight="1">
      <c r="A545" s="990"/>
      <c r="B545" s="24"/>
      <c r="C545" s="21"/>
      <c r="E545" s="21"/>
      <c r="F545" s="1"/>
      <c r="G545" s="21"/>
      <c r="H545" s="24"/>
      <c r="I545" s="21"/>
      <c r="J545" s="24"/>
      <c r="K545" s="21"/>
      <c r="L545" s="992"/>
      <c r="M545" s="21"/>
      <c r="N545" s="24"/>
      <c r="O545" s="21"/>
      <c r="P545" s="24"/>
      <c r="Q545" s="21"/>
      <c r="R545" s="24"/>
      <c r="S545" s="21"/>
      <c r="T545" s="45"/>
      <c r="V545" s="19"/>
      <c r="W545" s="21"/>
    </row>
    <row r="546" spans="1:23" ht="15" customHeight="1">
      <c r="B546" s="24"/>
      <c r="C546" s="21"/>
      <c r="D546" s="24"/>
      <c r="E546" s="21"/>
      <c r="F546" s="24"/>
      <c r="G546" s="21"/>
      <c r="H546" s="24"/>
      <c r="I546" s="991"/>
      <c r="J546" s="24"/>
      <c r="K546" s="21"/>
      <c r="L546" s="24"/>
      <c r="M546" s="21"/>
      <c r="N546" s="24"/>
      <c r="O546" s="21"/>
      <c r="P546" s="24"/>
      <c r="Q546" s="21"/>
      <c r="R546" s="24"/>
      <c r="S546" s="21"/>
      <c r="U546" s="19"/>
      <c r="V546" s="19"/>
      <c r="W546" s="21"/>
    </row>
    <row r="547" spans="1:23" ht="15" customHeight="1">
      <c r="B547" s="24"/>
      <c r="C547" s="21"/>
      <c r="D547" s="24"/>
      <c r="E547" s="21"/>
      <c r="F547" s="24"/>
      <c r="G547" s="21"/>
      <c r="H547" s="24"/>
      <c r="I547" s="991"/>
      <c r="J547" s="24"/>
      <c r="K547" s="21"/>
      <c r="L547" s="24"/>
      <c r="M547" s="21"/>
      <c r="N547" s="24"/>
      <c r="O547" s="21"/>
      <c r="P547" s="24"/>
      <c r="Q547" s="21"/>
      <c r="R547" s="24"/>
      <c r="S547" s="21"/>
      <c r="U547" s="19"/>
      <c r="V547" s="19"/>
      <c r="W547" s="21"/>
    </row>
    <row r="548" spans="1:23" ht="15" customHeight="1">
      <c r="B548" s="24"/>
      <c r="C548" s="21"/>
      <c r="D548" s="24"/>
      <c r="E548" s="21"/>
      <c r="F548" s="24"/>
      <c r="G548" s="21"/>
      <c r="H548" s="24"/>
      <c r="I548" s="991"/>
      <c r="J548" s="24"/>
      <c r="K548" s="21"/>
      <c r="L548" s="24"/>
      <c r="M548" s="21"/>
      <c r="N548" s="24"/>
      <c r="O548" s="21"/>
      <c r="P548" s="24"/>
      <c r="Q548" s="21"/>
      <c r="R548" s="24"/>
      <c r="S548" s="21"/>
      <c r="U548" s="19"/>
      <c r="V548" s="19"/>
      <c r="W548" s="21"/>
    </row>
    <row r="549" spans="1:23" ht="15" customHeight="1">
      <c r="B549" s="24"/>
      <c r="C549" s="21"/>
      <c r="D549" s="24"/>
      <c r="E549" s="21"/>
      <c r="F549" s="24"/>
      <c r="G549" s="21"/>
      <c r="H549" s="24"/>
      <c r="I549" s="991"/>
      <c r="J549" s="24"/>
      <c r="K549" s="21"/>
      <c r="L549" s="24"/>
      <c r="M549" s="21"/>
      <c r="N549" s="24"/>
      <c r="O549" s="21"/>
      <c r="P549" s="24"/>
      <c r="Q549" s="21"/>
      <c r="R549" s="24"/>
      <c r="S549" s="21"/>
      <c r="U549" s="19"/>
      <c r="V549" s="19"/>
      <c r="W549" s="21"/>
    </row>
    <row r="550" spans="1:23" ht="15" customHeight="1">
      <c r="B550" s="24"/>
      <c r="C550" s="21"/>
      <c r="D550" s="24"/>
      <c r="E550" s="21"/>
      <c r="F550" s="24"/>
      <c r="G550" s="21"/>
      <c r="H550" s="24"/>
      <c r="I550" s="991"/>
      <c r="J550" s="24"/>
      <c r="K550" s="21"/>
      <c r="L550" s="24"/>
      <c r="M550" s="21"/>
      <c r="N550" s="24"/>
      <c r="O550" s="21"/>
      <c r="P550" s="24"/>
      <c r="Q550" s="21"/>
      <c r="R550" s="24"/>
      <c r="S550" s="21"/>
      <c r="U550" s="19"/>
      <c r="V550" s="19"/>
      <c r="W550" s="21"/>
    </row>
    <row r="551" spans="1:23" ht="15" customHeight="1">
      <c r="B551" s="24"/>
      <c r="C551" s="21"/>
      <c r="D551" s="24"/>
      <c r="E551" s="21"/>
      <c r="F551" s="24"/>
      <c r="G551" s="21"/>
      <c r="H551" s="24"/>
      <c r="I551" s="991"/>
      <c r="J551" s="24"/>
      <c r="K551" s="21"/>
      <c r="L551" s="24"/>
      <c r="M551" s="21"/>
      <c r="N551" s="24"/>
      <c r="O551" s="21"/>
      <c r="P551" s="24"/>
      <c r="Q551" s="21"/>
      <c r="R551" s="24"/>
      <c r="S551" s="21"/>
      <c r="U551" s="19"/>
      <c r="V551" s="19"/>
      <c r="W551" s="21"/>
    </row>
    <row r="552" spans="1:23" ht="15" customHeight="1">
      <c r="B552" s="24"/>
      <c r="C552" s="21"/>
      <c r="D552" s="24"/>
      <c r="E552" s="21"/>
      <c r="F552" s="24"/>
      <c r="G552" s="21"/>
      <c r="H552" s="24"/>
      <c r="I552" s="991"/>
      <c r="J552" s="24"/>
      <c r="K552" s="21"/>
      <c r="L552" s="24"/>
      <c r="M552" s="21"/>
      <c r="N552" s="24"/>
      <c r="O552" s="21"/>
      <c r="P552" s="24"/>
      <c r="Q552" s="21"/>
      <c r="R552" s="24"/>
      <c r="S552" s="21"/>
      <c r="U552" s="19"/>
      <c r="V552" s="19"/>
      <c r="W552" s="21"/>
    </row>
    <row r="553" spans="1:23" ht="15" customHeight="1">
      <c r="B553" s="24"/>
      <c r="C553" s="21"/>
      <c r="D553" s="24"/>
      <c r="E553" s="21"/>
      <c r="F553" s="24"/>
      <c r="G553" s="21"/>
      <c r="H553" s="24"/>
      <c r="I553" s="991"/>
      <c r="J553" s="24"/>
      <c r="K553" s="21"/>
      <c r="L553" s="24"/>
      <c r="M553" s="21"/>
      <c r="N553" s="24"/>
      <c r="O553" s="21"/>
      <c r="P553" s="24"/>
      <c r="Q553" s="21"/>
      <c r="R553" s="24"/>
      <c r="S553" s="21"/>
      <c r="U553" s="19"/>
      <c r="V553" s="19"/>
      <c r="W553" s="21"/>
    </row>
    <row r="554" spans="1:23" ht="15.75" customHeight="1">
      <c r="B554" s="24"/>
      <c r="C554" s="21"/>
      <c r="D554" s="24"/>
      <c r="E554" s="21"/>
      <c r="F554" s="24"/>
      <c r="G554" s="21"/>
      <c r="H554" s="24"/>
      <c r="I554" s="991"/>
      <c r="J554" s="24"/>
      <c r="K554" s="21"/>
      <c r="L554" s="24"/>
      <c r="M554" s="21"/>
      <c r="N554" s="24"/>
      <c r="O554" s="21"/>
      <c r="P554" s="24"/>
      <c r="Q554" s="21"/>
      <c r="R554" s="24"/>
      <c r="S554" s="21"/>
      <c r="U554" s="33"/>
      <c r="V554" s="19"/>
      <c r="W554" s="21"/>
    </row>
    <row r="555" spans="1:23" ht="14.25" customHeight="1">
      <c r="C555" s="21"/>
      <c r="E555" s="21"/>
      <c r="G555" s="21"/>
      <c r="H555" s="21"/>
      <c r="I555" s="21"/>
      <c r="K555" s="21"/>
      <c r="M555" s="21"/>
      <c r="O555" s="21"/>
      <c r="Q555" s="21"/>
      <c r="S555" s="21"/>
    </row>
    <row r="556" spans="1:23" ht="14.25" customHeight="1">
      <c r="T556" s="21"/>
      <c r="U556" s="21"/>
      <c r="V556" s="24"/>
    </row>
    <row r="557" spans="1:23" ht="14.25" customHeight="1">
      <c r="T557" s="21"/>
      <c r="U557" s="21"/>
    </row>
    <row r="558" spans="1:23" ht="15" customHeight="1">
      <c r="U558" s="21"/>
      <c r="V558" s="21"/>
    </row>
    <row r="559" spans="1:23" ht="15" customHeight="1">
      <c r="A559" s="993"/>
      <c r="B559" s="993"/>
      <c r="C559" s="993"/>
      <c r="D559" s="993"/>
      <c r="E559" s="993"/>
      <c r="F559" s="993"/>
      <c r="G559" s="993"/>
      <c r="H559" s="993"/>
      <c r="I559" s="993"/>
      <c r="J559" s="993"/>
      <c r="K559" s="993"/>
      <c r="L559" s="993"/>
      <c r="M559" s="993"/>
      <c r="N559" s="993"/>
      <c r="O559" s="993"/>
      <c r="P559" s="993"/>
      <c r="Q559" s="993"/>
      <c r="R559" s="993"/>
      <c r="S559" s="993"/>
      <c r="T559" s="46"/>
      <c r="U559" s="988"/>
      <c r="V559" s="988"/>
      <c r="W559" s="46"/>
    </row>
    <row r="560" spans="1:23" ht="15" customHeight="1">
      <c r="A560" s="994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87"/>
      <c r="M560" s="987"/>
      <c r="N560" s="420"/>
      <c r="O560" s="420"/>
      <c r="P560" s="420"/>
      <c r="Q560" s="420"/>
      <c r="R560" s="987"/>
      <c r="S560" s="987"/>
      <c r="T560" s="46"/>
      <c r="U560" s="988"/>
      <c r="V560" s="988"/>
      <c r="W560" s="46"/>
    </row>
    <row r="561" spans="1:23" ht="36" customHeight="1">
      <c r="A561" s="994"/>
      <c r="B561" s="986"/>
      <c r="C561" s="986"/>
      <c r="D561" s="986"/>
      <c r="E561" s="986"/>
      <c r="F561" s="986"/>
      <c r="G561" s="986"/>
      <c r="H561" s="986"/>
      <c r="I561" s="986"/>
      <c r="J561" s="986"/>
      <c r="K561" s="986"/>
      <c r="L561" s="987"/>
      <c r="M561" s="987"/>
      <c r="N561" s="985"/>
      <c r="O561" s="985"/>
      <c r="P561" s="985"/>
      <c r="Q561" s="985"/>
      <c r="R561" s="985"/>
      <c r="S561" s="986"/>
      <c r="T561" s="46"/>
      <c r="U561" s="1000"/>
      <c r="V561" s="1000"/>
      <c r="W561" s="46"/>
    </row>
    <row r="562" spans="1:23" ht="15" customHeight="1">
      <c r="A562" s="995"/>
      <c r="B562" s="45"/>
      <c r="C562" s="18"/>
      <c r="D562" s="988"/>
      <c r="E562" s="18"/>
      <c r="F562" s="988"/>
      <c r="G562" s="18"/>
      <c r="H562" s="45"/>
      <c r="I562" s="47"/>
      <c r="J562" s="45"/>
      <c r="K562" s="18"/>
      <c r="N562" s="24"/>
      <c r="O562" s="21"/>
      <c r="P562" s="24"/>
      <c r="Q562" s="21"/>
      <c r="R562" s="24"/>
      <c r="S562" s="21"/>
      <c r="T562" s="18"/>
      <c r="U562" s="996"/>
      <c r="V562" s="997"/>
      <c r="W562" s="18"/>
    </row>
    <row r="563" spans="1:23" ht="15" customHeight="1">
      <c r="A563" s="995"/>
      <c r="B563" s="45"/>
      <c r="C563" s="18"/>
      <c r="D563" s="46"/>
      <c r="E563" s="18"/>
      <c r="F563" s="988"/>
      <c r="G563" s="18"/>
      <c r="H563" s="45"/>
      <c r="I563" s="18"/>
      <c r="J563" s="45"/>
      <c r="K563" s="18"/>
      <c r="N563" s="24"/>
      <c r="O563" s="21"/>
      <c r="P563" s="24"/>
      <c r="Q563" s="21"/>
      <c r="R563" s="24"/>
      <c r="S563" s="21"/>
      <c r="T563" s="45"/>
      <c r="U563" s="46"/>
      <c r="V563" s="997"/>
      <c r="W563" s="18"/>
    </row>
    <row r="564" spans="1:23" ht="15" customHeight="1">
      <c r="A564" s="46"/>
      <c r="B564" s="45"/>
      <c r="C564" s="18"/>
      <c r="D564" s="45"/>
      <c r="E564" s="18"/>
      <c r="F564" s="45"/>
      <c r="G564" s="18"/>
      <c r="H564" s="45"/>
      <c r="I564" s="47"/>
      <c r="J564" s="45"/>
      <c r="K564" s="18"/>
      <c r="N564" s="24"/>
      <c r="O564" s="21"/>
      <c r="P564" s="24"/>
      <c r="Q564" s="21"/>
      <c r="R564" s="24"/>
      <c r="S564" s="21"/>
      <c r="T564" s="46"/>
      <c r="U564" s="997"/>
      <c r="V564" s="997"/>
      <c r="W564" s="18"/>
    </row>
    <row r="565" spans="1:23" ht="15" customHeight="1">
      <c r="A565" s="46"/>
      <c r="B565" s="45"/>
      <c r="C565" s="18"/>
      <c r="D565" s="45"/>
      <c r="E565" s="18"/>
      <c r="F565" s="45"/>
      <c r="G565" s="18"/>
      <c r="H565" s="45"/>
      <c r="I565" s="47"/>
      <c r="J565" s="45"/>
      <c r="K565" s="18"/>
      <c r="N565" s="24"/>
      <c r="O565" s="21"/>
      <c r="P565" s="24"/>
      <c r="Q565" s="21"/>
      <c r="R565" s="24"/>
      <c r="S565" s="21"/>
      <c r="T565" s="46"/>
      <c r="U565" s="997"/>
      <c r="V565" s="997"/>
      <c r="W565" s="18"/>
    </row>
    <row r="566" spans="1:23" ht="15" customHeight="1">
      <c r="A566" s="46"/>
      <c r="B566" s="45"/>
      <c r="C566" s="18"/>
      <c r="D566" s="45"/>
      <c r="E566" s="18"/>
      <c r="F566" s="45"/>
      <c r="G566" s="18"/>
      <c r="H566" s="45"/>
      <c r="I566" s="47"/>
      <c r="J566" s="45"/>
      <c r="K566" s="18"/>
      <c r="N566" s="24"/>
      <c r="O566" s="21"/>
      <c r="P566" s="24"/>
      <c r="Q566" s="21"/>
      <c r="R566" s="24"/>
      <c r="S566" s="21"/>
      <c r="T566" s="46"/>
      <c r="U566" s="997"/>
      <c r="V566" s="997"/>
      <c r="W566" s="18"/>
    </row>
    <row r="567" spans="1:23" ht="15" customHeight="1">
      <c r="A567" s="46"/>
      <c r="B567" s="45"/>
      <c r="C567" s="18"/>
      <c r="D567" s="45"/>
      <c r="E567" s="18"/>
      <c r="F567" s="45"/>
      <c r="G567" s="18"/>
      <c r="H567" s="45"/>
      <c r="I567" s="47"/>
      <c r="J567" s="45"/>
      <c r="K567" s="18"/>
      <c r="N567" s="24"/>
      <c r="O567" s="21"/>
      <c r="P567" s="24"/>
      <c r="Q567" s="21"/>
      <c r="R567" s="24"/>
      <c r="S567" s="21"/>
      <c r="T567" s="46"/>
      <c r="U567" s="997"/>
      <c r="V567" s="997"/>
      <c r="W567" s="18"/>
    </row>
    <row r="568" spans="1:23" ht="15" customHeight="1">
      <c r="A568" s="46"/>
      <c r="B568" s="45"/>
      <c r="C568" s="18"/>
      <c r="D568" s="45"/>
      <c r="E568" s="18"/>
      <c r="F568" s="45"/>
      <c r="G568" s="18"/>
      <c r="H568" s="45"/>
      <c r="I568" s="47"/>
      <c r="J568" s="45"/>
      <c r="K568" s="18"/>
      <c r="N568" s="24"/>
      <c r="O568" s="21"/>
      <c r="P568" s="24"/>
      <c r="Q568" s="21"/>
      <c r="R568" s="24"/>
      <c r="S568" s="21"/>
      <c r="T568" s="46"/>
      <c r="U568" s="997"/>
      <c r="V568" s="997"/>
      <c r="W568" s="18"/>
    </row>
    <row r="569" spans="1:23" ht="15" customHeight="1">
      <c r="A569" s="46"/>
      <c r="B569" s="45"/>
      <c r="C569" s="18"/>
      <c r="D569" s="45"/>
      <c r="E569" s="18"/>
      <c r="F569" s="45"/>
      <c r="G569" s="18"/>
      <c r="H569" s="45"/>
      <c r="I569" s="47"/>
      <c r="J569" s="45"/>
      <c r="K569" s="18"/>
      <c r="N569" s="24"/>
      <c r="O569" s="21"/>
      <c r="P569" s="24"/>
      <c r="Q569" s="21"/>
      <c r="R569" s="24"/>
      <c r="S569" s="21"/>
      <c r="T569" s="46"/>
      <c r="U569" s="997"/>
      <c r="V569" s="997"/>
      <c r="W569" s="18"/>
    </row>
    <row r="570" spans="1:23" ht="15" customHeight="1">
      <c r="A570" s="46"/>
      <c r="B570" s="45"/>
      <c r="C570" s="18"/>
      <c r="D570" s="45"/>
      <c r="E570" s="18"/>
      <c r="F570" s="45"/>
      <c r="G570" s="18"/>
      <c r="H570" s="45"/>
      <c r="I570" s="47"/>
      <c r="J570" s="45"/>
      <c r="K570" s="18"/>
      <c r="N570" s="24"/>
      <c r="O570" s="21"/>
      <c r="P570" s="24"/>
      <c r="Q570" s="21"/>
      <c r="R570" s="24"/>
      <c r="S570" s="21"/>
      <c r="T570" s="46"/>
      <c r="U570" s="997"/>
      <c r="V570" s="997"/>
      <c r="W570" s="18"/>
    </row>
    <row r="571" spans="1:23" ht="15" customHeight="1">
      <c r="A571" s="46"/>
      <c r="B571" s="45"/>
      <c r="C571" s="18"/>
      <c r="D571" s="45"/>
      <c r="E571" s="18"/>
      <c r="F571" s="45"/>
      <c r="G571" s="18"/>
      <c r="H571" s="45"/>
      <c r="I571" s="47"/>
      <c r="J571" s="45"/>
      <c r="K571" s="18"/>
      <c r="L571" s="46"/>
      <c r="M571" s="18"/>
      <c r="O571" s="21"/>
      <c r="Q571" s="21"/>
      <c r="S571" s="21"/>
      <c r="T571" s="46"/>
      <c r="U571" s="997"/>
      <c r="V571" s="997"/>
      <c r="W571" s="18"/>
    </row>
    <row r="572" spans="1:23" ht="15" customHeight="1">
      <c r="A572" s="46"/>
      <c r="B572" s="45"/>
      <c r="C572" s="18"/>
      <c r="D572" s="45"/>
      <c r="E572" s="18"/>
      <c r="F572" s="45"/>
      <c r="G572" s="18"/>
      <c r="H572" s="45"/>
      <c r="I572" s="47"/>
      <c r="J572" s="45"/>
      <c r="K572" s="18"/>
      <c r="N572" s="24"/>
      <c r="O572" s="21"/>
      <c r="P572" s="24"/>
      <c r="Q572" s="21"/>
      <c r="R572" s="24"/>
      <c r="S572" s="21"/>
      <c r="T572" s="46"/>
      <c r="U572" s="998"/>
      <c r="V572" s="997"/>
      <c r="W572" s="18"/>
    </row>
    <row r="573" spans="1:23">
      <c r="A573" s="46"/>
      <c r="B573" s="46"/>
      <c r="C573" s="18"/>
      <c r="D573" s="46"/>
      <c r="E573" s="18"/>
      <c r="F573" s="46"/>
      <c r="G573" s="18"/>
      <c r="H573" s="18"/>
      <c r="I573" s="18"/>
      <c r="J573" s="46"/>
      <c r="K573" s="18"/>
      <c r="L573" s="46"/>
      <c r="M573" s="987"/>
      <c r="N573" s="420"/>
      <c r="O573" s="420"/>
      <c r="P573" s="420"/>
      <c r="Q573" s="420"/>
      <c r="R573" s="987"/>
      <c r="S573" s="987"/>
      <c r="T573" s="46"/>
      <c r="U573" s="46"/>
      <c r="V573" s="46"/>
      <c r="W573" s="46"/>
    </row>
    <row r="574" spans="1:23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987"/>
      <c r="N574" s="985"/>
      <c r="O574" s="985"/>
      <c r="P574" s="985"/>
      <c r="Q574" s="985"/>
      <c r="R574" s="985"/>
      <c r="S574" s="986"/>
      <c r="T574" s="18"/>
      <c r="U574" s="18"/>
      <c r="V574" s="45"/>
      <c r="W574" s="46"/>
    </row>
    <row r="575" spans="1:23" ht="14.2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N575" s="24"/>
      <c r="O575" s="21"/>
      <c r="P575" s="24"/>
      <c r="Q575" s="21"/>
      <c r="R575" s="24"/>
      <c r="S575" s="21"/>
      <c r="T575" s="18"/>
      <c r="U575" s="18"/>
      <c r="V575" s="46"/>
      <c r="W575" s="46"/>
    </row>
    <row r="576" spans="1:23" ht="1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N576" s="24"/>
      <c r="O576" s="21"/>
      <c r="P576" s="24"/>
      <c r="Q576" s="21"/>
      <c r="R576" s="24"/>
      <c r="S576" s="21"/>
      <c r="T576" s="46"/>
      <c r="U576" s="18"/>
      <c r="V576" s="18"/>
      <c r="W576" s="46"/>
    </row>
    <row r="577" spans="1:23" ht="1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N577" s="24"/>
      <c r="O577" s="21"/>
      <c r="P577" s="24"/>
      <c r="Q577" s="21"/>
      <c r="R577" s="24"/>
      <c r="S577" s="21"/>
      <c r="T577" s="46"/>
      <c r="U577" s="46"/>
      <c r="V577" s="46"/>
      <c r="W577" s="46"/>
    </row>
    <row r="578" spans="1:23" ht="1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N578" s="24"/>
      <c r="O578" s="21"/>
      <c r="P578" s="24"/>
      <c r="Q578" s="21"/>
      <c r="R578" s="24"/>
      <c r="S578" s="21"/>
      <c r="T578" s="46"/>
      <c r="U578" s="46"/>
      <c r="V578" s="46"/>
      <c r="W578" s="46"/>
    </row>
    <row r="579" spans="1:23" ht="1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N579" s="24"/>
      <c r="O579" s="21"/>
      <c r="P579" s="24"/>
      <c r="Q579" s="21"/>
      <c r="R579" s="24"/>
      <c r="S579" s="21"/>
      <c r="T579" s="46"/>
      <c r="U579" s="46"/>
      <c r="V579" s="46"/>
      <c r="W579" s="46"/>
    </row>
    <row r="580" spans="1:23" ht="1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N580" s="24"/>
      <c r="O580" s="21"/>
      <c r="P580" s="24"/>
      <c r="Q580" s="21"/>
      <c r="R580" s="24"/>
      <c r="S580" s="21"/>
      <c r="T580" s="46"/>
      <c r="U580" s="46"/>
      <c r="V580" s="46"/>
      <c r="W580" s="46"/>
    </row>
    <row r="581" spans="1:23" ht="1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N581" s="24"/>
      <c r="O581" s="21"/>
      <c r="P581" s="24"/>
      <c r="Q581" s="21"/>
      <c r="R581" s="24"/>
      <c r="S581" s="21"/>
      <c r="T581" s="46"/>
      <c r="U581" s="46"/>
      <c r="V581" s="46"/>
      <c r="W581" s="46"/>
    </row>
    <row r="582" spans="1:23" ht="1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N582" s="24"/>
      <c r="O582" s="21"/>
      <c r="P582" s="24"/>
      <c r="Q582" s="21"/>
      <c r="R582" s="24"/>
      <c r="S582" s="21"/>
      <c r="T582" s="46"/>
      <c r="U582" s="46"/>
      <c r="V582" s="46"/>
      <c r="W582" s="46"/>
    </row>
    <row r="583" spans="1:23" ht="1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N583" s="24"/>
      <c r="O583" s="21"/>
      <c r="P583" s="24"/>
      <c r="Q583" s="21"/>
      <c r="R583" s="24"/>
      <c r="S583" s="21"/>
      <c r="T583" s="46"/>
      <c r="U583" s="46"/>
      <c r="V583" s="46"/>
      <c r="W583" s="46"/>
    </row>
    <row r="584" spans="1:23" ht="1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18"/>
      <c r="O584" s="21"/>
      <c r="Q584" s="21"/>
      <c r="S584" s="21"/>
      <c r="T584" s="46"/>
      <c r="U584" s="46"/>
      <c r="V584" s="46"/>
      <c r="W584" s="46"/>
    </row>
    <row r="585" spans="1:23" ht="1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5"/>
      <c r="O585" s="18"/>
      <c r="P585" s="45"/>
      <c r="Q585" s="18"/>
      <c r="R585" s="45"/>
      <c r="S585" s="18"/>
      <c r="T585" s="46"/>
      <c r="U585" s="46"/>
      <c r="V585" s="46"/>
      <c r="W585" s="46"/>
    </row>
    <row r="586" spans="1:23" ht="1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5"/>
      <c r="O586" s="18"/>
      <c r="P586" s="45"/>
      <c r="Q586" s="18"/>
      <c r="R586" s="45"/>
      <c r="S586" s="18"/>
      <c r="T586" s="46"/>
      <c r="U586" s="46"/>
      <c r="V586" s="46"/>
      <c r="W586" s="46"/>
    </row>
    <row r="587" spans="1:23" ht="1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5"/>
      <c r="O587" s="18"/>
      <c r="P587" s="45"/>
      <c r="Q587" s="18"/>
      <c r="R587" s="45"/>
      <c r="S587" s="18"/>
      <c r="T587" s="46"/>
      <c r="U587" s="46"/>
      <c r="V587" s="46"/>
      <c r="W587" s="46"/>
    </row>
    <row r="588" spans="1:23" ht="1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5"/>
      <c r="O588" s="18"/>
      <c r="P588" s="45"/>
      <c r="Q588" s="18"/>
      <c r="R588" s="45"/>
      <c r="S588" s="18"/>
      <c r="T588" s="46"/>
      <c r="U588" s="46"/>
      <c r="V588" s="46"/>
      <c r="W588" s="46"/>
    </row>
    <row r="589" spans="1:23" ht="1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5"/>
      <c r="O589" s="18"/>
      <c r="P589" s="45"/>
      <c r="Q589" s="18"/>
      <c r="R589" s="45"/>
      <c r="S589" s="18"/>
      <c r="T589" s="46"/>
      <c r="U589" s="46"/>
      <c r="V589" s="46"/>
      <c r="W589" s="46"/>
    </row>
    <row r="590" spans="1:23" ht="1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5"/>
      <c r="O590" s="18"/>
      <c r="P590" s="45"/>
      <c r="Q590" s="18"/>
      <c r="R590" s="45"/>
      <c r="S590" s="18"/>
      <c r="T590" s="46"/>
      <c r="U590" s="46"/>
      <c r="V590" s="46"/>
      <c r="W590" s="46"/>
    </row>
    <row r="591" spans="1:23" ht="1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18"/>
      <c r="P591" s="46"/>
      <c r="Q591" s="18"/>
      <c r="R591" s="46"/>
      <c r="S591" s="18"/>
      <c r="T591" s="46"/>
      <c r="U591" s="46"/>
      <c r="V591" s="46"/>
      <c r="W591" s="46"/>
    </row>
    <row r="592" spans="1:23" ht="1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</row>
    <row r="593" spans="1:23" ht="1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</row>
    <row r="594" spans="1:23" ht="1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</row>
  </sheetData>
  <mergeCells count="60">
    <mergeCell ref="A1:S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U39:V39"/>
    <mergeCell ref="U3:V3"/>
    <mergeCell ref="A19:S19"/>
    <mergeCell ref="A20:A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U21:V21"/>
    <mergeCell ref="A37:S37"/>
    <mergeCell ref="A38:A39"/>
    <mergeCell ref="L38:M38"/>
    <mergeCell ref="N38:O38"/>
    <mergeCell ref="P38:Q38"/>
    <mergeCell ref="R38:S38"/>
    <mergeCell ref="B38:C38"/>
    <mergeCell ref="D38:E38"/>
    <mergeCell ref="F38:G38"/>
    <mergeCell ref="H38:I38"/>
    <mergeCell ref="J38:K38"/>
    <mergeCell ref="U57:V57"/>
    <mergeCell ref="A55:S55"/>
    <mergeCell ref="A56:A57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U75:V75"/>
    <mergeCell ref="A73:S73"/>
    <mergeCell ref="A74:A75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</mergeCells>
  <conditionalFormatting sqref="S487:S501">
    <cfRule type="cellIs" dxfId="1641" priority="23" operator="greaterThan">
      <formula>0</formula>
    </cfRule>
    <cfRule type="cellIs" dxfId="1640" priority="24" operator="lessThan">
      <formula>0</formula>
    </cfRule>
    <cfRule type="cellIs" dxfId="1639" priority="25" operator="equal">
      <formula>0</formula>
    </cfRule>
  </conditionalFormatting>
  <conditionalFormatting sqref="S469:S483">
    <cfRule type="cellIs" dxfId="1638" priority="26" operator="greaterThan">
      <formula>0</formula>
    </cfRule>
    <cfRule type="cellIs" dxfId="1637" priority="27" operator="lessThan">
      <formula>0</formula>
    </cfRule>
    <cfRule type="cellIs" dxfId="1636" priority="28" operator="equal">
      <formula>0</formula>
    </cfRule>
  </conditionalFormatting>
  <conditionalFormatting sqref="S451:S465">
    <cfRule type="cellIs" dxfId="1635" priority="29" operator="greaterThan">
      <formula>0</formula>
    </cfRule>
    <cfRule type="cellIs" dxfId="1634" priority="30" operator="lessThan">
      <formula>0</formula>
    </cfRule>
    <cfRule type="cellIs" dxfId="1633" priority="31" operator="equal">
      <formula>0</formula>
    </cfRule>
  </conditionalFormatting>
  <conditionalFormatting sqref="S433:S447">
    <cfRule type="cellIs" dxfId="1632" priority="32" operator="greaterThan">
      <formula>0</formula>
    </cfRule>
    <cfRule type="cellIs" dxfId="1631" priority="33" operator="lessThan">
      <formula>0</formula>
    </cfRule>
    <cfRule type="cellIs" dxfId="1630" priority="34" operator="equal">
      <formula>0</formula>
    </cfRule>
  </conditionalFormatting>
  <conditionalFormatting sqref="S415:S429">
    <cfRule type="cellIs" dxfId="1629" priority="35" operator="greaterThan">
      <formula>0</formula>
    </cfRule>
    <cfRule type="cellIs" dxfId="1628" priority="36" operator="lessThan">
      <formula>0</formula>
    </cfRule>
    <cfRule type="cellIs" dxfId="1627" priority="37" operator="equal">
      <formula>0</formula>
    </cfRule>
  </conditionalFormatting>
  <conditionalFormatting sqref="S397:S411">
    <cfRule type="cellIs" dxfId="1626" priority="38" operator="greaterThan">
      <formula>0</formula>
    </cfRule>
    <cfRule type="cellIs" dxfId="1625" priority="39" operator="lessThan">
      <formula>0</formula>
    </cfRule>
    <cfRule type="cellIs" dxfId="1624" priority="40" operator="equal">
      <formula>0</formula>
    </cfRule>
  </conditionalFormatting>
  <conditionalFormatting sqref="S379:S393">
    <cfRule type="cellIs" dxfId="1623" priority="41" operator="greaterThan">
      <formula>0</formula>
    </cfRule>
    <cfRule type="cellIs" dxfId="1622" priority="42" operator="lessThan">
      <formula>0</formula>
    </cfRule>
    <cfRule type="cellIs" dxfId="1621" priority="43" operator="equal">
      <formula>0</formula>
    </cfRule>
  </conditionalFormatting>
  <conditionalFormatting sqref="S361:S375">
    <cfRule type="cellIs" dxfId="1620" priority="44" operator="greaterThan">
      <formula>0</formula>
    </cfRule>
    <cfRule type="cellIs" dxfId="1619" priority="45" operator="lessThan">
      <formula>0</formula>
    </cfRule>
    <cfRule type="cellIs" dxfId="1618" priority="46" operator="equal">
      <formula>0</formula>
    </cfRule>
  </conditionalFormatting>
  <conditionalFormatting sqref="S343:S357">
    <cfRule type="cellIs" dxfId="1617" priority="47" operator="greaterThan">
      <formula>0</formula>
    </cfRule>
    <cfRule type="cellIs" dxfId="1616" priority="48" operator="lessThan">
      <formula>0</formula>
    </cfRule>
    <cfRule type="cellIs" dxfId="1615" priority="49" operator="equal">
      <formula>0</formula>
    </cfRule>
  </conditionalFormatting>
  <conditionalFormatting sqref="S325:S339">
    <cfRule type="cellIs" dxfId="1614" priority="50" operator="greaterThan">
      <formula>0</formula>
    </cfRule>
    <cfRule type="cellIs" dxfId="1613" priority="51" operator="lessThan">
      <formula>0</formula>
    </cfRule>
    <cfRule type="cellIs" dxfId="1612" priority="52" operator="equal">
      <formula>0</formula>
    </cfRule>
  </conditionalFormatting>
  <conditionalFormatting sqref="S307:S321">
    <cfRule type="cellIs" dxfId="1611" priority="53" operator="greaterThan">
      <formula>0</formula>
    </cfRule>
    <cfRule type="cellIs" dxfId="1610" priority="54" operator="lessThan">
      <formula>0</formula>
    </cfRule>
    <cfRule type="cellIs" dxfId="1609" priority="55" operator="equal">
      <formula>0</formula>
    </cfRule>
  </conditionalFormatting>
  <conditionalFormatting sqref="S289:S303">
    <cfRule type="cellIs" dxfId="1608" priority="56" operator="greaterThan">
      <formula>0</formula>
    </cfRule>
    <cfRule type="cellIs" dxfId="1607" priority="57" operator="lessThan">
      <formula>0</formula>
    </cfRule>
    <cfRule type="cellIs" dxfId="1606" priority="58" operator="equal">
      <formula>0</formula>
    </cfRule>
  </conditionalFormatting>
  <conditionalFormatting sqref="S271:S285">
    <cfRule type="cellIs" dxfId="1605" priority="59" operator="greaterThan">
      <formula>0</formula>
    </cfRule>
    <cfRule type="cellIs" dxfId="1604" priority="60" operator="lessThan">
      <formula>0</formula>
    </cfRule>
    <cfRule type="cellIs" dxfId="1603" priority="61" operator="equal">
      <formula>0</formula>
    </cfRule>
  </conditionalFormatting>
  <conditionalFormatting sqref="S253:S267">
    <cfRule type="cellIs" dxfId="1602" priority="62" operator="greaterThan">
      <formula>0</formula>
    </cfRule>
    <cfRule type="cellIs" dxfId="1601" priority="63" operator="lessThan">
      <formula>0</formula>
    </cfRule>
    <cfRule type="cellIs" dxfId="1600" priority="64" operator="equal">
      <formula>0</formula>
    </cfRule>
  </conditionalFormatting>
  <conditionalFormatting sqref="S235:S249">
    <cfRule type="cellIs" dxfId="1599" priority="65" operator="greaterThan">
      <formula>0</formula>
    </cfRule>
    <cfRule type="cellIs" dxfId="1598" priority="66" operator="lessThan">
      <formula>0</formula>
    </cfRule>
    <cfRule type="cellIs" dxfId="1597" priority="67" operator="equal">
      <formula>0</formula>
    </cfRule>
  </conditionalFormatting>
  <conditionalFormatting sqref="S217:S231">
    <cfRule type="cellIs" dxfId="1596" priority="68" operator="greaterThan">
      <formula>0</formula>
    </cfRule>
    <cfRule type="cellIs" dxfId="1595" priority="69" operator="lessThan">
      <formula>0</formula>
    </cfRule>
    <cfRule type="cellIs" dxfId="1594" priority="70" operator="equal">
      <formula>0</formula>
    </cfRule>
  </conditionalFormatting>
  <conditionalFormatting sqref="S199:S213">
    <cfRule type="cellIs" dxfId="1593" priority="71" operator="greaterThan">
      <formula>0</formula>
    </cfRule>
    <cfRule type="cellIs" dxfId="1592" priority="72" operator="lessThan">
      <formula>0</formula>
    </cfRule>
    <cfRule type="cellIs" dxfId="1591" priority="73" operator="equal">
      <formula>0</formula>
    </cfRule>
  </conditionalFormatting>
  <conditionalFormatting sqref="S181:S195">
    <cfRule type="cellIs" dxfId="1590" priority="74" operator="greaterThan">
      <formula>0</formula>
    </cfRule>
    <cfRule type="cellIs" dxfId="1589" priority="75" operator="lessThan">
      <formula>0</formula>
    </cfRule>
    <cfRule type="cellIs" dxfId="1588" priority="76" operator="equal">
      <formula>0</formula>
    </cfRule>
  </conditionalFormatting>
  <conditionalFormatting sqref="S163:S177">
    <cfRule type="cellIs" dxfId="1587" priority="77" operator="greaterThan">
      <formula>0</formula>
    </cfRule>
    <cfRule type="cellIs" dxfId="1586" priority="78" operator="lessThan">
      <formula>0</formula>
    </cfRule>
    <cfRule type="cellIs" dxfId="1585" priority="79" operator="equal">
      <formula>0</formula>
    </cfRule>
  </conditionalFormatting>
  <conditionalFormatting sqref="S145:S159">
    <cfRule type="cellIs" dxfId="1584" priority="80" operator="greaterThan">
      <formula>0</formula>
    </cfRule>
    <cfRule type="cellIs" dxfId="1583" priority="81" operator="lessThan">
      <formula>0</formula>
    </cfRule>
    <cfRule type="cellIs" dxfId="1582" priority="82" operator="equal">
      <formula>0</formula>
    </cfRule>
  </conditionalFormatting>
  <conditionalFormatting sqref="S127:S141">
    <cfRule type="cellIs" dxfId="1581" priority="83" operator="greaterThan">
      <formula>0</formula>
    </cfRule>
    <cfRule type="cellIs" dxfId="1580" priority="84" operator="lessThan">
      <formula>0</formula>
    </cfRule>
    <cfRule type="cellIs" dxfId="1579" priority="85" operator="equal">
      <formula>0</formula>
    </cfRule>
  </conditionalFormatting>
  <conditionalFormatting sqref="S109:S123">
    <cfRule type="cellIs" dxfId="1578" priority="86" operator="greaterThan">
      <formula>0</formula>
    </cfRule>
    <cfRule type="cellIs" dxfId="1577" priority="87" operator="lessThan">
      <formula>0</formula>
    </cfRule>
    <cfRule type="cellIs" dxfId="1576" priority="88" operator="equal">
      <formula>0</formula>
    </cfRule>
  </conditionalFormatting>
  <conditionalFormatting sqref="S91:S105">
    <cfRule type="cellIs" dxfId="1575" priority="89" operator="greaterThan">
      <formula>0</formula>
    </cfRule>
    <cfRule type="cellIs" dxfId="1574" priority="90" operator="lessThan">
      <formula>0</formula>
    </cfRule>
    <cfRule type="cellIs" dxfId="1573" priority="91" operator="equal">
      <formula>0</formula>
    </cfRule>
  </conditionalFormatting>
  <conditionalFormatting sqref="S1:S15">
    <cfRule type="cellIs" dxfId="1572" priority="101" operator="greaterThan">
      <formula>0</formula>
    </cfRule>
    <cfRule type="cellIs" dxfId="1571" priority="102" operator="lessThan">
      <formula>0</formula>
    </cfRule>
    <cfRule type="cellIs" dxfId="1570" priority="103" operator="equal">
      <formula>0</formula>
    </cfRule>
  </conditionalFormatting>
  <conditionalFormatting sqref="S585:S1048576">
    <cfRule type="cellIs" dxfId="1569" priority="104" operator="greaterThan">
      <formula>0</formula>
    </cfRule>
    <cfRule type="cellIs" dxfId="1568" priority="105" operator="lessThan">
      <formula>0</formula>
    </cfRule>
  </conditionalFormatting>
  <conditionalFormatting sqref="S585:T1048576 T577:T584">
    <cfRule type="cellIs" dxfId="1567" priority="106" operator="equal">
      <formula>0</formula>
    </cfRule>
  </conditionalFormatting>
  <conditionalFormatting sqref="S559">
    <cfRule type="cellIs" dxfId="1566" priority="107" operator="greaterThan">
      <formula>0</formula>
    </cfRule>
    <cfRule type="cellIs" dxfId="1565" priority="108" operator="lessThan">
      <formula>0</formula>
    </cfRule>
    <cfRule type="cellIs" dxfId="1564" priority="109" operator="equal">
      <formula>0</formula>
    </cfRule>
  </conditionalFormatting>
  <conditionalFormatting sqref="S19:S33">
    <cfRule type="cellIs" dxfId="1563" priority="119" operator="greaterThan">
      <formula>0</formula>
    </cfRule>
    <cfRule type="cellIs" dxfId="1562" priority="120" operator="lessThan">
      <formula>0</formula>
    </cfRule>
    <cfRule type="cellIs" dxfId="1561" priority="121" operator="equal">
      <formula>0</formula>
    </cfRule>
  </conditionalFormatting>
  <conditionalFormatting sqref="T1:T576">
    <cfRule type="cellIs" dxfId="1560" priority="122" operator="equal">
      <formula>0</formula>
    </cfRule>
  </conditionalFormatting>
  <conditionalFormatting sqref="S505:S519">
    <cfRule type="cellIs" dxfId="1559" priority="19" operator="greaterThan">
      <formula>0</formula>
    </cfRule>
    <cfRule type="cellIs" dxfId="1558" priority="20" operator="lessThan">
      <formula>0</formula>
    </cfRule>
    <cfRule type="cellIs" dxfId="1557" priority="21" operator="equal">
      <formula>0</formula>
    </cfRule>
  </conditionalFormatting>
  <conditionalFormatting sqref="S523:S537">
    <cfRule type="cellIs" dxfId="1556" priority="16" operator="greaterThan">
      <formula>0</formula>
    </cfRule>
    <cfRule type="cellIs" dxfId="1555" priority="17" operator="lessThan">
      <formula>0</formula>
    </cfRule>
    <cfRule type="cellIs" dxfId="1554" priority="18" operator="equal">
      <formula>0</formula>
    </cfRule>
  </conditionalFormatting>
  <conditionalFormatting sqref="S541:S555">
    <cfRule type="cellIs" dxfId="1553" priority="13" operator="greaterThan">
      <formula>0</formula>
    </cfRule>
    <cfRule type="cellIs" dxfId="1552" priority="14" operator="lessThan">
      <formula>0</formula>
    </cfRule>
    <cfRule type="cellIs" dxfId="1551" priority="15" operator="equal">
      <formula>0</formula>
    </cfRule>
  </conditionalFormatting>
  <conditionalFormatting sqref="S560:S584">
    <cfRule type="cellIs" dxfId="1550" priority="10" operator="greaterThan">
      <formula>0</formula>
    </cfRule>
    <cfRule type="cellIs" dxfId="1549" priority="11" operator="lessThan">
      <formula>0</formula>
    </cfRule>
    <cfRule type="cellIs" dxfId="1548" priority="12" operator="equal">
      <formula>0</formula>
    </cfRule>
  </conditionalFormatting>
  <conditionalFormatting sqref="S37:S51">
    <cfRule type="cellIs" dxfId="1547" priority="7" operator="greaterThan">
      <formula>0</formula>
    </cfRule>
    <cfRule type="cellIs" dxfId="1546" priority="8" operator="lessThan">
      <formula>0</formula>
    </cfRule>
    <cfRule type="cellIs" dxfId="1545" priority="9" operator="equal">
      <formula>0</formula>
    </cfRule>
  </conditionalFormatting>
  <conditionalFormatting sqref="S55:S69">
    <cfRule type="cellIs" dxfId="1544" priority="4" operator="greaterThan">
      <formula>0</formula>
    </cfRule>
    <cfRule type="cellIs" dxfId="1543" priority="5" operator="lessThan">
      <formula>0</formula>
    </cfRule>
    <cfRule type="cellIs" dxfId="1542" priority="6" operator="equal">
      <formula>0</formula>
    </cfRule>
  </conditionalFormatting>
  <conditionalFormatting sqref="S73:S87">
    <cfRule type="cellIs" dxfId="1541" priority="1" operator="greaterThan">
      <formula>0</formula>
    </cfRule>
    <cfRule type="cellIs" dxfId="1540" priority="2" operator="lessThan">
      <formula>0</formula>
    </cfRule>
    <cfRule type="cellIs" dxfId="1539" priority="3" operator="equal">
      <formula>0</formula>
    </cfRule>
  </conditionalFormatting>
  <pageMargins left="0.70833333333333304" right="0.70833333333333304" top="0.74791666666666701" bottom="0.74791666666666701" header="0.511811023622047" footer="0.511811023622047"/>
  <pageSetup paperSize="9" orientation="landscape" horizontalDpi="300" verticalDpi="300"/>
  <ignoredErrors>
    <ignoredError sqref="D24:F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58"/>
  <sheetViews>
    <sheetView zoomScaleNormal="100" workbookViewId="0">
      <selection activeCell="R7" sqref="R7"/>
    </sheetView>
  </sheetViews>
  <sheetFormatPr defaultColWidth="9.28515625" defaultRowHeight="15" customHeight="1"/>
  <cols>
    <col min="1" max="1" width="11.28515625" style="48" customWidth="1"/>
    <col min="2" max="2" width="6.7109375" style="48" customWidth="1"/>
    <col min="3" max="3" width="4.42578125" style="48" customWidth="1"/>
    <col min="4" max="4" width="5.5703125" style="48" customWidth="1"/>
    <col min="5" max="5" width="4.42578125" style="48" customWidth="1"/>
    <col min="6" max="6" width="5.7109375" style="48" customWidth="1"/>
    <col min="7" max="7" width="5.28515625" style="48" customWidth="1"/>
    <col min="8" max="8" width="4.7109375" style="48" customWidth="1"/>
    <col min="9" max="9" width="8.42578125" style="48" hidden="1" customWidth="1"/>
    <col min="10" max="10" width="4.28515625" style="48" customWidth="1"/>
    <col min="11" max="11" width="4" style="48" customWidth="1"/>
    <col min="12" max="12" width="4.28515625" style="48" customWidth="1"/>
    <col min="13" max="13" width="4" style="48" customWidth="1"/>
    <col min="14" max="14" width="6.85546875" style="48" hidden="1" customWidth="1"/>
    <col min="15" max="15" width="7.42578125" style="48" customWidth="1"/>
    <col min="16" max="19" width="4" style="48" customWidth="1"/>
    <col min="20" max="20" width="6.7109375" style="48" hidden="1" customWidth="1"/>
    <col min="21" max="21" width="8" style="48" customWidth="1"/>
    <col min="22" max="25" width="4" style="48" customWidth="1"/>
    <col min="26" max="26" width="6.7109375" style="48" hidden="1" customWidth="1"/>
    <col min="27" max="28" width="7.42578125" style="48" customWidth="1"/>
    <col min="29" max="29" width="4.140625" style="48" customWidth="1"/>
    <col min="30" max="30" width="3.5703125" style="48" customWidth="1"/>
    <col min="31" max="31" width="4" style="48" customWidth="1"/>
    <col min="32" max="32" width="4.140625" style="48" customWidth="1"/>
    <col min="33" max="33" width="6.7109375" style="48" customWidth="1"/>
    <col min="34" max="34" width="7.42578125" style="48" customWidth="1"/>
    <col min="35" max="35" width="4" style="48" customWidth="1"/>
    <col min="36" max="36" width="6" style="48" hidden="1" customWidth="1"/>
    <col min="37" max="39" width="7.5703125" customWidth="1"/>
    <col min="40" max="40" width="7.42578125" customWidth="1"/>
    <col min="41" max="41" width="6.28515625" customWidth="1"/>
    <col min="42" max="42" width="4.85546875" customWidth="1"/>
    <col min="43" max="43" width="6.140625" customWidth="1"/>
    <col min="44" max="44" width="7.5703125" customWidth="1"/>
    <col min="45" max="45" width="7" customWidth="1"/>
    <col min="46" max="49" width="3.7109375" style="48" customWidth="1"/>
    <col min="50" max="50" width="4.85546875" style="48" customWidth="1"/>
    <col min="51" max="51" width="9.28515625" style="49"/>
    <col min="52" max="16384" width="9.28515625" style="48"/>
  </cols>
  <sheetData>
    <row r="1" spans="1:51" ht="19.5" customHeight="1" thickBot="1">
      <c r="A1" s="1034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1035" t="s">
        <v>25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0"/>
      <c r="AD1" s="51"/>
      <c r="AE1" s="51"/>
      <c r="AF1" s="51"/>
      <c r="AG1" s="52"/>
      <c r="AH1" s="53"/>
      <c r="AI1" s="54"/>
      <c r="AJ1" s="54"/>
      <c r="AK1" s="55"/>
      <c r="AL1" s="55"/>
      <c r="AM1" s="55"/>
      <c r="AN1" s="55"/>
      <c r="AO1" s="55"/>
      <c r="AP1" s="55"/>
      <c r="AQ1" s="55"/>
      <c r="AR1" s="55"/>
      <c r="AS1" s="55"/>
      <c r="AT1" s="54"/>
      <c r="AU1" s="54"/>
      <c r="AV1" s="54"/>
      <c r="AW1" s="54"/>
      <c r="AX1" s="54"/>
      <c r="AY1" s="56"/>
    </row>
    <row r="2" spans="1:51" ht="14.25" customHeight="1" thickBot="1">
      <c r="A2" s="1272" t="s">
        <v>26</v>
      </c>
      <c r="B2" s="1273" t="s">
        <v>27</v>
      </c>
      <c r="C2" s="1275" t="s">
        <v>28</v>
      </c>
      <c r="D2" s="1275"/>
      <c r="E2" s="1275"/>
      <c r="F2" s="1275"/>
      <c r="G2" s="1275"/>
      <c r="H2" s="1273" t="s">
        <v>1</v>
      </c>
      <c r="I2" s="1267" t="s">
        <v>29</v>
      </c>
      <c r="J2" s="1276" t="s">
        <v>30</v>
      </c>
      <c r="K2" s="1276"/>
      <c r="L2" s="1276"/>
      <c r="M2" s="1276"/>
      <c r="N2" s="1277" t="s">
        <v>31</v>
      </c>
      <c r="O2" s="1278" t="s">
        <v>32</v>
      </c>
      <c r="P2" s="1267" t="s">
        <v>33</v>
      </c>
      <c r="Q2" s="1267"/>
      <c r="R2" s="1267"/>
      <c r="S2" s="1267"/>
      <c r="T2" s="1265" t="s">
        <v>34</v>
      </c>
      <c r="U2" s="1266" t="s">
        <v>32</v>
      </c>
      <c r="V2" s="1267" t="s">
        <v>6</v>
      </c>
      <c r="W2" s="1267"/>
      <c r="X2" s="1267"/>
      <c r="Y2" s="1267"/>
      <c r="Z2" s="1265" t="s">
        <v>34</v>
      </c>
      <c r="AA2" s="1266" t="s">
        <v>32</v>
      </c>
      <c r="AB2" s="1268" t="s">
        <v>35</v>
      </c>
      <c r="AC2" s="1269" t="s">
        <v>36</v>
      </c>
      <c r="AD2" s="1269"/>
      <c r="AE2" s="1269"/>
      <c r="AF2" s="1269"/>
      <c r="AG2" s="1270" t="s">
        <v>34</v>
      </c>
      <c r="AH2" s="1271" t="s">
        <v>32</v>
      </c>
      <c r="AI2" s="54"/>
      <c r="AJ2" s="54"/>
      <c r="AK2" s="1262" t="s">
        <v>37</v>
      </c>
      <c r="AL2" s="1262"/>
      <c r="AM2" s="1262"/>
      <c r="AN2" s="1262"/>
      <c r="AO2" s="55"/>
      <c r="AP2" s="1250" t="s">
        <v>7</v>
      </c>
      <c r="AQ2" s="1250"/>
      <c r="AR2" s="1250"/>
      <c r="AS2" s="55"/>
      <c r="AT2" s="1261" t="s">
        <v>38</v>
      </c>
      <c r="AU2" s="1261"/>
      <c r="AV2" s="1261"/>
      <c r="AW2" s="1261"/>
      <c r="AX2" s="61" t="s">
        <v>39</v>
      </c>
      <c r="AY2" s="62" t="s">
        <v>12</v>
      </c>
    </row>
    <row r="3" spans="1:51" ht="18" customHeight="1" thickBot="1">
      <c r="A3" s="1272"/>
      <c r="B3" s="1274"/>
      <c r="C3" s="63" t="s">
        <v>40</v>
      </c>
      <c r="D3" s="63" t="s">
        <v>41</v>
      </c>
      <c r="E3" s="63" t="s">
        <v>42</v>
      </c>
      <c r="F3" s="64" t="s">
        <v>43</v>
      </c>
      <c r="G3" s="65" t="s">
        <v>44</v>
      </c>
      <c r="H3" s="1273"/>
      <c r="I3" s="1267"/>
      <c r="J3" s="66" t="s">
        <v>45</v>
      </c>
      <c r="K3" s="66" t="s">
        <v>46</v>
      </c>
      <c r="L3" s="66" t="s">
        <v>47</v>
      </c>
      <c r="M3" s="67" t="s">
        <v>48</v>
      </c>
      <c r="N3" s="1277"/>
      <c r="O3" s="1278"/>
      <c r="P3" s="65" t="s">
        <v>45</v>
      </c>
      <c r="Q3" s="58" t="s">
        <v>46</v>
      </c>
      <c r="R3" s="68" t="s">
        <v>47</v>
      </c>
      <c r="S3" s="58" t="s">
        <v>48</v>
      </c>
      <c r="T3" s="1265"/>
      <c r="U3" s="1265"/>
      <c r="V3" s="65" t="s">
        <v>45</v>
      </c>
      <c r="W3" s="58" t="s">
        <v>46</v>
      </c>
      <c r="X3" s="68" t="s">
        <v>47</v>
      </c>
      <c r="Y3" s="58" t="s">
        <v>48</v>
      </c>
      <c r="Z3" s="1265"/>
      <c r="AA3" s="1265"/>
      <c r="AB3" s="1268"/>
      <c r="AC3" s="69" t="s">
        <v>45</v>
      </c>
      <c r="AD3" s="70" t="s">
        <v>46</v>
      </c>
      <c r="AE3" s="71" t="s">
        <v>47</v>
      </c>
      <c r="AF3" s="70" t="s">
        <v>48</v>
      </c>
      <c r="AG3" s="1270"/>
      <c r="AH3" s="1271"/>
      <c r="AI3" s="54"/>
      <c r="AJ3" s="54"/>
      <c r="AK3" s="72" t="s">
        <v>49</v>
      </c>
      <c r="AL3" s="72" t="s">
        <v>50</v>
      </c>
      <c r="AM3" s="72" t="s">
        <v>51</v>
      </c>
      <c r="AN3" s="72" t="s">
        <v>52</v>
      </c>
      <c r="AO3" s="73">
        <v>130</v>
      </c>
      <c r="AP3" s="1250"/>
      <c r="AQ3" s="1250"/>
      <c r="AR3" s="1250"/>
      <c r="AS3" s="55"/>
      <c r="AT3" s="65" t="s">
        <v>45</v>
      </c>
      <c r="AU3" s="58" t="s">
        <v>46</v>
      </c>
      <c r="AV3" s="68" t="s">
        <v>47</v>
      </c>
      <c r="AW3" s="60" t="s">
        <v>48</v>
      </c>
      <c r="AX3" s="61"/>
      <c r="AY3" s="62"/>
    </row>
    <row r="4" spans="1:51" ht="15" customHeight="1" thickBot="1">
      <c r="A4" s="1036">
        <v>46296</v>
      </c>
      <c r="B4" s="74" t="s">
        <v>53</v>
      </c>
      <c r="C4" s="75"/>
      <c r="D4" s="75"/>
      <c r="E4" s="75"/>
      <c r="F4" s="76"/>
      <c r="G4" s="77"/>
      <c r="H4" s="78"/>
      <c r="I4" s="79" t="str">
        <f t="shared" ref="I4:I15" si="0">IF(H4=130,0.132335,IF(H4=100,0.0785,IF(H4=110,0.095,IF(H4=160,0.198005,""))))</f>
        <v/>
      </c>
      <c r="J4" s="80"/>
      <c r="K4" s="80"/>
      <c r="L4" s="81"/>
      <c r="M4" s="82"/>
      <c r="N4" s="83">
        <f t="shared" ref="N4:N15" si="1">J4*3+K4*4+L4*5+M4*6</f>
        <v>0</v>
      </c>
      <c r="O4" s="84">
        <f t="shared" ref="O4:O15" si="2">IF($J$2="160 X 160",N4*0.198005,IF($J$2="110 X 110",N4*0.095,IF($J$2="130 X 130",N4*0.132335,0)))</f>
        <v>0</v>
      </c>
      <c r="P4" s="85"/>
      <c r="Q4" s="85"/>
      <c r="R4" s="59"/>
      <c r="S4" s="85"/>
      <c r="T4" s="86">
        <f t="shared" ref="T4:T15" si="3">P4*3+Q4*4+R4*5+S4*6</f>
        <v>0</v>
      </c>
      <c r="U4" s="87" t="str">
        <f t="shared" ref="U4:U15" si="4">IFERROR(T4*I4,"")</f>
        <v/>
      </c>
      <c r="V4" s="85"/>
      <c r="W4" s="85"/>
      <c r="X4" s="59"/>
      <c r="Y4" s="85"/>
      <c r="Z4" s="86">
        <f t="shared" ref="Z4:Z15" si="5">V4*3+W4*4+X4*5+Y4*6</f>
        <v>0</v>
      </c>
      <c r="AA4" s="87" t="str">
        <f t="shared" ref="AA4:AA15" si="6">IFERROR(Z4*I4,"")</f>
        <v/>
      </c>
      <c r="AB4" s="88" t="str">
        <f t="shared" ref="AB4:AB15" si="7">IFERROR(U4+AA4+O4,"")</f>
        <v/>
      </c>
      <c r="AC4" s="89"/>
      <c r="AD4" s="90"/>
      <c r="AE4" s="90"/>
      <c r="AF4" s="90"/>
      <c r="AG4" s="91">
        <f t="shared" ref="AG4:AG15" si="8">AC4*3+AD4*4+AE4*5+AF4*6</f>
        <v>0</v>
      </c>
      <c r="AH4" s="92" t="str">
        <f t="shared" ref="AH4:AH15" si="9">IFERROR(AG4*I4,"")</f>
        <v/>
      </c>
      <c r="AJ4" s="79" t="str">
        <f t="shared" ref="AJ4:AJ15" si="10">IF(H4=130,0.132335,IF(H4=100,0.0785,IF(H4=110,0.095,IF(H4=160,0.198005,""))))</f>
        <v/>
      </c>
      <c r="AK4" s="16" t="str">
        <f t="shared" ref="AK4:AK15" si="11">IFERROR(P4*3*AJ4,"")</f>
        <v/>
      </c>
      <c r="AL4" s="16" t="str">
        <f t="shared" ref="AL4:AL15" si="12">IFERROR(Q4*4*AJ4,"")</f>
        <v/>
      </c>
      <c r="AM4" s="16" t="str">
        <f t="shared" ref="AM4:AM15" si="13">IFERROR(R4*5*AJ4,"")</f>
        <v/>
      </c>
      <c r="AN4" s="16" t="str">
        <f t="shared" ref="AN4:AN15" si="14">IFERROR(S4*6*AJ4,"")</f>
        <v/>
      </c>
      <c r="AO4" s="55"/>
      <c r="AP4" s="1250"/>
      <c r="AQ4" s="1250"/>
      <c r="AR4" s="1250"/>
      <c r="AS4" s="55"/>
      <c r="AT4" s="85"/>
      <c r="AU4" s="85"/>
      <c r="AV4" s="59"/>
      <c r="AW4" s="93"/>
      <c r="AX4" s="94">
        <f t="shared" ref="AX4:AX15" si="15">AT4*3+AU4*4+AV4*5+AW4*6</f>
        <v>0</v>
      </c>
      <c r="AY4" s="95" t="e">
        <f t="shared" ref="AY4:AY15" si="16">AX4*I4</f>
        <v>#VALUE!</v>
      </c>
    </row>
    <row r="5" spans="1:51" ht="15" customHeight="1">
      <c r="A5" s="1037"/>
      <c r="B5" s="74" t="s">
        <v>54</v>
      </c>
      <c r="C5" s="96"/>
      <c r="D5" s="96"/>
      <c r="E5" s="96"/>
      <c r="F5" s="97"/>
      <c r="G5" s="77"/>
      <c r="H5" s="78"/>
      <c r="I5" s="79" t="str">
        <f t="shared" si="0"/>
        <v/>
      </c>
      <c r="J5" s="80"/>
      <c r="K5" s="80"/>
      <c r="L5" s="81"/>
      <c r="M5" s="82"/>
      <c r="N5" s="83">
        <f t="shared" si="1"/>
        <v>0</v>
      </c>
      <c r="O5" s="84">
        <f t="shared" si="2"/>
        <v>0</v>
      </c>
      <c r="P5" s="85"/>
      <c r="Q5" s="85"/>
      <c r="R5" s="59"/>
      <c r="S5" s="85"/>
      <c r="T5" s="86">
        <f t="shared" si="3"/>
        <v>0</v>
      </c>
      <c r="U5" s="87" t="str">
        <f t="shared" si="4"/>
        <v/>
      </c>
      <c r="V5" s="85"/>
      <c r="W5" s="85"/>
      <c r="X5" s="65"/>
      <c r="Y5" s="85"/>
      <c r="Z5" s="86">
        <f t="shared" si="5"/>
        <v>0</v>
      </c>
      <c r="AA5" s="87" t="str">
        <f t="shared" si="6"/>
        <v/>
      </c>
      <c r="AB5" s="88" t="str">
        <f t="shared" si="7"/>
        <v/>
      </c>
      <c r="AC5" s="89"/>
      <c r="AD5" s="90"/>
      <c r="AE5" s="90"/>
      <c r="AF5" s="90"/>
      <c r="AG5" s="91">
        <f t="shared" si="8"/>
        <v>0</v>
      </c>
      <c r="AH5" s="92" t="str">
        <f t="shared" si="9"/>
        <v/>
      </c>
      <c r="AJ5" s="79" t="str">
        <f t="shared" si="10"/>
        <v/>
      </c>
      <c r="AK5" s="16" t="str">
        <f t="shared" si="11"/>
        <v/>
      </c>
      <c r="AL5" s="16" t="str">
        <f t="shared" si="12"/>
        <v/>
      </c>
      <c r="AM5" s="16" t="str">
        <f t="shared" si="13"/>
        <v/>
      </c>
      <c r="AN5" s="16" t="str">
        <f t="shared" si="14"/>
        <v/>
      </c>
      <c r="AO5" s="55"/>
      <c r="AP5" s="98">
        <v>6</v>
      </c>
      <c r="AQ5" s="99"/>
      <c r="AR5" s="100">
        <f>IFERROR(AP5*AQ5*AS8,0)</f>
        <v>0</v>
      </c>
      <c r="AS5" s="55"/>
      <c r="AT5" s="85"/>
      <c r="AU5" s="85"/>
      <c r="AV5" s="65"/>
      <c r="AW5" s="93"/>
      <c r="AX5" s="94">
        <f t="shared" si="15"/>
        <v>0</v>
      </c>
      <c r="AY5" s="95" t="e">
        <f t="shared" si="16"/>
        <v>#VALUE!</v>
      </c>
    </row>
    <row r="6" spans="1:51" ht="15" customHeight="1">
      <c r="A6" s="1037"/>
      <c r="B6" s="74" t="s">
        <v>55</v>
      </c>
      <c r="C6" s="101"/>
      <c r="D6" s="101"/>
      <c r="E6" s="101"/>
      <c r="F6" s="102"/>
      <c r="G6" s="103"/>
      <c r="H6" s="78"/>
      <c r="I6" s="79" t="str">
        <f t="shared" si="0"/>
        <v/>
      </c>
      <c r="J6" s="80"/>
      <c r="K6" s="80"/>
      <c r="L6" s="81"/>
      <c r="M6" s="82"/>
      <c r="N6" s="83">
        <f t="shared" si="1"/>
        <v>0</v>
      </c>
      <c r="O6" s="84">
        <f t="shared" si="2"/>
        <v>0</v>
      </c>
      <c r="P6" s="85"/>
      <c r="Q6" s="85"/>
      <c r="R6" s="59"/>
      <c r="S6" s="85"/>
      <c r="T6" s="86">
        <f t="shared" si="3"/>
        <v>0</v>
      </c>
      <c r="U6" s="87" t="str">
        <f t="shared" si="4"/>
        <v/>
      </c>
      <c r="V6" s="85"/>
      <c r="W6" s="85"/>
      <c r="X6" s="59"/>
      <c r="Y6" s="85"/>
      <c r="Z6" s="86">
        <f t="shared" si="5"/>
        <v>0</v>
      </c>
      <c r="AA6" s="87" t="str">
        <f t="shared" si="6"/>
        <v/>
      </c>
      <c r="AB6" s="88" t="str">
        <f t="shared" si="7"/>
        <v/>
      </c>
      <c r="AC6" s="89"/>
      <c r="AD6" s="90"/>
      <c r="AE6" s="90"/>
      <c r="AF6" s="90"/>
      <c r="AG6" s="91">
        <f t="shared" si="8"/>
        <v>0</v>
      </c>
      <c r="AH6" s="92" t="str">
        <f t="shared" si="9"/>
        <v/>
      </c>
      <c r="AJ6" s="79" t="str">
        <f t="shared" si="10"/>
        <v/>
      </c>
      <c r="AK6" s="16" t="str">
        <f t="shared" si="11"/>
        <v/>
      </c>
      <c r="AL6" s="16" t="str">
        <f t="shared" si="12"/>
        <v/>
      </c>
      <c r="AM6" s="16" t="str">
        <f t="shared" si="13"/>
        <v/>
      </c>
      <c r="AN6" s="16" t="str">
        <f t="shared" si="14"/>
        <v/>
      </c>
      <c r="AO6" s="55"/>
      <c r="AP6" s="98">
        <v>5</v>
      </c>
      <c r="AQ6" s="99"/>
      <c r="AR6" s="100">
        <f>IFERROR(AP6*AQ6*AS8,0)</f>
        <v>0</v>
      </c>
      <c r="AS6" s="104"/>
      <c r="AT6" s="58"/>
      <c r="AU6" s="85"/>
      <c r="AV6" s="59"/>
      <c r="AW6" s="93"/>
      <c r="AX6" s="94">
        <f t="shared" si="15"/>
        <v>0</v>
      </c>
      <c r="AY6" s="95" t="e">
        <f t="shared" si="16"/>
        <v>#VALUE!</v>
      </c>
    </row>
    <row r="7" spans="1:51" ht="15" customHeight="1">
      <c r="A7" s="1037"/>
      <c r="B7" s="74" t="s">
        <v>56</v>
      </c>
      <c r="C7" s="105"/>
      <c r="D7" s="105"/>
      <c r="E7" s="105"/>
      <c r="F7" s="106"/>
      <c r="G7" s="77"/>
      <c r="H7" s="78"/>
      <c r="I7" s="79" t="str">
        <f t="shared" si="0"/>
        <v/>
      </c>
      <c r="J7" s="80"/>
      <c r="K7" s="80"/>
      <c r="L7" s="81"/>
      <c r="M7" s="82"/>
      <c r="N7" s="83">
        <f t="shared" si="1"/>
        <v>0</v>
      </c>
      <c r="O7" s="84">
        <f t="shared" si="2"/>
        <v>0</v>
      </c>
      <c r="P7" s="85"/>
      <c r="Q7" s="85"/>
      <c r="R7" s="59"/>
      <c r="S7" s="85"/>
      <c r="T7" s="86">
        <f t="shared" si="3"/>
        <v>0</v>
      </c>
      <c r="U7" s="87" t="str">
        <f t="shared" si="4"/>
        <v/>
      </c>
      <c r="V7" s="85"/>
      <c r="W7" s="85"/>
      <c r="X7" s="59"/>
      <c r="Y7" s="85"/>
      <c r="Z7" s="86">
        <f t="shared" si="5"/>
        <v>0</v>
      </c>
      <c r="AA7" s="87" t="str">
        <f t="shared" si="6"/>
        <v/>
      </c>
      <c r="AB7" s="88" t="str">
        <f t="shared" si="7"/>
        <v/>
      </c>
      <c r="AC7" s="89"/>
      <c r="AD7" s="90"/>
      <c r="AE7" s="90"/>
      <c r="AF7" s="90"/>
      <c r="AG7" s="91">
        <f t="shared" si="8"/>
        <v>0</v>
      </c>
      <c r="AH7" s="92" t="str">
        <f t="shared" si="9"/>
        <v/>
      </c>
      <c r="AJ7" s="79" t="str">
        <f t="shared" si="10"/>
        <v/>
      </c>
      <c r="AK7" s="16" t="str">
        <f t="shared" si="11"/>
        <v/>
      </c>
      <c r="AL7" s="16" t="str">
        <f t="shared" si="12"/>
        <v/>
      </c>
      <c r="AM7" s="16" t="str">
        <f t="shared" si="13"/>
        <v/>
      </c>
      <c r="AN7" s="16" t="str">
        <f t="shared" si="14"/>
        <v/>
      </c>
      <c r="AO7" s="55"/>
      <c r="AP7" s="98">
        <v>4</v>
      </c>
      <c r="AQ7" s="99"/>
      <c r="AR7" s="100">
        <f>IFERROR(AP7*AQ7*AS8,0)</f>
        <v>0</v>
      </c>
      <c r="AS7" s="104"/>
      <c r="AT7" s="85"/>
      <c r="AU7" s="85"/>
      <c r="AV7" s="59"/>
      <c r="AW7" s="93"/>
      <c r="AX7" s="94">
        <f t="shared" si="15"/>
        <v>0</v>
      </c>
      <c r="AY7" s="95" t="e">
        <f t="shared" si="16"/>
        <v>#VALUE!</v>
      </c>
    </row>
    <row r="8" spans="1:51" ht="15" customHeight="1">
      <c r="A8" s="1037"/>
      <c r="B8" s="74" t="s">
        <v>57</v>
      </c>
      <c r="C8" s="75"/>
      <c r="D8" s="107"/>
      <c r="E8" s="75"/>
      <c r="F8" s="108"/>
      <c r="G8" s="77"/>
      <c r="H8" s="78"/>
      <c r="I8" s="79" t="str">
        <f t="shared" si="0"/>
        <v/>
      </c>
      <c r="J8" s="80"/>
      <c r="K8" s="80"/>
      <c r="L8" s="81"/>
      <c r="M8" s="82"/>
      <c r="N8" s="83">
        <f t="shared" si="1"/>
        <v>0</v>
      </c>
      <c r="O8" s="84">
        <f t="shared" si="2"/>
        <v>0</v>
      </c>
      <c r="P8" s="85"/>
      <c r="Q8" s="85"/>
      <c r="R8" s="59"/>
      <c r="S8" s="85"/>
      <c r="T8" s="86">
        <f t="shared" si="3"/>
        <v>0</v>
      </c>
      <c r="U8" s="87" t="str">
        <f t="shared" si="4"/>
        <v/>
      </c>
      <c r="V8" s="85"/>
      <c r="W8" s="85"/>
      <c r="X8" s="59"/>
      <c r="Y8" s="85"/>
      <c r="Z8" s="86">
        <f t="shared" si="5"/>
        <v>0</v>
      </c>
      <c r="AA8" s="87" t="str">
        <f t="shared" si="6"/>
        <v/>
      </c>
      <c r="AB8" s="88" t="str">
        <f t="shared" si="7"/>
        <v/>
      </c>
      <c r="AC8" s="89"/>
      <c r="AD8" s="90"/>
      <c r="AE8" s="90"/>
      <c r="AF8" s="90"/>
      <c r="AG8" s="91">
        <f t="shared" si="8"/>
        <v>0</v>
      </c>
      <c r="AH8" s="92" t="str">
        <f t="shared" si="9"/>
        <v/>
      </c>
      <c r="AJ8" s="79" t="str">
        <f t="shared" si="10"/>
        <v/>
      </c>
      <c r="AK8" s="16" t="str">
        <f t="shared" si="11"/>
        <v/>
      </c>
      <c r="AL8" s="16" t="str">
        <f t="shared" si="12"/>
        <v/>
      </c>
      <c r="AM8" s="16" t="str">
        <f t="shared" si="13"/>
        <v/>
      </c>
      <c r="AN8" s="16" t="str">
        <f t="shared" si="14"/>
        <v/>
      </c>
      <c r="AO8" s="55"/>
      <c r="AP8" s="98">
        <v>3</v>
      </c>
      <c r="AQ8" s="109"/>
      <c r="AR8" s="100">
        <f>IFERROR(AP8*AQ8*AS8,0)</f>
        <v>0</v>
      </c>
      <c r="AS8" s="48">
        <f>IFERROR(AR9/((AP8*AQ8)+(AP7*AQ7)+(AP6*AQ6)+(AP5*AQ5)),0)</f>
        <v>0</v>
      </c>
      <c r="AT8" s="85"/>
      <c r="AU8" s="85"/>
      <c r="AV8" s="59"/>
      <c r="AW8" s="93"/>
      <c r="AX8" s="94">
        <f t="shared" si="15"/>
        <v>0</v>
      </c>
      <c r="AY8" s="95" t="e">
        <f t="shared" si="16"/>
        <v>#VALUE!</v>
      </c>
    </row>
    <row r="9" spans="1:51" ht="14.25" customHeight="1" thickBot="1">
      <c r="A9" s="1037"/>
      <c r="B9" s="74" t="s">
        <v>58</v>
      </c>
      <c r="C9" s="110"/>
      <c r="D9" s="110"/>
      <c r="E9" s="110"/>
      <c r="F9" s="76"/>
      <c r="G9" s="77"/>
      <c r="H9" s="78"/>
      <c r="I9" s="79" t="str">
        <f t="shared" si="0"/>
        <v/>
      </c>
      <c r="J9" s="80"/>
      <c r="K9" s="80"/>
      <c r="L9" s="81"/>
      <c r="M9" s="82"/>
      <c r="N9" s="83">
        <f t="shared" si="1"/>
        <v>0</v>
      </c>
      <c r="O9" s="84">
        <f t="shared" si="2"/>
        <v>0</v>
      </c>
      <c r="P9" s="58"/>
      <c r="Q9" s="85"/>
      <c r="R9" s="59"/>
      <c r="S9" s="85"/>
      <c r="T9" s="86">
        <f t="shared" si="3"/>
        <v>0</v>
      </c>
      <c r="U9" s="87" t="str">
        <f t="shared" si="4"/>
        <v/>
      </c>
      <c r="V9" s="58"/>
      <c r="W9" s="85"/>
      <c r="X9" s="59"/>
      <c r="Y9" s="85"/>
      <c r="Z9" s="86">
        <f t="shared" si="5"/>
        <v>0</v>
      </c>
      <c r="AA9" s="87" t="str">
        <f t="shared" si="6"/>
        <v/>
      </c>
      <c r="AB9" s="88" t="str">
        <f t="shared" si="7"/>
        <v/>
      </c>
      <c r="AC9" s="89"/>
      <c r="AD9" s="90"/>
      <c r="AE9" s="90"/>
      <c r="AF9" s="90"/>
      <c r="AG9" s="91">
        <f t="shared" si="8"/>
        <v>0</v>
      </c>
      <c r="AH9" s="92" t="str">
        <f t="shared" si="9"/>
        <v/>
      </c>
      <c r="AJ9" s="79" t="str">
        <f t="shared" si="10"/>
        <v/>
      </c>
      <c r="AK9" s="16" t="str">
        <f t="shared" si="11"/>
        <v/>
      </c>
      <c r="AL9" s="16" t="str">
        <f t="shared" si="12"/>
        <v/>
      </c>
      <c r="AM9" s="16" t="str">
        <f t="shared" si="13"/>
        <v/>
      </c>
      <c r="AN9" s="16" t="str">
        <f t="shared" si="14"/>
        <v/>
      </c>
      <c r="AO9" s="55"/>
      <c r="AP9" s="111"/>
      <c r="AQ9" s="112"/>
      <c r="AR9" s="113"/>
      <c r="AS9" s="104"/>
      <c r="AT9" s="58"/>
      <c r="AU9" s="85"/>
      <c r="AV9" s="59"/>
      <c r="AW9" s="93"/>
      <c r="AX9" s="94">
        <f t="shared" si="15"/>
        <v>0</v>
      </c>
      <c r="AY9" s="95" t="e">
        <f t="shared" si="16"/>
        <v>#VALUE!</v>
      </c>
    </row>
    <row r="10" spans="1:51" ht="14.25" customHeight="1" thickBot="1">
      <c r="A10" s="1037"/>
      <c r="B10" s="74" t="s">
        <v>59</v>
      </c>
      <c r="C10" s="110"/>
      <c r="D10" s="110"/>
      <c r="E10" s="110"/>
      <c r="F10" s="76"/>
      <c r="G10" s="77"/>
      <c r="H10" s="78"/>
      <c r="I10" s="79" t="str">
        <f t="shared" si="0"/>
        <v/>
      </c>
      <c r="J10" s="80"/>
      <c r="K10" s="80"/>
      <c r="L10" s="81"/>
      <c r="M10" s="82"/>
      <c r="N10" s="83">
        <f t="shared" si="1"/>
        <v>0</v>
      </c>
      <c r="O10" s="84">
        <f t="shared" si="2"/>
        <v>0</v>
      </c>
      <c r="P10" s="85"/>
      <c r="Q10" s="85"/>
      <c r="R10" s="59"/>
      <c r="S10" s="85"/>
      <c r="T10" s="86">
        <f t="shared" si="3"/>
        <v>0</v>
      </c>
      <c r="U10" s="87" t="str">
        <f t="shared" si="4"/>
        <v/>
      </c>
      <c r="V10" s="85"/>
      <c r="W10" s="85"/>
      <c r="X10" s="59"/>
      <c r="Y10" s="85"/>
      <c r="Z10" s="86">
        <f t="shared" si="5"/>
        <v>0</v>
      </c>
      <c r="AA10" s="87" t="str">
        <f t="shared" si="6"/>
        <v/>
      </c>
      <c r="AB10" s="88" t="str">
        <f t="shared" si="7"/>
        <v/>
      </c>
      <c r="AC10" s="89"/>
      <c r="AD10" s="90"/>
      <c r="AE10" s="90"/>
      <c r="AF10" s="90"/>
      <c r="AG10" s="91">
        <f t="shared" si="8"/>
        <v>0</v>
      </c>
      <c r="AH10" s="92" t="str">
        <f t="shared" si="9"/>
        <v/>
      </c>
      <c r="AJ10" s="79" t="str">
        <f t="shared" si="10"/>
        <v/>
      </c>
      <c r="AK10" s="16" t="str">
        <f t="shared" si="11"/>
        <v/>
      </c>
      <c r="AL10" s="16" t="str">
        <f t="shared" si="12"/>
        <v/>
      </c>
      <c r="AM10" s="16" t="str">
        <f t="shared" si="13"/>
        <v/>
      </c>
      <c r="AN10" s="16" t="str">
        <f t="shared" si="14"/>
        <v/>
      </c>
      <c r="AO10" s="55"/>
      <c r="AP10" s="1250" t="s">
        <v>7</v>
      </c>
      <c r="AQ10" s="1250"/>
      <c r="AR10" s="1250"/>
      <c r="AS10" s="104"/>
      <c r="AT10" s="85"/>
      <c r="AU10" s="85"/>
      <c r="AV10" s="59"/>
      <c r="AW10" s="93"/>
      <c r="AX10" s="94">
        <f t="shared" si="15"/>
        <v>0</v>
      </c>
      <c r="AY10" s="95" t="e">
        <f t="shared" si="16"/>
        <v>#VALUE!</v>
      </c>
    </row>
    <row r="11" spans="1:51" ht="15" customHeight="1">
      <c r="A11" s="1037"/>
      <c r="B11" s="74" t="s">
        <v>60</v>
      </c>
      <c r="C11" s="110"/>
      <c r="D11" s="110"/>
      <c r="E11" s="110"/>
      <c r="F11" s="76"/>
      <c r="G11" s="77"/>
      <c r="H11" s="78"/>
      <c r="I11" s="79" t="str">
        <f t="shared" si="0"/>
        <v/>
      </c>
      <c r="J11" s="80"/>
      <c r="K11" s="80"/>
      <c r="L11" s="81"/>
      <c r="M11" s="82"/>
      <c r="N11" s="83">
        <f t="shared" si="1"/>
        <v>0</v>
      </c>
      <c r="O11" s="84">
        <f t="shared" si="2"/>
        <v>0</v>
      </c>
      <c r="P11" s="85"/>
      <c r="Q11" s="85"/>
      <c r="R11" s="59"/>
      <c r="S11" s="85"/>
      <c r="T11" s="86">
        <f t="shared" si="3"/>
        <v>0</v>
      </c>
      <c r="U11" s="87" t="str">
        <f t="shared" si="4"/>
        <v/>
      </c>
      <c r="V11" s="85"/>
      <c r="W11" s="58"/>
      <c r="X11" s="59"/>
      <c r="Y11" s="85"/>
      <c r="Z11" s="86">
        <f t="shared" si="5"/>
        <v>0</v>
      </c>
      <c r="AA11" s="87" t="str">
        <f t="shared" si="6"/>
        <v/>
      </c>
      <c r="AB11" s="88" t="str">
        <f t="shared" si="7"/>
        <v/>
      </c>
      <c r="AC11" s="89"/>
      <c r="AD11" s="90"/>
      <c r="AE11" s="90"/>
      <c r="AF11" s="90"/>
      <c r="AG11" s="91">
        <f t="shared" si="8"/>
        <v>0</v>
      </c>
      <c r="AH11" s="92" t="str">
        <f t="shared" si="9"/>
        <v/>
      </c>
      <c r="AJ11" s="79" t="str">
        <f t="shared" si="10"/>
        <v/>
      </c>
      <c r="AK11" s="16" t="str">
        <f t="shared" si="11"/>
        <v/>
      </c>
      <c r="AL11" s="16" t="str">
        <f t="shared" si="12"/>
        <v/>
      </c>
      <c r="AM11" s="16" t="str">
        <f t="shared" si="13"/>
        <v/>
      </c>
      <c r="AN11" s="16" t="str">
        <f t="shared" si="14"/>
        <v/>
      </c>
      <c r="AO11" s="73">
        <v>160</v>
      </c>
      <c r="AP11" s="1250"/>
      <c r="AQ11" s="1250"/>
      <c r="AR11" s="1250"/>
      <c r="AS11" s="55"/>
      <c r="AT11" s="85"/>
      <c r="AU11" s="85"/>
      <c r="AV11" s="59"/>
      <c r="AW11" s="93"/>
      <c r="AX11" s="94">
        <f t="shared" si="15"/>
        <v>0</v>
      </c>
      <c r="AY11" s="95" t="e">
        <f t="shared" si="16"/>
        <v>#VALUE!</v>
      </c>
    </row>
    <row r="12" spans="1:51" ht="15" customHeight="1" thickBot="1">
      <c r="A12" s="1037"/>
      <c r="B12" s="74" t="s">
        <v>61</v>
      </c>
      <c r="C12" s="110"/>
      <c r="D12" s="110"/>
      <c r="E12" s="110"/>
      <c r="F12" s="76"/>
      <c r="G12" s="77"/>
      <c r="H12" s="78"/>
      <c r="I12" s="79" t="str">
        <f t="shared" si="0"/>
        <v/>
      </c>
      <c r="J12" s="80"/>
      <c r="K12" s="80"/>
      <c r="L12" s="81"/>
      <c r="M12" s="82"/>
      <c r="N12" s="83">
        <f t="shared" si="1"/>
        <v>0</v>
      </c>
      <c r="O12" s="84">
        <f t="shared" si="2"/>
        <v>0</v>
      </c>
      <c r="P12" s="85"/>
      <c r="Q12" s="58"/>
      <c r="R12" s="114"/>
      <c r="S12" s="85"/>
      <c r="T12" s="86">
        <f t="shared" si="3"/>
        <v>0</v>
      </c>
      <c r="U12" s="87" t="str">
        <f t="shared" si="4"/>
        <v/>
      </c>
      <c r="V12" s="85"/>
      <c r="W12" s="58"/>
      <c r="X12" s="59"/>
      <c r="Y12" s="85"/>
      <c r="Z12" s="86">
        <f t="shared" si="5"/>
        <v>0</v>
      </c>
      <c r="AA12" s="87" t="str">
        <f t="shared" si="6"/>
        <v/>
      </c>
      <c r="AB12" s="88" t="str">
        <f t="shared" si="7"/>
        <v/>
      </c>
      <c r="AC12" s="89"/>
      <c r="AD12" s="90"/>
      <c r="AE12" s="90"/>
      <c r="AF12" s="90"/>
      <c r="AG12" s="91">
        <f t="shared" si="8"/>
        <v>0</v>
      </c>
      <c r="AH12" s="92" t="str">
        <f t="shared" si="9"/>
        <v/>
      </c>
      <c r="AJ12" s="79" t="str">
        <f t="shared" si="10"/>
        <v/>
      </c>
      <c r="AK12" s="16" t="str">
        <f t="shared" si="11"/>
        <v/>
      </c>
      <c r="AL12" s="16" t="str">
        <f t="shared" si="12"/>
        <v/>
      </c>
      <c r="AM12" s="16" t="str">
        <f t="shared" si="13"/>
        <v/>
      </c>
      <c r="AN12" s="16" t="str">
        <f t="shared" si="14"/>
        <v/>
      </c>
      <c r="AO12" s="55"/>
      <c r="AP12" s="1250"/>
      <c r="AQ12" s="1250"/>
      <c r="AR12" s="1250"/>
      <c r="AS12" s="55"/>
      <c r="AT12" s="85"/>
      <c r="AU12" s="58"/>
      <c r="AV12" s="59"/>
      <c r="AW12" s="93"/>
      <c r="AX12" s="94">
        <f t="shared" si="15"/>
        <v>0</v>
      </c>
      <c r="AY12" s="95" t="e">
        <f t="shared" si="16"/>
        <v>#VALUE!</v>
      </c>
    </row>
    <row r="13" spans="1:51" ht="16.5" customHeight="1">
      <c r="A13" s="1037"/>
      <c r="B13" s="74" t="s">
        <v>62</v>
      </c>
      <c r="C13" s="110"/>
      <c r="D13" s="110"/>
      <c r="E13" s="110"/>
      <c r="F13" s="76"/>
      <c r="G13" s="77"/>
      <c r="H13" s="78"/>
      <c r="I13" s="79" t="str">
        <f t="shared" si="0"/>
        <v/>
      </c>
      <c r="J13" s="80"/>
      <c r="K13" s="80"/>
      <c r="L13" s="81"/>
      <c r="M13" s="82"/>
      <c r="N13" s="83">
        <f t="shared" si="1"/>
        <v>0</v>
      </c>
      <c r="O13" s="84">
        <f t="shared" si="2"/>
        <v>0</v>
      </c>
      <c r="P13" s="85"/>
      <c r="Q13" s="115"/>
      <c r="R13" s="116"/>
      <c r="S13" s="116"/>
      <c r="T13" s="86">
        <f t="shared" si="3"/>
        <v>0</v>
      </c>
      <c r="U13" s="87" t="str">
        <f t="shared" si="4"/>
        <v/>
      </c>
      <c r="V13" s="85"/>
      <c r="W13" s="58"/>
      <c r="X13" s="59"/>
      <c r="Y13" s="116"/>
      <c r="Z13" s="86">
        <f t="shared" si="5"/>
        <v>0</v>
      </c>
      <c r="AA13" s="87" t="str">
        <f t="shared" si="6"/>
        <v/>
      </c>
      <c r="AB13" s="88" t="str">
        <f t="shared" si="7"/>
        <v/>
      </c>
      <c r="AC13" s="89"/>
      <c r="AD13" s="90"/>
      <c r="AE13" s="90"/>
      <c r="AF13" s="90"/>
      <c r="AG13" s="91">
        <f t="shared" si="8"/>
        <v>0</v>
      </c>
      <c r="AH13" s="92" t="str">
        <f t="shared" si="9"/>
        <v/>
      </c>
      <c r="AJ13" s="79" t="str">
        <f t="shared" si="10"/>
        <v/>
      </c>
      <c r="AK13" s="16" t="str">
        <f t="shared" si="11"/>
        <v/>
      </c>
      <c r="AL13" s="16" t="str">
        <f t="shared" si="12"/>
        <v/>
      </c>
      <c r="AM13" s="16" t="str">
        <f t="shared" si="13"/>
        <v/>
      </c>
      <c r="AN13" s="16" t="str">
        <f t="shared" si="14"/>
        <v/>
      </c>
      <c r="AO13" s="55"/>
      <c r="AP13" s="117">
        <v>6</v>
      </c>
      <c r="AQ13" s="118"/>
      <c r="AR13" s="100">
        <f>IFERROR(AP13*AQ13*AS16,0)</f>
        <v>0</v>
      </c>
      <c r="AS13" s="55"/>
      <c r="AT13" s="85"/>
      <c r="AU13" s="58"/>
      <c r="AV13" s="59"/>
      <c r="AW13" s="93"/>
      <c r="AX13" s="94">
        <f t="shared" si="15"/>
        <v>0</v>
      </c>
      <c r="AY13" s="95" t="e">
        <f t="shared" si="16"/>
        <v>#VALUE!</v>
      </c>
    </row>
    <row r="14" spans="1:51" ht="16.5" customHeight="1">
      <c r="A14" s="1038"/>
      <c r="B14" s="74" t="s">
        <v>63</v>
      </c>
      <c r="C14" s="110"/>
      <c r="D14" s="110"/>
      <c r="E14" s="110"/>
      <c r="F14" s="76"/>
      <c r="G14" s="77"/>
      <c r="H14" s="78"/>
      <c r="I14" s="79" t="str">
        <f t="shared" si="0"/>
        <v/>
      </c>
      <c r="J14" s="119"/>
      <c r="K14" s="119"/>
      <c r="L14" s="120"/>
      <c r="M14" s="121"/>
      <c r="N14" s="83">
        <f t="shared" si="1"/>
        <v>0</v>
      </c>
      <c r="O14" s="84">
        <f t="shared" si="2"/>
        <v>0</v>
      </c>
      <c r="P14" s="116"/>
      <c r="Q14" s="57"/>
      <c r="R14" s="114"/>
      <c r="S14" s="122"/>
      <c r="T14" s="86">
        <f t="shared" si="3"/>
        <v>0</v>
      </c>
      <c r="U14" s="87" t="str">
        <f t="shared" si="4"/>
        <v/>
      </c>
      <c r="V14" s="85"/>
      <c r="W14" s="58"/>
      <c r="X14" s="59"/>
      <c r="Y14" s="85"/>
      <c r="Z14" s="86">
        <f t="shared" si="5"/>
        <v>0</v>
      </c>
      <c r="AA14" s="87" t="str">
        <f t="shared" si="6"/>
        <v/>
      </c>
      <c r="AB14" s="88" t="str">
        <f t="shared" si="7"/>
        <v/>
      </c>
      <c r="AC14" s="89"/>
      <c r="AD14" s="90"/>
      <c r="AE14" s="90"/>
      <c r="AF14" s="90"/>
      <c r="AG14" s="91">
        <f t="shared" si="8"/>
        <v>0</v>
      </c>
      <c r="AH14" s="92" t="str">
        <f t="shared" si="9"/>
        <v/>
      </c>
      <c r="AJ14" s="79" t="str">
        <f t="shared" si="10"/>
        <v/>
      </c>
      <c r="AK14" s="16" t="str">
        <f t="shared" si="11"/>
        <v/>
      </c>
      <c r="AL14" s="16" t="str">
        <f t="shared" si="12"/>
        <v/>
      </c>
      <c r="AM14" s="16" t="str">
        <f t="shared" si="13"/>
        <v/>
      </c>
      <c r="AN14" s="16" t="str">
        <f t="shared" si="14"/>
        <v/>
      </c>
      <c r="AO14" s="55"/>
      <c r="AP14" s="98">
        <v>5</v>
      </c>
      <c r="AQ14" s="99"/>
      <c r="AR14" s="100">
        <f>IFERROR(AP14*AQ14*AS16,0)</f>
        <v>0</v>
      </c>
      <c r="AS14" s="55"/>
      <c r="AT14" s="116"/>
      <c r="AU14" s="115"/>
      <c r="AV14" s="116"/>
      <c r="AW14" s="123"/>
      <c r="AX14" s="94">
        <f t="shared" si="15"/>
        <v>0</v>
      </c>
      <c r="AY14" s="95" t="e">
        <f t="shared" si="16"/>
        <v>#VALUE!</v>
      </c>
    </row>
    <row r="15" spans="1:51" ht="15.75" customHeight="1">
      <c r="A15" s="1037"/>
      <c r="B15" s="74" t="s">
        <v>64</v>
      </c>
      <c r="C15" s="124"/>
      <c r="D15" s="125"/>
      <c r="E15" s="124"/>
      <c r="F15" s="126"/>
      <c r="G15" s="127"/>
      <c r="H15" s="78"/>
      <c r="I15" s="79" t="str">
        <f t="shared" si="0"/>
        <v/>
      </c>
      <c r="J15" s="80"/>
      <c r="K15" s="80"/>
      <c r="L15" s="81"/>
      <c r="M15" s="82"/>
      <c r="N15" s="83">
        <f t="shared" si="1"/>
        <v>0</v>
      </c>
      <c r="O15" s="84">
        <f t="shared" si="2"/>
        <v>0</v>
      </c>
      <c r="P15" s="122"/>
      <c r="Q15" s="57"/>
      <c r="R15" s="114"/>
      <c r="S15" s="122"/>
      <c r="T15" s="86">
        <f t="shared" si="3"/>
        <v>0</v>
      </c>
      <c r="U15" s="87" t="str">
        <f t="shared" si="4"/>
        <v/>
      </c>
      <c r="V15" s="85"/>
      <c r="W15" s="58"/>
      <c r="X15" s="59"/>
      <c r="Y15" s="85"/>
      <c r="Z15" s="86">
        <f t="shared" si="5"/>
        <v>0</v>
      </c>
      <c r="AA15" s="87" t="str">
        <f t="shared" si="6"/>
        <v/>
      </c>
      <c r="AB15" s="88" t="str">
        <f t="shared" si="7"/>
        <v/>
      </c>
      <c r="AC15" s="89"/>
      <c r="AD15" s="90"/>
      <c r="AE15" s="90"/>
      <c r="AF15" s="90"/>
      <c r="AG15" s="91">
        <f t="shared" si="8"/>
        <v>0</v>
      </c>
      <c r="AH15" s="92" t="str">
        <f t="shared" si="9"/>
        <v/>
      </c>
      <c r="AJ15" s="79" t="str">
        <f t="shared" si="10"/>
        <v/>
      </c>
      <c r="AK15" s="16" t="str">
        <f t="shared" si="11"/>
        <v/>
      </c>
      <c r="AL15" s="16" t="str">
        <f t="shared" si="12"/>
        <v/>
      </c>
      <c r="AM15" s="16" t="str">
        <f t="shared" si="13"/>
        <v/>
      </c>
      <c r="AN15" s="16" t="str">
        <f t="shared" si="14"/>
        <v/>
      </c>
      <c r="AO15" s="104"/>
      <c r="AP15" s="98">
        <v>4</v>
      </c>
      <c r="AQ15" s="99"/>
      <c r="AR15" s="100">
        <f>IFERROR(AP15*AQ15*AS16,0)</f>
        <v>0</v>
      </c>
      <c r="AS15" s="55"/>
      <c r="AT15" s="85"/>
      <c r="AU15" s="58"/>
      <c r="AV15" s="59"/>
      <c r="AW15" s="93"/>
      <c r="AX15" s="94">
        <f t="shared" si="15"/>
        <v>0</v>
      </c>
      <c r="AY15" s="95" t="e">
        <f t="shared" si="16"/>
        <v>#VALUE!</v>
      </c>
    </row>
    <row r="16" spans="1:51" ht="15" customHeight="1">
      <c r="A16" s="1039"/>
      <c r="B16" s="128" t="s">
        <v>65</v>
      </c>
      <c r="C16" s="129">
        <f>MIN(C4:C15)</f>
        <v>0</v>
      </c>
      <c r="D16" s="129">
        <f>MIN(D4:D15)</f>
        <v>0</v>
      </c>
      <c r="E16" s="129">
        <f>MIN(E4:E15)</f>
        <v>0</v>
      </c>
      <c r="F16" s="130">
        <f>MIN(F4:F15)</f>
        <v>0</v>
      </c>
      <c r="G16" s="131">
        <f>MIN(G4:G15)</f>
        <v>0</v>
      </c>
      <c r="H16" s="1001"/>
      <c r="I16" s="1001"/>
      <c r="J16" s="132">
        <f>IF(J2="110 X 110",SUM(J4:J15),0)</f>
        <v>0</v>
      </c>
      <c r="K16" s="132">
        <f>IF(J2="110 X 110",SUM(K4:K15),0)</f>
        <v>0</v>
      </c>
      <c r="L16" s="132">
        <f>IF(J2="110 X 110",SUM(L4:L15),0)</f>
        <v>0</v>
      </c>
      <c r="M16" s="132">
        <f>IF(J2="110 X 110",SUM(M4:M15),0)</f>
        <v>0</v>
      </c>
      <c r="N16" s="133"/>
      <c r="O16" s="1002">
        <f>SUM(O4:O15)</f>
        <v>0</v>
      </c>
      <c r="P16" s="1001"/>
      <c r="Q16" s="1001"/>
      <c r="R16" s="1001"/>
      <c r="S16" s="1003"/>
      <c r="T16" s="1001"/>
      <c r="U16" s="1004"/>
      <c r="V16" s="1001"/>
      <c r="W16" s="1001"/>
      <c r="X16" s="1001"/>
      <c r="Y16" s="1001"/>
      <c r="Z16" s="1001"/>
      <c r="AA16" s="1005"/>
      <c r="AB16" s="1006"/>
      <c r="AC16" s="134"/>
      <c r="AD16" s="1006"/>
      <c r="AE16" s="1006"/>
      <c r="AF16" s="1006"/>
      <c r="AG16" s="135" t="s">
        <v>66</v>
      </c>
      <c r="AH16" s="136"/>
      <c r="AI16" s="54"/>
      <c r="AJ16" s="54"/>
      <c r="AK16" s="137"/>
      <c r="AL16" s="137"/>
      <c r="AM16" s="137"/>
      <c r="AN16" s="137"/>
      <c r="AO16" s="55"/>
      <c r="AP16" s="98">
        <v>3</v>
      </c>
      <c r="AQ16" s="109"/>
      <c r="AR16" s="100">
        <f>IFERROR(AP16*AQ16*AS16,0)</f>
        <v>0</v>
      </c>
      <c r="AS16" s="48">
        <f>IFERROR(AR17/((AP16*AQ16)+(AP15*AQ15)+(AP14*AQ14)+(AP13*AQ13)),0)</f>
        <v>0</v>
      </c>
      <c r="AT16" s="54"/>
      <c r="AU16" s="54"/>
      <c r="AV16" s="54"/>
      <c r="AW16" s="54"/>
      <c r="AX16" s="54"/>
      <c r="AY16" s="56"/>
    </row>
    <row r="17" spans="1:51" ht="15" customHeight="1" thickBot="1">
      <c r="A17" s="1039"/>
      <c r="B17" s="138" t="s">
        <v>67</v>
      </c>
      <c r="C17" s="139">
        <f>MAX(C4:C16)</f>
        <v>0</v>
      </c>
      <c r="D17" s="139">
        <f>MAX(D4:D16)</f>
        <v>0</v>
      </c>
      <c r="E17" s="139">
        <f>MAX(E4:E16)</f>
        <v>0</v>
      </c>
      <c r="F17" s="140">
        <f>MAX(F4:F16)</f>
        <v>0</v>
      </c>
      <c r="G17" s="141">
        <f>MAX(G4:G16)</f>
        <v>0</v>
      </c>
      <c r="H17" s="142">
        <v>130</v>
      </c>
      <c r="I17" s="143">
        <f>IF(H17=130,0.132335,IF(H17=100,0.0785,IF(H17=110,0.095,IF(H17=160,0.198005,""))))</f>
        <v>0.13233500000000001</v>
      </c>
      <c r="J17" s="144"/>
      <c r="K17" s="144"/>
      <c r="L17" s="144"/>
      <c r="M17" s="144"/>
      <c r="N17" s="145">
        <f>J17*3+K17*4+L17*5+M17*6</f>
        <v>0</v>
      </c>
      <c r="O17" s="146">
        <f>IFERROR(N17*I17,"")</f>
        <v>0</v>
      </c>
      <c r="P17" s="147">
        <f>SUMIF(H4:H15,130,P4:P15)</f>
        <v>0</v>
      </c>
      <c r="Q17" s="147">
        <f>SUMIF(H4:H15,130,Q4:Q15)</f>
        <v>0</v>
      </c>
      <c r="R17" s="147">
        <f>SUMIF(H4:H15,130,R4:R15)</f>
        <v>0</v>
      </c>
      <c r="S17" s="147">
        <f>SUMIF(H4:H15,130,S4:S15)</f>
        <v>0</v>
      </c>
      <c r="T17" s="148"/>
      <c r="U17" s="148"/>
      <c r="V17" s="147">
        <f>SUMIF(H4:H15,130,V4:V15)+IF(J2="130 X 130",SUM(J4:J15),0)</f>
        <v>0</v>
      </c>
      <c r="W17" s="147">
        <f>SUMIF(H4:H15,130,W4:W15)+IF(J2="130 X 130",SUM(K4:K15),0)</f>
        <v>0</v>
      </c>
      <c r="X17" s="147">
        <f>SUMIF(H4:H15,130,X4:X15)+IF(J2="130 X 130",SUM(L4:L15),0)</f>
        <v>0</v>
      </c>
      <c r="Y17" s="147">
        <f>SUMIF(H4:H15,130,Y4:Y15)+IF(J2="130 X 130",SUM(M4:M15),0)</f>
        <v>0</v>
      </c>
      <c r="Z17" s="149"/>
      <c r="AA17" s="149"/>
      <c r="AB17" s="150"/>
      <c r="AC17" s="151">
        <f>SUMIF(H4:H15,130,AC4:AC15)</f>
        <v>0</v>
      </c>
      <c r="AD17" s="147">
        <f>SUMIF(H4:H15,130,AD4:AD15)</f>
        <v>0</v>
      </c>
      <c r="AE17" s="147">
        <f>SUMIF(H4:H15,130,AE4:AE15)</f>
        <v>0</v>
      </c>
      <c r="AF17" s="147">
        <f>SUMIF(H4:H15,130,AF4:AF15)</f>
        <v>0</v>
      </c>
      <c r="AG17" s="152"/>
      <c r="AH17" s="153"/>
      <c r="AI17" s="54"/>
      <c r="AJ17" s="54"/>
      <c r="AK17" s="154">
        <f>SUM(AK4:AK16)</f>
        <v>0</v>
      </c>
      <c r="AL17" s="154">
        <f>SUM(AL4:AL16)</f>
        <v>0</v>
      </c>
      <c r="AM17" s="154">
        <f>SUM(AM4:AM16)</f>
        <v>0</v>
      </c>
      <c r="AN17" s="154">
        <f>SUM(AN4:AN16)</f>
        <v>0</v>
      </c>
      <c r="AO17" s="55"/>
      <c r="AP17" s="111"/>
      <c r="AQ17" s="112"/>
      <c r="AR17" s="155"/>
      <c r="AS17" s="55"/>
      <c r="AT17" s="54"/>
      <c r="AU17" s="54"/>
      <c r="AV17" s="54"/>
      <c r="AW17" s="54"/>
      <c r="AX17" s="54"/>
      <c r="AY17" s="56"/>
    </row>
    <row r="18" spans="1:51" ht="15.75" customHeight="1">
      <c r="A18" s="1141">
        <f>COUNTA(B4:B15)</f>
        <v>12</v>
      </c>
      <c r="B18" s="1142"/>
      <c r="C18" s="1142"/>
      <c r="D18" s="1142"/>
      <c r="E18" s="1142"/>
      <c r="F18" s="1142"/>
      <c r="G18" s="1142"/>
      <c r="H18" s="1143">
        <v>160</v>
      </c>
      <c r="I18" s="143">
        <f>IF(H18=130,0.132335,IF(H18=100,0.0785,IF(H18=110,0.095,IF(H18=160,0.198005,""))))</f>
        <v>0.19800499999999999</v>
      </c>
      <c r="J18" s="144"/>
      <c r="K18" s="144"/>
      <c r="L18" s="144"/>
      <c r="M18" s="144"/>
      <c r="N18" s="145">
        <f>J18*3+K18*4+L18*5+M18*6</f>
        <v>0</v>
      </c>
      <c r="O18" s="146">
        <f>(IFERROR(N18*I18,""))+O17</f>
        <v>0</v>
      </c>
      <c r="P18" s="156">
        <f>SUMIF(H4:H15,160,P4:P15)</f>
        <v>0</v>
      </c>
      <c r="Q18" s="156">
        <f>SUMIF(H4:H15,160,Q4:Q15)</f>
        <v>0</v>
      </c>
      <c r="R18" s="156">
        <f>SUMIF(H4:H15,160,R4:R15)</f>
        <v>0</v>
      </c>
      <c r="S18" s="156">
        <f>SUMIF(H4:H15,160,S4:S15)</f>
        <v>0</v>
      </c>
      <c r="T18" s="1144">
        <f>'Daily Stock'!I33</f>
        <v>0</v>
      </c>
      <c r="U18" s="1145">
        <f>SUM(U4:U17)</f>
        <v>0</v>
      </c>
      <c r="V18" s="156">
        <f>SUMIF(H4:H15,160,V4:V15)+IF(J2="160 X 160",SUM(J4:J15),0)</f>
        <v>0</v>
      </c>
      <c r="W18" s="156">
        <f>SUMIF(H4:H15,160,W4:W15)+IF(J2="160 X 160",SUM(K4:K15),0)</f>
        <v>0</v>
      </c>
      <c r="X18" s="156">
        <f>SUMIF(H4:H15,160,X4:X15)+IF(J2="160 X 160",SUM(L4:L15),0)</f>
        <v>0</v>
      </c>
      <c r="Y18" s="156">
        <f>SUMIF(H4:H15,160,Y4:Y15)+IF(J2="160 X 160",SUM(M4:M15),0)</f>
        <v>0</v>
      </c>
      <c r="Z18" s="1146"/>
      <c r="AA18" s="1147">
        <f>SUM(AA4:AA17)</f>
        <v>0</v>
      </c>
      <c r="AB18" s="1148">
        <f>SUM(AB4:AB17)</f>
        <v>0</v>
      </c>
      <c r="AC18" s="1149">
        <f>SUMIF(H4:H15,160,AC4:AC15)</f>
        <v>0</v>
      </c>
      <c r="AD18" s="156">
        <f>SUMIF(H4:H15,160,AD4:AD15)</f>
        <v>0</v>
      </c>
      <c r="AE18" s="156">
        <f>SUMIF(H4:H15,160,AE4:AE15)</f>
        <v>0</v>
      </c>
      <c r="AF18" s="156">
        <f>SUMIF(H4:H15,160,AF4:AF15)</f>
        <v>0</v>
      </c>
      <c r="AG18" s="1150"/>
      <c r="AH18" s="1151">
        <f>SUM(AH4:AH17)</f>
        <v>0</v>
      </c>
      <c r="AI18" s="54"/>
      <c r="AJ18" s="54"/>
      <c r="AK18" s="55"/>
      <c r="AL18" s="55"/>
      <c r="AM18" s="55"/>
      <c r="AN18" s="55"/>
      <c r="AO18" s="55"/>
      <c r="AP18" s="55"/>
      <c r="AQ18" s="55"/>
      <c r="AR18" s="157">
        <f>AR9+AR17</f>
        <v>0</v>
      </c>
      <c r="AS18" s="55"/>
      <c r="AT18" s="54"/>
      <c r="AU18" s="54"/>
      <c r="AV18" s="54"/>
      <c r="AW18" s="54"/>
      <c r="AX18" s="54"/>
      <c r="AY18" s="56"/>
    </row>
    <row r="19" spans="1:51" ht="19.5" customHeight="1" thickBot="1">
      <c r="A19" s="1162"/>
      <c r="B19" s="1163"/>
      <c r="C19" s="1163"/>
      <c r="D19" s="1163"/>
      <c r="E19" s="1163"/>
      <c r="F19" s="1163"/>
      <c r="G19" s="1163"/>
      <c r="H19" s="1163"/>
      <c r="I19" s="1163"/>
      <c r="J19" s="1163"/>
      <c r="K19" s="1163"/>
      <c r="L19" s="1163"/>
      <c r="M19" s="1162"/>
      <c r="N19" s="1163"/>
      <c r="O19" s="1163"/>
      <c r="P19" s="1163"/>
      <c r="Q19" s="1163"/>
      <c r="R19" s="1163"/>
      <c r="S19" s="1163"/>
      <c r="T19" s="1163"/>
      <c r="U19" s="1163"/>
      <c r="V19" s="1163"/>
      <c r="W19" s="1163"/>
      <c r="X19" s="1163"/>
      <c r="Y19" s="1163"/>
      <c r="Z19" s="1163"/>
      <c r="AA19" s="1163"/>
      <c r="AB19" s="1163"/>
      <c r="AC19" s="1163"/>
      <c r="AD19" s="1163"/>
      <c r="AE19" s="1163"/>
      <c r="AF19" s="1163"/>
      <c r="AG19" s="1164"/>
      <c r="AH19" s="1164"/>
      <c r="AI19" s="54"/>
      <c r="AJ19" s="54"/>
      <c r="AK19" s="55"/>
      <c r="AL19" s="55"/>
      <c r="AM19" s="55"/>
      <c r="AN19" s="55"/>
      <c r="AO19" s="55"/>
      <c r="AP19" s="55"/>
      <c r="AQ19" s="55"/>
      <c r="AR19" s="55"/>
      <c r="AS19" s="55"/>
      <c r="AT19" s="54"/>
      <c r="AU19" s="54"/>
      <c r="AV19" s="54"/>
      <c r="AW19" s="54"/>
      <c r="AX19" s="54"/>
      <c r="AY19" s="56"/>
    </row>
    <row r="20" spans="1:51" ht="14.25" customHeight="1" thickBot="1">
      <c r="A20" s="1252"/>
      <c r="B20" s="1253"/>
      <c r="C20" s="1254"/>
      <c r="D20" s="1254"/>
      <c r="E20" s="1254"/>
      <c r="F20" s="1254"/>
      <c r="G20" s="1254"/>
      <c r="H20" s="1253"/>
      <c r="I20" s="1254"/>
      <c r="J20" s="1253"/>
      <c r="K20" s="1253"/>
      <c r="L20" s="1253"/>
      <c r="M20" s="1253"/>
      <c r="N20" s="1255"/>
      <c r="O20" s="1258"/>
      <c r="P20" s="1254"/>
      <c r="Q20" s="1254"/>
      <c r="R20" s="1254"/>
      <c r="S20" s="1254"/>
      <c r="T20" s="1259"/>
      <c r="U20" s="1258"/>
      <c r="V20" s="1254"/>
      <c r="W20" s="1254"/>
      <c r="X20" s="1254"/>
      <c r="Y20" s="1254"/>
      <c r="Z20" s="1259"/>
      <c r="AA20" s="1258"/>
      <c r="AB20" s="1258"/>
      <c r="AC20" s="1260"/>
      <c r="AD20" s="1260"/>
      <c r="AE20" s="1260"/>
      <c r="AF20" s="1260"/>
      <c r="AG20" s="1259"/>
      <c r="AH20" s="1258"/>
      <c r="AI20" s="54"/>
      <c r="AJ20" s="54"/>
      <c r="AK20" s="1262" t="s">
        <v>37</v>
      </c>
      <c r="AL20" s="1262"/>
      <c r="AM20" s="1262"/>
      <c r="AN20" s="1262"/>
      <c r="AO20" s="55"/>
      <c r="AP20" s="1250" t="s">
        <v>7</v>
      </c>
      <c r="AQ20" s="1250"/>
      <c r="AR20" s="1250"/>
      <c r="AS20" s="55"/>
      <c r="AT20" s="1261" t="s">
        <v>38</v>
      </c>
      <c r="AU20" s="1261"/>
      <c r="AV20" s="1261"/>
      <c r="AW20" s="1261"/>
      <c r="AX20" s="61" t="s">
        <v>39</v>
      </c>
      <c r="AY20" s="62" t="s">
        <v>12</v>
      </c>
    </row>
    <row r="21" spans="1:51" ht="18" customHeight="1" thickBot="1">
      <c r="A21" s="1252"/>
      <c r="B21" s="1252"/>
      <c r="C21" s="186"/>
      <c r="D21" s="186"/>
      <c r="E21" s="186"/>
      <c r="F21" s="186"/>
      <c r="G21" s="186"/>
      <c r="H21" s="1253"/>
      <c r="I21" s="1254"/>
      <c r="J21" s="185"/>
      <c r="K21" s="185"/>
      <c r="L21" s="185"/>
      <c r="M21" s="185"/>
      <c r="N21" s="1255"/>
      <c r="O21" s="1258"/>
      <c r="P21" s="186"/>
      <c r="Q21" s="185"/>
      <c r="R21" s="1008"/>
      <c r="S21" s="185"/>
      <c r="T21" s="1259"/>
      <c r="U21" s="1259"/>
      <c r="V21" s="186"/>
      <c r="W21" s="185"/>
      <c r="X21" s="1008"/>
      <c r="Y21" s="185"/>
      <c r="Z21" s="1259"/>
      <c r="AA21" s="1259"/>
      <c r="AB21" s="1258"/>
      <c r="AC21" s="186"/>
      <c r="AD21" s="185"/>
      <c r="AE21" s="1008"/>
      <c r="AF21" s="185"/>
      <c r="AG21" s="1259"/>
      <c r="AH21" s="1258"/>
      <c r="AI21" s="54"/>
      <c r="AJ21" s="54"/>
      <c r="AK21" s="72" t="s">
        <v>49</v>
      </c>
      <c r="AL21" s="72" t="s">
        <v>50</v>
      </c>
      <c r="AM21" s="72" t="s">
        <v>51</v>
      </c>
      <c r="AN21" s="72" t="s">
        <v>52</v>
      </c>
      <c r="AO21" s="73">
        <v>130</v>
      </c>
      <c r="AP21" s="1250"/>
      <c r="AQ21" s="1250"/>
      <c r="AR21" s="1250"/>
      <c r="AS21" s="55"/>
      <c r="AT21" s="65" t="s">
        <v>45</v>
      </c>
      <c r="AU21" s="58" t="s">
        <v>46</v>
      </c>
      <c r="AV21" s="68" t="s">
        <v>47</v>
      </c>
      <c r="AW21" s="60" t="s">
        <v>48</v>
      </c>
      <c r="AX21" s="61"/>
      <c r="AY21" s="62"/>
    </row>
    <row r="22" spans="1:51" ht="15" customHeight="1" thickBot="1">
      <c r="A22" s="1009"/>
      <c r="B22" s="1010"/>
      <c r="C22" s="1011"/>
      <c r="D22" s="1011"/>
      <c r="E22" s="1011"/>
      <c r="F22" s="1012"/>
      <c r="G22" s="1012"/>
      <c r="H22" s="184"/>
      <c r="I22" s="190"/>
      <c r="J22" s="1001"/>
      <c r="K22" s="1001"/>
      <c r="L22" s="186"/>
      <c r="M22" s="1001"/>
      <c r="N22" s="1013"/>
      <c r="O22" s="192"/>
      <c r="P22" s="1014"/>
      <c r="Q22" s="1014"/>
      <c r="R22" s="1001"/>
      <c r="S22" s="1014"/>
      <c r="T22" s="1013"/>
      <c r="U22" s="1015"/>
      <c r="V22" s="1014"/>
      <c r="W22" s="1014"/>
      <c r="X22" s="1001"/>
      <c r="Y22" s="1014"/>
      <c r="Z22" s="1013"/>
      <c r="AA22" s="1015"/>
      <c r="AB22" s="1015"/>
      <c r="AC22" s="194"/>
      <c r="AD22" s="194"/>
      <c r="AE22" s="194"/>
      <c r="AF22" s="194"/>
      <c r="AG22" s="1013"/>
      <c r="AH22" s="1015"/>
      <c r="AJ22" s="79" t="str">
        <f t="shared" ref="AJ22:AJ33" si="17">IF(H22=130,0.132335,IF(H22=100,0.0785,IF(H22=110,0.095,IF(H22=160,0.198005,""))))</f>
        <v/>
      </c>
      <c r="AK22" s="16" t="str">
        <f t="shared" ref="AK22:AK33" si="18">IFERROR(P22*3*AJ22,"")</f>
        <v/>
      </c>
      <c r="AL22" s="16" t="str">
        <f t="shared" ref="AL22:AL33" si="19">IFERROR(Q22*4*AJ22,"")</f>
        <v/>
      </c>
      <c r="AM22" s="16" t="str">
        <f t="shared" ref="AM22:AM33" si="20">IFERROR(R22*5*AJ22,"")</f>
        <v/>
      </c>
      <c r="AN22" s="16" t="str">
        <f t="shared" ref="AN22:AN33" si="21">IFERROR(S22*6*AJ22,"")</f>
        <v/>
      </c>
      <c r="AO22" s="55"/>
      <c r="AP22" s="1250"/>
      <c r="AQ22" s="1250"/>
      <c r="AR22" s="1250"/>
      <c r="AS22" s="55"/>
      <c r="AT22" s="85"/>
      <c r="AU22" s="85"/>
      <c r="AV22" s="59"/>
      <c r="AW22" s="85"/>
      <c r="AX22" s="94">
        <f t="shared" ref="AX22:AX33" si="22">AT22*3+AU22*4+AV22*5+AW22*6</f>
        <v>0</v>
      </c>
      <c r="AY22" s="95">
        <f t="shared" ref="AY22:AY33" si="23">AX22*I22</f>
        <v>0</v>
      </c>
    </row>
    <row r="23" spans="1:51" ht="15" customHeight="1">
      <c r="A23" s="1001"/>
      <c r="B23" s="1010"/>
      <c r="C23" s="1011"/>
      <c r="D23" s="1011"/>
      <c r="E23" s="1011"/>
      <c r="F23" s="1012"/>
      <c r="G23" s="1012"/>
      <c r="H23" s="184"/>
      <c r="I23" s="190"/>
      <c r="J23" s="1001"/>
      <c r="K23" s="1001"/>
      <c r="L23" s="186"/>
      <c r="M23" s="1001"/>
      <c r="N23" s="1013"/>
      <c r="O23" s="192"/>
      <c r="P23" s="1014"/>
      <c r="Q23" s="1014"/>
      <c r="R23" s="1001"/>
      <c r="S23" s="1014"/>
      <c r="T23" s="1013"/>
      <c r="U23" s="1015"/>
      <c r="V23" s="1014"/>
      <c r="W23" s="1014"/>
      <c r="X23" s="186"/>
      <c r="Y23" s="1014"/>
      <c r="Z23" s="1013"/>
      <c r="AA23" s="1015"/>
      <c r="AB23" s="1015"/>
      <c r="AC23" s="194"/>
      <c r="AD23" s="194"/>
      <c r="AE23" s="194"/>
      <c r="AF23" s="194"/>
      <c r="AG23" s="1013"/>
      <c r="AH23" s="1015"/>
      <c r="AJ23" s="79" t="str">
        <f t="shared" si="17"/>
        <v/>
      </c>
      <c r="AK23" s="16" t="str">
        <f t="shared" si="18"/>
        <v/>
      </c>
      <c r="AL23" s="16" t="str">
        <f t="shared" si="19"/>
        <v/>
      </c>
      <c r="AM23" s="16" t="str">
        <f t="shared" si="20"/>
        <v/>
      </c>
      <c r="AN23" s="16" t="str">
        <f t="shared" si="21"/>
        <v/>
      </c>
      <c r="AO23" s="55"/>
      <c r="AP23" s="98">
        <v>6</v>
      </c>
      <c r="AQ23" s="99"/>
      <c r="AR23" s="100">
        <f>IFERROR(AP23*AQ23*AS26,0)</f>
        <v>0</v>
      </c>
      <c r="AS23" s="55"/>
      <c r="AT23" s="85"/>
      <c r="AU23" s="85"/>
      <c r="AV23" s="65"/>
      <c r="AW23" s="85"/>
      <c r="AX23" s="94">
        <f t="shared" si="22"/>
        <v>0</v>
      </c>
      <c r="AY23" s="95">
        <f t="shared" si="23"/>
        <v>0</v>
      </c>
    </row>
    <row r="24" spans="1:51" ht="15" customHeight="1">
      <c r="A24" s="1001"/>
      <c r="B24" s="1010"/>
      <c r="C24" s="1016"/>
      <c r="D24" s="1016"/>
      <c r="E24" s="1016"/>
      <c r="F24" s="1017"/>
      <c r="G24" s="1017"/>
      <c r="H24" s="184"/>
      <c r="I24" s="190"/>
      <c r="J24" s="1001"/>
      <c r="K24" s="1001"/>
      <c r="L24" s="186"/>
      <c r="M24" s="1001"/>
      <c r="N24" s="1013"/>
      <c r="O24" s="192"/>
      <c r="P24" s="1014"/>
      <c r="Q24" s="1014"/>
      <c r="R24" s="1001"/>
      <c r="S24" s="1014"/>
      <c r="T24" s="1013"/>
      <c r="U24" s="1015"/>
      <c r="V24" s="1014"/>
      <c r="W24" s="1014"/>
      <c r="X24" s="1001"/>
      <c r="Y24" s="1014"/>
      <c r="Z24" s="1013"/>
      <c r="AA24" s="1015"/>
      <c r="AB24" s="1015"/>
      <c r="AC24" s="194"/>
      <c r="AD24" s="194"/>
      <c r="AE24" s="194"/>
      <c r="AF24" s="194"/>
      <c r="AG24" s="1013"/>
      <c r="AH24" s="1015"/>
      <c r="AJ24" s="79" t="str">
        <f t="shared" si="17"/>
        <v/>
      </c>
      <c r="AK24" s="16" t="str">
        <f t="shared" si="18"/>
        <v/>
      </c>
      <c r="AL24" s="16" t="str">
        <f t="shared" si="19"/>
        <v/>
      </c>
      <c r="AM24" s="16" t="str">
        <f t="shared" si="20"/>
        <v/>
      </c>
      <c r="AN24" s="16" t="str">
        <f t="shared" si="21"/>
        <v/>
      </c>
      <c r="AO24" s="55"/>
      <c r="AP24" s="98">
        <v>5</v>
      </c>
      <c r="AQ24" s="99"/>
      <c r="AR24" s="100">
        <f>IFERROR(AP24*AQ24*AS26,0)</f>
        <v>0</v>
      </c>
      <c r="AS24" s="104"/>
      <c r="AT24" s="85"/>
      <c r="AU24" s="85"/>
      <c r="AV24" s="59"/>
      <c r="AW24" s="85"/>
      <c r="AX24" s="94">
        <f t="shared" si="22"/>
        <v>0</v>
      </c>
      <c r="AY24" s="95">
        <f t="shared" si="23"/>
        <v>0</v>
      </c>
    </row>
    <row r="25" spans="1:51" ht="15" customHeight="1">
      <c r="A25" s="1001"/>
      <c r="B25" s="1010"/>
      <c r="C25" s="1011"/>
      <c r="D25" s="1011"/>
      <c r="E25" s="1011"/>
      <c r="F25" s="1012"/>
      <c r="G25" s="1012"/>
      <c r="H25" s="184"/>
      <c r="I25" s="190"/>
      <c r="J25" s="1001"/>
      <c r="K25" s="1001"/>
      <c r="L25" s="186"/>
      <c r="M25" s="1001"/>
      <c r="N25" s="1013"/>
      <c r="O25" s="192"/>
      <c r="P25" s="1014"/>
      <c r="Q25" s="1014"/>
      <c r="R25" s="1001"/>
      <c r="S25" s="1014"/>
      <c r="T25" s="1013"/>
      <c r="U25" s="1015"/>
      <c r="V25" s="1014"/>
      <c r="W25" s="1014"/>
      <c r="X25" s="1001"/>
      <c r="Y25" s="1014"/>
      <c r="Z25" s="1013"/>
      <c r="AA25" s="1015"/>
      <c r="AB25" s="1015"/>
      <c r="AC25" s="194"/>
      <c r="AD25" s="194"/>
      <c r="AE25" s="194"/>
      <c r="AF25" s="194"/>
      <c r="AG25" s="1013"/>
      <c r="AH25" s="1015"/>
      <c r="AJ25" s="79" t="str">
        <f t="shared" si="17"/>
        <v/>
      </c>
      <c r="AK25" s="16" t="str">
        <f t="shared" si="18"/>
        <v/>
      </c>
      <c r="AL25" s="16" t="str">
        <f t="shared" si="19"/>
        <v/>
      </c>
      <c r="AM25" s="16" t="str">
        <f t="shared" si="20"/>
        <v/>
      </c>
      <c r="AN25" s="16" t="str">
        <f t="shared" si="21"/>
        <v/>
      </c>
      <c r="AO25" s="55"/>
      <c r="AP25" s="98">
        <v>4</v>
      </c>
      <c r="AQ25" s="99"/>
      <c r="AR25" s="100">
        <f>IFERROR(AP25*AQ25*AS26,0)</f>
        <v>0</v>
      </c>
      <c r="AS25" s="104"/>
      <c r="AT25" s="85"/>
      <c r="AU25" s="85"/>
      <c r="AV25" s="59"/>
      <c r="AW25" s="85"/>
      <c r="AX25" s="94">
        <f t="shared" si="22"/>
        <v>0</v>
      </c>
      <c r="AY25" s="95">
        <f t="shared" si="23"/>
        <v>0</v>
      </c>
    </row>
    <row r="26" spans="1:51" ht="15" customHeight="1">
      <c r="A26" s="1001"/>
      <c r="B26" s="1010"/>
      <c r="C26" s="1011"/>
      <c r="D26" s="188"/>
      <c r="E26" s="1011"/>
      <c r="F26" s="1012"/>
      <c r="G26" s="1012"/>
      <c r="H26" s="184"/>
      <c r="I26" s="190"/>
      <c r="J26" s="1001"/>
      <c r="K26" s="1001"/>
      <c r="L26" s="186"/>
      <c r="M26" s="1001"/>
      <c r="N26" s="1013"/>
      <c r="O26" s="192"/>
      <c r="P26" s="1014"/>
      <c r="Q26" s="1014"/>
      <c r="R26" s="1001"/>
      <c r="S26" s="1014"/>
      <c r="T26" s="1013"/>
      <c r="U26" s="1015"/>
      <c r="V26" s="1014"/>
      <c r="W26" s="1014"/>
      <c r="X26" s="1001"/>
      <c r="Y26" s="1014"/>
      <c r="Z26" s="1013"/>
      <c r="AA26" s="1015"/>
      <c r="AB26" s="1015"/>
      <c r="AC26" s="194"/>
      <c r="AD26" s="194"/>
      <c r="AE26" s="194"/>
      <c r="AF26" s="194"/>
      <c r="AG26" s="1013"/>
      <c r="AH26" s="1015"/>
      <c r="AJ26" s="79" t="str">
        <f t="shared" si="17"/>
        <v/>
      </c>
      <c r="AK26" s="16" t="str">
        <f t="shared" si="18"/>
        <v/>
      </c>
      <c r="AL26" s="16" t="str">
        <f t="shared" si="19"/>
        <v/>
      </c>
      <c r="AM26" s="16" t="str">
        <f t="shared" si="20"/>
        <v/>
      </c>
      <c r="AN26" s="16" t="str">
        <f t="shared" si="21"/>
        <v/>
      </c>
      <c r="AO26" s="55"/>
      <c r="AP26" s="98">
        <v>3</v>
      </c>
      <c r="AQ26" s="109"/>
      <c r="AR26" s="100">
        <f>IFERROR(AP26*AQ26*AS26,0)</f>
        <v>0</v>
      </c>
      <c r="AS26" s="48">
        <f>IFERROR(AR27/((AP26*AQ26)+(AP25*AQ25)+(AP24*AQ24)+(AP23*AQ23)),0)</f>
        <v>0</v>
      </c>
      <c r="AT26" s="85"/>
      <c r="AU26" s="85"/>
      <c r="AV26" s="59"/>
      <c r="AW26" s="85"/>
      <c r="AX26" s="94">
        <f t="shared" si="22"/>
        <v>0</v>
      </c>
      <c r="AY26" s="95">
        <f t="shared" si="23"/>
        <v>0</v>
      </c>
    </row>
    <row r="27" spans="1:51" ht="14.25" customHeight="1" thickBot="1">
      <c r="A27" s="1001"/>
      <c r="B27" s="1010"/>
      <c r="C27" s="1011"/>
      <c r="D27" s="1011"/>
      <c r="E27" s="1011"/>
      <c r="F27" s="1012"/>
      <c r="G27" s="1012"/>
      <c r="H27" s="184"/>
      <c r="I27" s="190"/>
      <c r="J27" s="1001"/>
      <c r="K27" s="1001"/>
      <c r="L27" s="186"/>
      <c r="M27" s="1001"/>
      <c r="N27" s="1013"/>
      <c r="O27" s="192"/>
      <c r="P27" s="185"/>
      <c r="Q27" s="1014"/>
      <c r="R27" s="1001"/>
      <c r="S27" s="1014"/>
      <c r="T27" s="1013"/>
      <c r="U27" s="1015"/>
      <c r="V27" s="185"/>
      <c r="W27" s="1014"/>
      <c r="X27" s="1001"/>
      <c r="Y27" s="1014"/>
      <c r="Z27" s="1013"/>
      <c r="AA27" s="1015"/>
      <c r="AB27" s="1015"/>
      <c r="AC27" s="194"/>
      <c r="AD27" s="194"/>
      <c r="AE27" s="194"/>
      <c r="AF27" s="194"/>
      <c r="AG27" s="1013"/>
      <c r="AH27" s="1015"/>
      <c r="AJ27" s="79" t="str">
        <f t="shared" si="17"/>
        <v/>
      </c>
      <c r="AK27" s="16" t="str">
        <f t="shared" si="18"/>
        <v/>
      </c>
      <c r="AL27" s="16" t="str">
        <f t="shared" si="19"/>
        <v/>
      </c>
      <c r="AM27" s="16" t="str">
        <f t="shared" si="20"/>
        <v/>
      </c>
      <c r="AN27" s="16" t="str">
        <f t="shared" si="21"/>
        <v/>
      </c>
      <c r="AO27" s="55"/>
      <c r="AP27" s="111"/>
      <c r="AQ27" s="112"/>
      <c r="AR27" s="113"/>
      <c r="AS27" s="104"/>
      <c r="AT27" s="58"/>
      <c r="AU27" s="85"/>
      <c r="AV27" s="59"/>
      <c r="AW27" s="85"/>
      <c r="AX27" s="94">
        <f t="shared" si="22"/>
        <v>0</v>
      </c>
      <c r="AY27" s="95">
        <f t="shared" si="23"/>
        <v>0</v>
      </c>
    </row>
    <row r="28" spans="1:51" ht="14.25" customHeight="1" thickBot="1">
      <c r="A28" s="1001"/>
      <c r="B28" s="1010"/>
      <c r="C28" s="1011"/>
      <c r="D28" s="1011"/>
      <c r="E28" s="1011"/>
      <c r="F28" s="1012"/>
      <c r="G28" s="1012"/>
      <c r="H28" s="184"/>
      <c r="I28" s="190"/>
      <c r="J28" s="1001"/>
      <c r="K28" s="1001"/>
      <c r="L28" s="186"/>
      <c r="M28" s="1001"/>
      <c r="N28" s="1013"/>
      <c r="O28" s="192"/>
      <c r="P28" s="1014"/>
      <c r="Q28" s="1014"/>
      <c r="R28" s="1001"/>
      <c r="S28" s="1014"/>
      <c r="T28" s="1013"/>
      <c r="U28" s="1015"/>
      <c r="V28" s="1014"/>
      <c r="W28" s="1014"/>
      <c r="X28" s="1001"/>
      <c r="Y28" s="1014"/>
      <c r="Z28" s="1013"/>
      <c r="AA28" s="1015"/>
      <c r="AB28" s="1015"/>
      <c r="AC28" s="194"/>
      <c r="AD28" s="194"/>
      <c r="AE28" s="194"/>
      <c r="AF28" s="194"/>
      <c r="AG28" s="1013"/>
      <c r="AH28" s="1015"/>
      <c r="AJ28" s="79" t="str">
        <f t="shared" si="17"/>
        <v/>
      </c>
      <c r="AK28" s="16" t="str">
        <f t="shared" si="18"/>
        <v/>
      </c>
      <c r="AL28" s="16" t="str">
        <f t="shared" si="19"/>
        <v/>
      </c>
      <c r="AM28" s="16" t="str">
        <f t="shared" si="20"/>
        <v/>
      </c>
      <c r="AN28" s="16" t="str">
        <f t="shared" si="21"/>
        <v/>
      </c>
      <c r="AO28" s="55"/>
      <c r="AP28" s="1250" t="s">
        <v>7</v>
      </c>
      <c r="AQ28" s="1250"/>
      <c r="AR28" s="1250"/>
      <c r="AS28" s="104"/>
      <c r="AT28" s="85"/>
      <c r="AU28" s="85"/>
      <c r="AV28" s="59"/>
      <c r="AW28" s="85"/>
      <c r="AX28" s="94">
        <f t="shared" si="22"/>
        <v>0</v>
      </c>
      <c r="AY28" s="95">
        <f t="shared" si="23"/>
        <v>0</v>
      </c>
    </row>
    <row r="29" spans="1:51" ht="15" customHeight="1" thickBot="1">
      <c r="A29" s="1001"/>
      <c r="B29" s="1010"/>
      <c r="C29" s="1011"/>
      <c r="D29" s="1011"/>
      <c r="E29" s="1011"/>
      <c r="F29" s="1012"/>
      <c r="G29" s="1012"/>
      <c r="H29" s="184"/>
      <c r="I29" s="190"/>
      <c r="J29" s="1001"/>
      <c r="K29" s="1001"/>
      <c r="L29" s="186"/>
      <c r="M29" s="1001"/>
      <c r="N29" s="1013"/>
      <c r="O29" s="192"/>
      <c r="P29" s="1014"/>
      <c r="Q29" s="1014"/>
      <c r="R29" s="1001"/>
      <c r="S29" s="1014"/>
      <c r="T29" s="1013"/>
      <c r="U29" s="1015"/>
      <c r="V29" s="1014"/>
      <c r="W29" s="185"/>
      <c r="X29" s="1001"/>
      <c r="Y29" s="1014"/>
      <c r="Z29" s="1013"/>
      <c r="AA29" s="1015"/>
      <c r="AB29" s="1015"/>
      <c r="AC29" s="194"/>
      <c r="AD29" s="194"/>
      <c r="AE29" s="194"/>
      <c r="AF29" s="194"/>
      <c r="AG29" s="1013"/>
      <c r="AH29" s="1015"/>
      <c r="AJ29" s="79" t="str">
        <f t="shared" si="17"/>
        <v/>
      </c>
      <c r="AK29" s="16" t="str">
        <f t="shared" si="18"/>
        <v/>
      </c>
      <c r="AL29" s="16" t="str">
        <f t="shared" si="19"/>
        <v/>
      </c>
      <c r="AM29" s="16" t="str">
        <f t="shared" si="20"/>
        <v/>
      </c>
      <c r="AN29" s="16" t="str">
        <f t="shared" si="21"/>
        <v/>
      </c>
      <c r="AO29" s="73">
        <v>160</v>
      </c>
      <c r="AP29" s="1250"/>
      <c r="AQ29" s="1250"/>
      <c r="AR29" s="1250"/>
      <c r="AS29" s="55"/>
      <c r="AT29" s="85"/>
      <c r="AU29" s="58"/>
      <c r="AV29" s="59"/>
      <c r="AW29" s="85"/>
      <c r="AX29" s="94">
        <f t="shared" si="22"/>
        <v>0</v>
      </c>
      <c r="AY29" s="95">
        <f t="shared" si="23"/>
        <v>0</v>
      </c>
    </row>
    <row r="30" spans="1:51" ht="15" customHeight="1" thickBot="1">
      <c r="A30" s="1001"/>
      <c r="B30" s="1010"/>
      <c r="C30" s="1011"/>
      <c r="D30" s="1011"/>
      <c r="E30" s="1011"/>
      <c r="F30" s="1012"/>
      <c r="G30" s="1012"/>
      <c r="H30" s="184"/>
      <c r="I30" s="190"/>
      <c r="J30" s="1001"/>
      <c r="K30" s="1001"/>
      <c r="L30" s="186"/>
      <c r="M30" s="1001"/>
      <c r="N30" s="1013"/>
      <c r="O30" s="192"/>
      <c r="P30" s="1014"/>
      <c r="Q30" s="185"/>
      <c r="R30" s="1018"/>
      <c r="S30" s="1014"/>
      <c r="T30" s="1013"/>
      <c r="U30" s="1015"/>
      <c r="V30" s="1014"/>
      <c r="W30" s="185"/>
      <c r="X30" s="1001"/>
      <c r="Y30" s="1014"/>
      <c r="Z30" s="1013"/>
      <c r="AA30" s="1015"/>
      <c r="AB30" s="1015"/>
      <c r="AC30" s="194"/>
      <c r="AD30" s="194"/>
      <c r="AE30" s="194"/>
      <c r="AF30" s="194"/>
      <c r="AG30" s="1013"/>
      <c r="AH30" s="1015"/>
      <c r="AJ30" s="79" t="str">
        <f t="shared" si="17"/>
        <v/>
      </c>
      <c r="AK30" s="16" t="str">
        <f t="shared" si="18"/>
        <v/>
      </c>
      <c r="AL30" s="16" t="str">
        <f t="shared" si="19"/>
        <v/>
      </c>
      <c r="AM30" s="16" t="str">
        <f t="shared" si="20"/>
        <v/>
      </c>
      <c r="AN30" s="16" t="str">
        <f t="shared" si="21"/>
        <v/>
      </c>
      <c r="AO30" s="55"/>
      <c r="AP30" s="1250"/>
      <c r="AQ30" s="1250"/>
      <c r="AR30" s="1250"/>
      <c r="AS30" s="55"/>
      <c r="AT30" s="85"/>
      <c r="AU30" s="58"/>
      <c r="AV30" s="59"/>
      <c r="AW30" s="85"/>
      <c r="AX30" s="94">
        <f t="shared" si="22"/>
        <v>0</v>
      </c>
      <c r="AY30" s="95">
        <f t="shared" si="23"/>
        <v>0</v>
      </c>
    </row>
    <row r="31" spans="1:51" ht="16.5" customHeight="1">
      <c r="A31" s="1001"/>
      <c r="B31" s="1010"/>
      <c r="C31" s="1011"/>
      <c r="D31" s="1011"/>
      <c r="E31" s="1011"/>
      <c r="F31" s="1012"/>
      <c r="G31" s="1012"/>
      <c r="H31" s="184"/>
      <c r="I31" s="190"/>
      <c r="J31" s="1001"/>
      <c r="K31" s="1001"/>
      <c r="L31" s="186"/>
      <c r="M31" s="1001"/>
      <c r="N31" s="1013"/>
      <c r="O31" s="192"/>
      <c r="P31" s="1014"/>
      <c r="Q31" s="185"/>
      <c r="R31" s="1014"/>
      <c r="S31" s="1014"/>
      <c r="T31" s="1013"/>
      <c r="U31" s="1015"/>
      <c r="V31" s="1014"/>
      <c r="W31" s="185"/>
      <c r="X31" s="1001"/>
      <c r="Y31" s="1014"/>
      <c r="Z31" s="1013"/>
      <c r="AA31" s="1015"/>
      <c r="AB31" s="1015"/>
      <c r="AC31" s="194"/>
      <c r="AD31" s="194"/>
      <c r="AE31" s="194"/>
      <c r="AF31" s="194"/>
      <c r="AG31" s="1013"/>
      <c r="AH31" s="1015"/>
      <c r="AJ31" s="79" t="str">
        <f t="shared" si="17"/>
        <v/>
      </c>
      <c r="AK31" s="16" t="str">
        <f t="shared" si="18"/>
        <v/>
      </c>
      <c r="AL31" s="16" t="str">
        <f t="shared" si="19"/>
        <v/>
      </c>
      <c r="AM31" s="16" t="str">
        <f t="shared" si="20"/>
        <v/>
      </c>
      <c r="AN31" s="16" t="str">
        <f t="shared" si="21"/>
        <v/>
      </c>
      <c r="AO31" s="55"/>
      <c r="AP31" s="117">
        <v>6</v>
      </c>
      <c r="AQ31" s="118"/>
      <c r="AR31" s="100">
        <f>IFERROR(AP31*AQ31*AS34,0)</f>
        <v>0</v>
      </c>
      <c r="AS31" s="55"/>
      <c r="AT31" s="85"/>
      <c r="AU31" s="58"/>
      <c r="AV31" s="59"/>
      <c r="AW31" s="116"/>
      <c r="AX31" s="94">
        <f t="shared" si="22"/>
        <v>0</v>
      </c>
      <c r="AY31" s="95">
        <f t="shared" si="23"/>
        <v>0</v>
      </c>
    </row>
    <row r="32" spans="1:51" ht="16.5" customHeight="1">
      <c r="A32" s="1001"/>
      <c r="B32" s="1010"/>
      <c r="C32" s="1011"/>
      <c r="D32" s="1011"/>
      <c r="E32" s="1011"/>
      <c r="F32" s="1012"/>
      <c r="G32" s="1012"/>
      <c r="H32" s="184"/>
      <c r="I32" s="190"/>
      <c r="J32" s="1001"/>
      <c r="K32" s="1001"/>
      <c r="L32" s="186"/>
      <c r="M32" s="1001"/>
      <c r="N32" s="1013"/>
      <c r="O32" s="192"/>
      <c r="P32" s="1014"/>
      <c r="Q32" s="184"/>
      <c r="R32" s="1018"/>
      <c r="S32" s="1019"/>
      <c r="T32" s="1013"/>
      <c r="U32" s="1015"/>
      <c r="V32" s="1014"/>
      <c r="W32" s="185"/>
      <c r="X32" s="1001"/>
      <c r="Y32" s="1014"/>
      <c r="Z32" s="1013"/>
      <c r="AA32" s="1015"/>
      <c r="AB32" s="1015"/>
      <c r="AC32" s="194"/>
      <c r="AD32" s="194"/>
      <c r="AE32" s="194"/>
      <c r="AF32" s="194"/>
      <c r="AG32" s="1013"/>
      <c r="AH32" s="1015"/>
      <c r="AJ32" s="79" t="str">
        <f t="shared" si="17"/>
        <v/>
      </c>
      <c r="AK32" s="16" t="str">
        <f t="shared" si="18"/>
        <v/>
      </c>
      <c r="AL32" s="16" t="str">
        <f t="shared" si="19"/>
        <v/>
      </c>
      <c r="AM32" s="16" t="str">
        <f t="shared" si="20"/>
        <v/>
      </c>
      <c r="AN32" s="16" t="str">
        <f t="shared" si="21"/>
        <v/>
      </c>
      <c r="AO32" s="55"/>
      <c r="AP32" s="98">
        <v>5</v>
      </c>
      <c r="AQ32" s="99"/>
      <c r="AR32" s="100">
        <f>IFERROR(AP32*AQ32*AS34,0)</f>
        <v>0</v>
      </c>
      <c r="AS32" s="55"/>
      <c r="AT32" s="85"/>
      <c r="AU32" s="58"/>
      <c r="AV32" s="59"/>
      <c r="AW32" s="85"/>
      <c r="AX32" s="94">
        <f t="shared" si="22"/>
        <v>0</v>
      </c>
      <c r="AY32" s="95">
        <f t="shared" si="23"/>
        <v>0</v>
      </c>
    </row>
    <row r="33" spans="1:51" ht="15.75" customHeight="1">
      <c r="A33" s="1001"/>
      <c r="B33" s="1010"/>
      <c r="C33" s="1020"/>
      <c r="D33" s="1021"/>
      <c r="E33" s="1020"/>
      <c r="F33" s="1022"/>
      <c r="G33" s="1022"/>
      <c r="H33" s="184"/>
      <c r="I33" s="190"/>
      <c r="J33" s="1001"/>
      <c r="K33" s="1001"/>
      <c r="L33" s="186"/>
      <c r="M33" s="1001"/>
      <c r="N33" s="1013"/>
      <c r="O33" s="192"/>
      <c r="P33" s="1019"/>
      <c r="Q33" s="184"/>
      <c r="R33" s="1018"/>
      <c r="S33" s="1019"/>
      <c r="T33" s="1013"/>
      <c r="U33" s="1015"/>
      <c r="V33" s="1014"/>
      <c r="W33" s="185"/>
      <c r="X33" s="1001"/>
      <c r="Y33" s="1014"/>
      <c r="Z33" s="1013"/>
      <c r="AA33" s="1015"/>
      <c r="AB33" s="1015"/>
      <c r="AC33" s="194"/>
      <c r="AD33" s="194"/>
      <c r="AE33" s="194"/>
      <c r="AF33" s="194"/>
      <c r="AG33" s="1013"/>
      <c r="AH33" s="1015"/>
      <c r="AJ33" s="79" t="str">
        <f t="shared" si="17"/>
        <v/>
      </c>
      <c r="AK33" s="16" t="str">
        <f t="shared" si="18"/>
        <v/>
      </c>
      <c r="AL33" s="16" t="str">
        <f t="shared" si="19"/>
        <v/>
      </c>
      <c r="AM33" s="16" t="str">
        <f t="shared" si="20"/>
        <v/>
      </c>
      <c r="AN33" s="16" t="str">
        <f t="shared" si="21"/>
        <v/>
      </c>
      <c r="AO33" s="104"/>
      <c r="AP33" s="98">
        <v>4</v>
      </c>
      <c r="AQ33" s="99"/>
      <c r="AR33" s="100">
        <f>IFERROR(AP33*AQ33*AS34,0)</f>
        <v>0</v>
      </c>
      <c r="AS33" s="55"/>
      <c r="AT33" s="85"/>
      <c r="AU33" s="58"/>
      <c r="AV33" s="59"/>
      <c r="AW33" s="85"/>
      <c r="AX33" s="94">
        <f t="shared" si="22"/>
        <v>0</v>
      </c>
      <c r="AY33" s="95">
        <f t="shared" si="23"/>
        <v>0</v>
      </c>
    </row>
    <row r="34" spans="1:51" ht="15" customHeight="1">
      <c r="A34" s="1001"/>
      <c r="B34" s="1001"/>
      <c r="C34" s="1023"/>
      <c r="D34" s="1023"/>
      <c r="E34" s="1023"/>
      <c r="F34" s="1024"/>
      <c r="G34" s="1024"/>
      <c r="H34" s="1001"/>
      <c r="I34" s="1001"/>
      <c r="J34" s="201"/>
      <c r="K34" s="201"/>
      <c r="L34" s="201"/>
      <c r="M34" s="201"/>
      <c r="N34" s="1025"/>
      <c r="O34" s="1002"/>
      <c r="P34" s="1001"/>
      <c r="Q34" s="1001"/>
      <c r="R34" s="1001"/>
      <c r="S34" s="1003"/>
      <c r="T34" s="1001"/>
      <c r="U34" s="1004"/>
      <c r="V34" s="1001"/>
      <c r="W34" s="1001"/>
      <c r="X34" s="1001"/>
      <c r="Y34" s="1001"/>
      <c r="Z34" s="1001"/>
      <c r="AA34" s="1004"/>
      <c r="AB34" s="1001"/>
      <c r="AC34" s="1001"/>
      <c r="AD34" s="1001"/>
      <c r="AE34" s="1001"/>
      <c r="AF34" s="1001"/>
      <c r="AG34" s="54"/>
      <c r="AH34" s="54"/>
      <c r="AI34" s="54"/>
      <c r="AJ34" s="54"/>
      <c r="AK34" s="137"/>
      <c r="AL34" s="137"/>
      <c r="AM34" s="137"/>
      <c r="AN34" s="137"/>
      <c r="AO34" s="55"/>
      <c r="AP34" s="98">
        <v>3</v>
      </c>
      <c r="AQ34" s="109"/>
      <c r="AR34" s="100">
        <f>IFERROR(AP34*AQ34*AS34,0)</f>
        <v>0</v>
      </c>
      <c r="AS34" s="48">
        <f>IFERROR(AR35/((AP34*AQ34)+(AP33*AQ33)+(AP32*AQ32)+(AP31*AQ31)),0)</f>
        <v>0</v>
      </c>
      <c r="AT34" s="54"/>
      <c r="AU34" s="54"/>
      <c r="AV34" s="54"/>
      <c r="AW34" s="54"/>
      <c r="AX34" s="54"/>
      <c r="AY34" s="56"/>
    </row>
    <row r="35" spans="1:51" ht="15.75" customHeight="1" thickBot="1">
      <c r="A35" s="1001"/>
      <c r="B35" s="1001"/>
      <c r="C35" s="1023"/>
      <c r="D35" s="1023"/>
      <c r="E35" s="1023"/>
      <c r="F35" s="1024"/>
      <c r="G35" s="1024"/>
      <c r="H35" s="184"/>
      <c r="I35" s="190"/>
      <c r="J35" s="1026"/>
      <c r="K35" s="1026"/>
      <c r="L35" s="1026"/>
      <c r="M35" s="1026"/>
      <c r="N35" s="1013"/>
      <c r="O35" s="192"/>
      <c r="P35" s="1027"/>
      <c r="Q35" s="1027"/>
      <c r="R35" s="1027"/>
      <c r="S35" s="1027"/>
      <c r="T35" s="1018"/>
      <c r="U35" s="1018"/>
      <c r="V35" s="1027"/>
      <c r="W35" s="1027"/>
      <c r="X35" s="1027"/>
      <c r="Y35" s="1027"/>
      <c r="Z35" s="1001"/>
      <c r="AA35" s="1001"/>
      <c r="AB35" s="1001"/>
      <c r="AC35" s="1027"/>
      <c r="AD35" s="1027"/>
      <c r="AE35" s="1027"/>
      <c r="AF35" s="1027"/>
      <c r="AG35" s="54"/>
      <c r="AH35" s="54"/>
      <c r="AI35" s="54"/>
      <c r="AJ35" s="54"/>
      <c r="AK35" s="154">
        <f>SUM(AK22:AK34)</f>
        <v>0</v>
      </c>
      <c r="AL35" s="154">
        <f>SUM(AL22:AL34)</f>
        <v>0</v>
      </c>
      <c r="AM35" s="154">
        <f>SUM(AM22:AM34)</f>
        <v>0</v>
      </c>
      <c r="AN35" s="154">
        <f>SUM(AN22:AN34)</f>
        <v>0</v>
      </c>
      <c r="AO35" s="55"/>
      <c r="AP35" s="111"/>
      <c r="AQ35" s="112"/>
      <c r="AR35" s="155"/>
      <c r="AS35" s="55"/>
      <c r="AT35" s="54"/>
      <c r="AU35" s="54"/>
      <c r="AV35" s="54"/>
      <c r="AW35" s="54"/>
      <c r="AX35" s="54"/>
      <c r="AY35" s="56"/>
    </row>
    <row r="36" spans="1:51" ht="15.75" customHeight="1">
      <c r="A36" s="1028"/>
      <c r="B36" s="1001"/>
      <c r="C36" s="1001"/>
      <c r="D36" s="1001"/>
      <c r="E36" s="1001"/>
      <c r="F36" s="1001"/>
      <c r="G36" s="1001"/>
      <c r="H36" s="1018"/>
      <c r="I36" s="190"/>
      <c r="J36" s="1026"/>
      <c r="K36" s="1026"/>
      <c r="L36" s="1026"/>
      <c r="M36" s="1026"/>
      <c r="N36" s="1013"/>
      <c r="O36" s="192"/>
      <c r="P36" s="1027"/>
      <c r="Q36" s="1027"/>
      <c r="R36" s="1027"/>
      <c r="S36" s="1027"/>
      <c r="T36" s="1029"/>
      <c r="U36" s="1030"/>
      <c r="V36" s="1027"/>
      <c r="W36" s="1027"/>
      <c r="X36" s="1027"/>
      <c r="Y36" s="1027"/>
      <c r="Z36" s="1031"/>
      <c r="AA36" s="1032"/>
      <c r="AB36" s="1033"/>
      <c r="AC36" s="1027"/>
      <c r="AD36" s="1027"/>
      <c r="AE36" s="1027"/>
      <c r="AF36" s="1027"/>
      <c r="AG36" s="54"/>
      <c r="AH36" s="1030"/>
      <c r="AI36" s="54"/>
      <c r="AJ36" s="54"/>
      <c r="AK36" s="55"/>
      <c r="AL36" s="55"/>
      <c r="AM36" s="55"/>
      <c r="AN36" s="55"/>
      <c r="AO36" s="55"/>
      <c r="AP36" s="55"/>
      <c r="AQ36" s="55"/>
      <c r="AR36" s="157">
        <f>AR27+AR35</f>
        <v>0</v>
      </c>
      <c r="AS36" s="55"/>
      <c r="AT36" s="54"/>
      <c r="AU36" s="54"/>
      <c r="AV36" s="54"/>
      <c r="AW36" s="54"/>
      <c r="AX36" s="54"/>
      <c r="AY36" s="56"/>
    </row>
    <row r="37" spans="1:51" ht="19.5" customHeight="1" thickBot="1">
      <c r="A37" s="1007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007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54"/>
      <c r="AH37" s="54"/>
      <c r="AI37" s="54"/>
      <c r="AJ37" s="54"/>
      <c r="AK37" s="55"/>
      <c r="AL37" s="55"/>
      <c r="AM37" s="55"/>
      <c r="AN37" s="55"/>
      <c r="AO37" s="55"/>
      <c r="AP37" s="55"/>
      <c r="AQ37" s="159"/>
      <c r="AR37" s="55"/>
      <c r="AS37" s="55"/>
      <c r="AT37" s="54"/>
      <c r="AU37" s="54"/>
      <c r="AV37" s="54"/>
      <c r="AW37" s="54"/>
      <c r="AX37" s="54"/>
      <c r="AY37" s="56"/>
    </row>
    <row r="38" spans="1:51" ht="14.25" customHeight="1" thickBot="1">
      <c r="A38" s="1252"/>
      <c r="B38" s="1253"/>
      <c r="C38" s="1254"/>
      <c r="D38" s="1254"/>
      <c r="E38" s="1254"/>
      <c r="F38" s="1254"/>
      <c r="G38" s="1254"/>
      <c r="H38" s="1253"/>
      <c r="I38" s="1254"/>
      <c r="J38" s="1253"/>
      <c r="K38" s="1253"/>
      <c r="L38" s="1253"/>
      <c r="M38" s="1253"/>
      <c r="N38" s="1255"/>
      <c r="O38" s="1258"/>
      <c r="P38" s="1254"/>
      <c r="Q38" s="1254"/>
      <c r="R38" s="1254"/>
      <c r="S38" s="1254"/>
      <c r="T38" s="1259"/>
      <c r="U38" s="1258"/>
      <c r="V38" s="1254"/>
      <c r="W38" s="1254"/>
      <c r="X38" s="1254"/>
      <c r="Y38" s="1254"/>
      <c r="Z38" s="1259"/>
      <c r="AA38" s="1258"/>
      <c r="AB38" s="1258"/>
      <c r="AC38" s="1260"/>
      <c r="AD38" s="1260"/>
      <c r="AE38" s="1260"/>
      <c r="AF38" s="1260"/>
      <c r="AG38" s="1259"/>
      <c r="AH38" s="1258"/>
      <c r="AI38" s="54"/>
      <c r="AJ38" s="54"/>
      <c r="AK38" s="1262" t="s">
        <v>37</v>
      </c>
      <c r="AL38" s="1262"/>
      <c r="AM38" s="1262"/>
      <c r="AN38" s="1262"/>
      <c r="AO38" s="55"/>
      <c r="AP38" s="1250" t="s">
        <v>7</v>
      </c>
      <c r="AQ38" s="1250"/>
      <c r="AR38" s="1250"/>
      <c r="AS38" s="55"/>
      <c r="AT38" s="1261" t="s">
        <v>38</v>
      </c>
      <c r="AU38" s="1261"/>
      <c r="AV38" s="1261"/>
      <c r="AW38" s="1261"/>
      <c r="AX38" s="61" t="s">
        <v>39</v>
      </c>
      <c r="AY38" s="62" t="s">
        <v>12</v>
      </c>
    </row>
    <row r="39" spans="1:51" ht="18" customHeight="1" thickBot="1">
      <c r="A39" s="1252"/>
      <c r="B39" s="1252"/>
      <c r="C39" s="186"/>
      <c r="D39" s="186"/>
      <c r="E39" s="186"/>
      <c r="F39" s="186"/>
      <c r="G39" s="186"/>
      <c r="H39" s="1253"/>
      <c r="I39" s="1254"/>
      <c r="J39" s="185"/>
      <c r="K39" s="185"/>
      <c r="L39" s="185"/>
      <c r="M39" s="185"/>
      <c r="N39" s="1255"/>
      <c r="O39" s="1258"/>
      <c r="P39" s="186"/>
      <c r="Q39" s="185"/>
      <c r="R39" s="1008"/>
      <c r="S39" s="185"/>
      <c r="T39" s="1259"/>
      <c r="U39" s="1259"/>
      <c r="V39" s="186"/>
      <c r="W39" s="185"/>
      <c r="X39" s="1008"/>
      <c r="Y39" s="185"/>
      <c r="Z39" s="1259"/>
      <c r="AA39" s="1259"/>
      <c r="AB39" s="1258"/>
      <c r="AC39" s="186"/>
      <c r="AD39" s="185"/>
      <c r="AE39" s="1008"/>
      <c r="AF39" s="185"/>
      <c r="AG39" s="1259"/>
      <c r="AH39" s="1258"/>
      <c r="AI39" s="54"/>
      <c r="AJ39" s="54"/>
      <c r="AK39" s="72" t="s">
        <v>49</v>
      </c>
      <c r="AL39" s="72" t="s">
        <v>50</v>
      </c>
      <c r="AM39" s="72" t="s">
        <v>51</v>
      </c>
      <c r="AN39" s="72" t="s">
        <v>52</v>
      </c>
      <c r="AO39" s="73">
        <v>130</v>
      </c>
      <c r="AP39" s="1250"/>
      <c r="AQ39" s="1250"/>
      <c r="AR39" s="1250"/>
      <c r="AS39" s="55"/>
      <c r="AT39" s="65" t="s">
        <v>45</v>
      </c>
      <c r="AU39" s="58" t="s">
        <v>46</v>
      </c>
      <c r="AV39" s="68" t="s">
        <v>47</v>
      </c>
      <c r="AW39" s="60" t="s">
        <v>48</v>
      </c>
      <c r="AX39" s="61"/>
      <c r="AY39" s="62"/>
    </row>
    <row r="40" spans="1:51" ht="15" customHeight="1" thickBot="1">
      <c r="A40" s="1009"/>
      <c r="B40" s="1010"/>
      <c r="C40" s="1011"/>
      <c r="D40" s="1011"/>
      <c r="E40" s="1011"/>
      <c r="F40" s="1012"/>
      <c r="G40" s="1012"/>
      <c r="H40" s="184"/>
      <c r="I40" s="190"/>
      <c r="J40" s="1001"/>
      <c r="K40" s="1001"/>
      <c r="L40" s="186"/>
      <c r="M40" s="1001"/>
      <c r="N40" s="1013"/>
      <c r="O40" s="192"/>
      <c r="P40" s="1014"/>
      <c r="Q40" s="1014"/>
      <c r="R40" s="1001"/>
      <c r="S40" s="1014"/>
      <c r="T40" s="1013"/>
      <c r="U40" s="1015"/>
      <c r="V40" s="1014"/>
      <c r="W40" s="1014"/>
      <c r="X40" s="1001"/>
      <c r="Y40" s="1014"/>
      <c r="Z40" s="1013"/>
      <c r="AA40" s="1015"/>
      <c r="AB40" s="1015"/>
      <c r="AC40" s="194"/>
      <c r="AD40" s="194"/>
      <c r="AE40" s="194"/>
      <c r="AF40" s="194"/>
      <c r="AG40" s="1013"/>
      <c r="AH40" s="1015"/>
      <c r="AJ40" s="79" t="str">
        <f t="shared" ref="AJ40:AJ51" si="24">IF(H40=130,0.132335,IF(H40=100,0.0785,IF(H40=110,0.095,IF(H40=160,0.198005,""))))</f>
        <v/>
      </c>
      <c r="AK40" s="16" t="str">
        <f t="shared" ref="AK40:AK51" si="25">IFERROR(P40*3*AJ40,"")</f>
        <v/>
      </c>
      <c r="AL40" s="16" t="str">
        <f t="shared" ref="AL40:AL51" si="26">IFERROR(Q40*4*AJ40,"")</f>
        <v/>
      </c>
      <c r="AM40" s="16" t="str">
        <f t="shared" ref="AM40:AM51" si="27">IFERROR(R40*5*AJ40,"")</f>
        <v/>
      </c>
      <c r="AN40" s="16" t="str">
        <f t="shared" ref="AN40:AN51" si="28">IFERROR(S40*6*AJ40,"")</f>
        <v/>
      </c>
      <c r="AO40" s="55"/>
      <c r="AP40" s="1250"/>
      <c r="AQ40" s="1250"/>
      <c r="AR40" s="1250"/>
      <c r="AS40" s="55"/>
      <c r="AT40" s="85"/>
      <c r="AU40" s="85"/>
      <c r="AV40" s="59"/>
      <c r="AW40" s="93"/>
      <c r="AX40" s="94">
        <f t="shared" ref="AX40:AX51" si="29">AT40*3+AU40*4+AV40*5+AW40*6</f>
        <v>0</v>
      </c>
      <c r="AY40" s="95">
        <f t="shared" ref="AY40:AY51" si="30">AX40*I40</f>
        <v>0</v>
      </c>
    </row>
    <row r="41" spans="1:51" ht="15" customHeight="1">
      <c r="A41" s="1001"/>
      <c r="B41" s="1010"/>
      <c r="C41" s="1011"/>
      <c r="D41" s="1011"/>
      <c r="E41" s="1011"/>
      <c r="F41" s="1012"/>
      <c r="G41" s="1012"/>
      <c r="H41" s="184"/>
      <c r="I41" s="190"/>
      <c r="J41" s="1001"/>
      <c r="K41" s="1001"/>
      <c r="L41" s="186"/>
      <c r="M41" s="1001"/>
      <c r="N41" s="1013"/>
      <c r="O41" s="192"/>
      <c r="P41" s="1014"/>
      <c r="Q41" s="1014"/>
      <c r="R41" s="1001"/>
      <c r="S41" s="1014"/>
      <c r="T41" s="1013"/>
      <c r="U41" s="1015"/>
      <c r="V41" s="1014"/>
      <c r="W41" s="1014"/>
      <c r="X41" s="186"/>
      <c r="Y41" s="1014"/>
      <c r="Z41" s="1013"/>
      <c r="AA41" s="1015"/>
      <c r="AB41" s="1015"/>
      <c r="AC41" s="194"/>
      <c r="AD41" s="194"/>
      <c r="AE41" s="194"/>
      <c r="AF41" s="194"/>
      <c r="AG41" s="1013"/>
      <c r="AH41" s="1015"/>
      <c r="AJ41" s="79" t="str">
        <f t="shared" si="24"/>
        <v/>
      </c>
      <c r="AK41" s="16" t="str">
        <f t="shared" si="25"/>
        <v/>
      </c>
      <c r="AL41" s="16" t="str">
        <f t="shared" si="26"/>
        <v/>
      </c>
      <c r="AM41" s="16" t="str">
        <f t="shared" si="27"/>
        <v/>
      </c>
      <c r="AN41" s="16" t="str">
        <f t="shared" si="28"/>
        <v/>
      </c>
      <c r="AO41" s="55"/>
      <c r="AP41" s="98">
        <v>6</v>
      </c>
      <c r="AQ41" s="99"/>
      <c r="AR41" s="100">
        <f>IFERROR(AP41*AQ41*AS44,0)</f>
        <v>0</v>
      </c>
      <c r="AS41" s="55"/>
      <c r="AT41" s="85"/>
      <c r="AU41" s="85"/>
      <c r="AV41" s="65"/>
      <c r="AW41" s="93"/>
      <c r="AX41" s="94">
        <f t="shared" si="29"/>
        <v>0</v>
      </c>
      <c r="AY41" s="95">
        <f t="shared" si="30"/>
        <v>0</v>
      </c>
    </row>
    <row r="42" spans="1:51" ht="15" customHeight="1">
      <c r="A42" s="1001"/>
      <c r="B42" s="1010"/>
      <c r="C42" s="1016"/>
      <c r="D42" s="1016"/>
      <c r="E42" s="1016"/>
      <c r="F42" s="1017"/>
      <c r="G42" s="1017"/>
      <c r="H42" s="184"/>
      <c r="I42" s="190"/>
      <c r="J42" s="1001"/>
      <c r="K42" s="1001"/>
      <c r="L42" s="186"/>
      <c r="M42" s="1001"/>
      <c r="N42" s="1013"/>
      <c r="O42" s="192"/>
      <c r="P42" s="1014"/>
      <c r="Q42" s="1014"/>
      <c r="R42" s="1001"/>
      <c r="S42" s="1014"/>
      <c r="T42" s="1013"/>
      <c r="U42" s="1015"/>
      <c r="V42" s="1014"/>
      <c r="W42" s="1014"/>
      <c r="X42" s="1001"/>
      <c r="Y42" s="1014"/>
      <c r="Z42" s="1013"/>
      <c r="AA42" s="1015"/>
      <c r="AB42" s="1015"/>
      <c r="AC42" s="194"/>
      <c r="AD42" s="194"/>
      <c r="AE42" s="194"/>
      <c r="AF42" s="194"/>
      <c r="AG42" s="1013"/>
      <c r="AH42" s="1015"/>
      <c r="AJ42" s="79" t="str">
        <f t="shared" si="24"/>
        <v/>
      </c>
      <c r="AK42" s="16" t="str">
        <f t="shared" si="25"/>
        <v/>
      </c>
      <c r="AL42" s="16" t="str">
        <f t="shared" si="26"/>
        <v/>
      </c>
      <c r="AM42" s="16" t="str">
        <f t="shared" si="27"/>
        <v/>
      </c>
      <c r="AN42" s="16" t="str">
        <f t="shared" si="28"/>
        <v/>
      </c>
      <c r="AO42" s="55"/>
      <c r="AP42" s="98">
        <v>5</v>
      </c>
      <c r="AQ42" s="99"/>
      <c r="AR42" s="100">
        <f>IFERROR(AP42*AQ42*AS44,0)</f>
        <v>0</v>
      </c>
      <c r="AS42" s="104"/>
      <c r="AT42" s="58"/>
      <c r="AU42" s="85"/>
      <c r="AV42" s="59"/>
      <c r="AW42" s="93"/>
      <c r="AX42" s="94">
        <f t="shared" si="29"/>
        <v>0</v>
      </c>
      <c r="AY42" s="95">
        <f t="shared" si="30"/>
        <v>0</v>
      </c>
    </row>
    <row r="43" spans="1:51" ht="15" customHeight="1">
      <c r="A43" s="1001"/>
      <c r="B43" s="1010"/>
      <c r="C43" s="1011"/>
      <c r="D43" s="1011"/>
      <c r="E43" s="1011"/>
      <c r="F43" s="1012"/>
      <c r="G43" s="1012"/>
      <c r="H43" s="184"/>
      <c r="I43" s="190"/>
      <c r="J43" s="1001"/>
      <c r="K43" s="1001"/>
      <c r="L43" s="186"/>
      <c r="M43" s="1001"/>
      <c r="N43" s="1013"/>
      <c r="O43" s="192"/>
      <c r="P43" s="1014"/>
      <c r="Q43" s="1014"/>
      <c r="R43" s="1001"/>
      <c r="S43" s="1014"/>
      <c r="T43" s="1013"/>
      <c r="U43" s="1015"/>
      <c r="V43" s="1014"/>
      <c r="W43" s="1014"/>
      <c r="X43" s="1001"/>
      <c r="Y43" s="1014"/>
      <c r="Z43" s="1013"/>
      <c r="AA43" s="1015"/>
      <c r="AB43" s="1015"/>
      <c r="AC43" s="194"/>
      <c r="AD43" s="194"/>
      <c r="AE43" s="194"/>
      <c r="AF43" s="194"/>
      <c r="AG43" s="1013"/>
      <c r="AH43" s="1015"/>
      <c r="AJ43" s="79" t="str">
        <f t="shared" si="24"/>
        <v/>
      </c>
      <c r="AK43" s="16" t="str">
        <f t="shared" si="25"/>
        <v/>
      </c>
      <c r="AL43" s="16" t="str">
        <f t="shared" si="26"/>
        <v/>
      </c>
      <c r="AM43" s="16" t="str">
        <f t="shared" si="27"/>
        <v/>
      </c>
      <c r="AN43" s="16" t="str">
        <f t="shared" si="28"/>
        <v/>
      </c>
      <c r="AO43" s="55"/>
      <c r="AP43" s="98">
        <v>4</v>
      </c>
      <c r="AQ43" s="99"/>
      <c r="AR43" s="100">
        <f>IFERROR(AP43*AQ43*AS44,0)</f>
        <v>0</v>
      </c>
      <c r="AS43" s="104"/>
      <c r="AT43" s="85"/>
      <c r="AU43" s="85"/>
      <c r="AV43" s="59"/>
      <c r="AW43" s="93"/>
      <c r="AX43" s="94">
        <f t="shared" si="29"/>
        <v>0</v>
      </c>
      <c r="AY43" s="95">
        <f t="shared" si="30"/>
        <v>0</v>
      </c>
    </row>
    <row r="44" spans="1:51" ht="15" customHeight="1">
      <c r="A44" s="1001"/>
      <c r="B44" s="1010"/>
      <c r="C44" s="1011"/>
      <c r="D44" s="188"/>
      <c r="E44" s="1011"/>
      <c r="F44" s="1012"/>
      <c r="G44" s="1012"/>
      <c r="H44" s="184"/>
      <c r="I44" s="190"/>
      <c r="J44" s="1001"/>
      <c r="K44" s="1001"/>
      <c r="L44" s="186"/>
      <c r="M44" s="1001"/>
      <c r="N44" s="1013"/>
      <c r="O44" s="192"/>
      <c r="P44" s="1014"/>
      <c r="Q44" s="1014"/>
      <c r="R44" s="1001"/>
      <c r="S44" s="1014"/>
      <c r="T44" s="1013"/>
      <c r="U44" s="1015"/>
      <c r="V44" s="1014"/>
      <c r="W44" s="1014"/>
      <c r="X44" s="1001"/>
      <c r="Y44" s="1014"/>
      <c r="Z44" s="1013"/>
      <c r="AA44" s="1015"/>
      <c r="AB44" s="1015"/>
      <c r="AC44" s="194"/>
      <c r="AD44" s="194"/>
      <c r="AE44" s="194"/>
      <c r="AF44" s="194"/>
      <c r="AG44" s="1013"/>
      <c r="AH44" s="1015"/>
      <c r="AJ44" s="79" t="str">
        <f t="shared" si="24"/>
        <v/>
      </c>
      <c r="AK44" s="16" t="str">
        <f t="shared" si="25"/>
        <v/>
      </c>
      <c r="AL44" s="16" t="str">
        <f t="shared" si="26"/>
        <v/>
      </c>
      <c r="AM44" s="16" t="str">
        <f t="shared" si="27"/>
        <v/>
      </c>
      <c r="AN44" s="16" t="str">
        <f t="shared" si="28"/>
        <v/>
      </c>
      <c r="AO44" s="55"/>
      <c r="AP44" s="98">
        <v>3</v>
      </c>
      <c r="AQ44" s="109"/>
      <c r="AR44" s="100">
        <f>IFERROR(AP44*AQ44*AS44,0)</f>
        <v>0</v>
      </c>
      <c r="AS44" s="48">
        <f>IFERROR(AR45/((AP44*AQ44)+(AP43*AQ43)+(AP42*AQ42)+(AP41*AQ41)),0)</f>
        <v>0</v>
      </c>
      <c r="AT44" s="85"/>
      <c r="AU44" s="85"/>
      <c r="AV44" s="59"/>
      <c r="AW44" s="93"/>
      <c r="AX44" s="94">
        <f t="shared" si="29"/>
        <v>0</v>
      </c>
      <c r="AY44" s="95">
        <f t="shared" si="30"/>
        <v>0</v>
      </c>
    </row>
    <row r="45" spans="1:51" ht="14.25" customHeight="1" thickBot="1">
      <c r="A45" s="1001"/>
      <c r="B45" s="1010"/>
      <c r="C45" s="1011"/>
      <c r="D45" s="1011"/>
      <c r="E45" s="1011"/>
      <c r="F45" s="1012"/>
      <c r="G45" s="1012"/>
      <c r="H45" s="184"/>
      <c r="I45" s="190"/>
      <c r="J45" s="1001"/>
      <c r="K45" s="1001"/>
      <c r="L45" s="186"/>
      <c r="M45" s="1001"/>
      <c r="N45" s="1013"/>
      <c r="O45" s="192"/>
      <c r="P45" s="185"/>
      <c r="Q45" s="1014"/>
      <c r="R45" s="1001"/>
      <c r="S45" s="1014"/>
      <c r="T45" s="1013"/>
      <c r="U45" s="1015"/>
      <c r="V45" s="185"/>
      <c r="W45" s="1014"/>
      <c r="X45" s="1001"/>
      <c r="Y45" s="1014"/>
      <c r="Z45" s="1013"/>
      <c r="AA45" s="1015"/>
      <c r="AB45" s="1015"/>
      <c r="AC45" s="194"/>
      <c r="AD45" s="194"/>
      <c r="AE45" s="194"/>
      <c r="AF45" s="194"/>
      <c r="AG45" s="1013"/>
      <c r="AH45" s="1015"/>
      <c r="AJ45" s="79" t="str">
        <f t="shared" si="24"/>
        <v/>
      </c>
      <c r="AK45" s="16" t="str">
        <f t="shared" si="25"/>
        <v/>
      </c>
      <c r="AL45" s="16" t="str">
        <f t="shared" si="26"/>
        <v/>
      </c>
      <c r="AM45" s="16" t="str">
        <f t="shared" si="27"/>
        <v/>
      </c>
      <c r="AN45" s="16" t="str">
        <f t="shared" si="28"/>
        <v/>
      </c>
      <c r="AO45" s="55"/>
      <c r="AP45" s="111"/>
      <c r="AQ45" s="112"/>
      <c r="AR45" s="113"/>
      <c r="AS45" s="104"/>
      <c r="AT45" s="58"/>
      <c r="AU45" s="85"/>
      <c r="AV45" s="59"/>
      <c r="AW45" s="93"/>
      <c r="AX45" s="94">
        <f t="shared" si="29"/>
        <v>0</v>
      </c>
      <c r="AY45" s="95">
        <f t="shared" si="30"/>
        <v>0</v>
      </c>
    </row>
    <row r="46" spans="1:51" ht="14.25" customHeight="1" thickBot="1">
      <c r="A46" s="1001"/>
      <c r="B46" s="1010"/>
      <c r="C46" s="1011"/>
      <c r="D46" s="1011"/>
      <c r="E46" s="1011"/>
      <c r="F46" s="1012"/>
      <c r="G46" s="1012"/>
      <c r="H46" s="184"/>
      <c r="I46" s="190"/>
      <c r="J46" s="1001"/>
      <c r="K46" s="1001"/>
      <c r="L46" s="186"/>
      <c r="M46" s="1001"/>
      <c r="N46" s="1013"/>
      <c r="O46" s="192"/>
      <c r="P46" s="1014"/>
      <c r="Q46" s="1014"/>
      <c r="R46" s="1001"/>
      <c r="S46" s="1014"/>
      <c r="T46" s="1013"/>
      <c r="U46" s="1015"/>
      <c r="V46" s="1014"/>
      <c r="W46" s="1014"/>
      <c r="X46" s="1001"/>
      <c r="Y46" s="1014"/>
      <c r="Z46" s="1013"/>
      <c r="AA46" s="1015"/>
      <c r="AB46" s="1015"/>
      <c r="AC46" s="194"/>
      <c r="AD46" s="194"/>
      <c r="AE46" s="194"/>
      <c r="AF46" s="194"/>
      <c r="AG46" s="1013"/>
      <c r="AH46" s="1015"/>
      <c r="AJ46" s="79" t="str">
        <f t="shared" si="24"/>
        <v/>
      </c>
      <c r="AK46" s="16" t="str">
        <f t="shared" si="25"/>
        <v/>
      </c>
      <c r="AL46" s="16" t="str">
        <f t="shared" si="26"/>
        <v/>
      </c>
      <c r="AM46" s="16" t="str">
        <f t="shared" si="27"/>
        <v/>
      </c>
      <c r="AN46" s="16" t="str">
        <f t="shared" si="28"/>
        <v/>
      </c>
      <c r="AO46" s="55"/>
      <c r="AP46" s="1250" t="s">
        <v>7</v>
      </c>
      <c r="AQ46" s="1250"/>
      <c r="AR46" s="1250"/>
      <c r="AS46" s="104"/>
      <c r="AT46" s="85"/>
      <c r="AU46" s="85"/>
      <c r="AV46" s="59"/>
      <c r="AW46" s="93"/>
      <c r="AX46" s="94">
        <f t="shared" si="29"/>
        <v>0</v>
      </c>
      <c r="AY46" s="95">
        <f t="shared" si="30"/>
        <v>0</v>
      </c>
    </row>
    <row r="47" spans="1:51" ht="15" customHeight="1" thickBot="1">
      <c r="A47" s="1001"/>
      <c r="B47" s="1010"/>
      <c r="C47" s="1011"/>
      <c r="D47" s="1011"/>
      <c r="E47" s="1011"/>
      <c r="F47" s="1012"/>
      <c r="G47" s="1012"/>
      <c r="H47" s="184"/>
      <c r="I47" s="190"/>
      <c r="J47" s="1001"/>
      <c r="K47" s="1001"/>
      <c r="L47" s="186"/>
      <c r="M47" s="1001"/>
      <c r="N47" s="1013"/>
      <c r="O47" s="192"/>
      <c r="P47" s="1014"/>
      <c r="Q47" s="1014"/>
      <c r="R47" s="1001"/>
      <c r="S47" s="1014"/>
      <c r="T47" s="1013"/>
      <c r="U47" s="1015"/>
      <c r="V47" s="1014"/>
      <c r="W47" s="185"/>
      <c r="X47" s="1001"/>
      <c r="Y47" s="1014"/>
      <c r="Z47" s="1013"/>
      <c r="AA47" s="1015"/>
      <c r="AB47" s="1015"/>
      <c r="AC47" s="194"/>
      <c r="AD47" s="194"/>
      <c r="AE47" s="194"/>
      <c r="AF47" s="194"/>
      <c r="AG47" s="1013"/>
      <c r="AH47" s="1015"/>
      <c r="AJ47" s="79" t="str">
        <f t="shared" si="24"/>
        <v/>
      </c>
      <c r="AK47" s="16" t="str">
        <f t="shared" si="25"/>
        <v/>
      </c>
      <c r="AL47" s="16" t="str">
        <f t="shared" si="26"/>
        <v/>
      </c>
      <c r="AM47" s="16" t="str">
        <f t="shared" si="27"/>
        <v/>
      </c>
      <c r="AN47" s="16" t="str">
        <f t="shared" si="28"/>
        <v/>
      </c>
      <c r="AO47" s="73">
        <v>160</v>
      </c>
      <c r="AP47" s="1250"/>
      <c r="AQ47" s="1250"/>
      <c r="AR47" s="1250"/>
      <c r="AS47" s="55"/>
      <c r="AT47" s="85"/>
      <c r="AU47" s="85"/>
      <c r="AV47" s="59"/>
      <c r="AW47" s="93"/>
      <c r="AX47" s="94">
        <f t="shared" si="29"/>
        <v>0</v>
      </c>
      <c r="AY47" s="95">
        <f t="shared" si="30"/>
        <v>0</v>
      </c>
    </row>
    <row r="48" spans="1:51" ht="15" customHeight="1" thickBot="1">
      <c r="A48" s="1001"/>
      <c r="B48" s="1010"/>
      <c r="C48" s="1011"/>
      <c r="D48" s="1011"/>
      <c r="E48" s="1011"/>
      <c r="F48" s="1012"/>
      <c r="G48" s="1012"/>
      <c r="H48" s="184"/>
      <c r="I48" s="190"/>
      <c r="J48" s="1001"/>
      <c r="K48" s="1001"/>
      <c r="L48" s="186"/>
      <c r="M48" s="1001"/>
      <c r="N48" s="1013"/>
      <c r="O48" s="192"/>
      <c r="P48" s="1014"/>
      <c r="Q48" s="185"/>
      <c r="R48" s="1018"/>
      <c r="S48" s="1014"/>
      <c r="T48" s="1013"/>
      <c r="U48" s="1015"/>
      <c r="V48" s="1014"/>
      <c r="W48" s="185"/>
      <c r="X48" s="1001"/>
      <c r="Y48" s="1014"/>
      <c r="Z48" s="1013"/>
      <c r="AA48" s="1015"/>
      <c r="AB48" s="1015"/>
      <c r="AC48" s="194"/>
      <c r="AD48" s="194"/>
      <c r="AE48" s="194"/>
      <c r="AF48" s="194"/>
      <c r="AG48" s="1013"/>
      <c r="AH48" s="1015"/>
      <c r="AJ48" s="79" t="str">
        <f t="shared" si="24"/>
        <v/>
      </c>
      <c r="AK48" s="16" t="str">
        <f t="shared" si="25"/>
        <v/>
      </c>
      <c r="AL48" s="16" t="str">
        <f t="shared" si="26"/>
        <v/>
      </c>
      <c r="AM48" s="16" t="str">
        <f t="shared" si="27"/>
        <v/>
      </c>
      <c r="AN48" s="16" t="str">
        <f t="shared" si="28"/>
        <v/>
      </c>
      <c r="AO48" s="55"/>
      <c r="AP48" s="1250"/>
      <c r="AQ48" s="1250"/>
      <c r="AR48" s="1250"/>
      <c r="AS48" s="55"/>
      <c r="AT48" s="85"/>
      <c r="AU48" s="58"/>
      <c r="AV48" s="59"/>
      <c r="AW48" s="93"/>
      <c r="AX48" s="94">
        <f t="shared" si="29"/>
        <v>0</v>
      </c>
      <c r="AY48" s="95">
        <f t="shared" si="30"/>
        <v>0</v>
      </c>
    </row>
    <row r="49" spans="1:51" ht="16.5" customHeight="1">
      <c r="A49" s="1001"/>
      <c r="B49" s="1010"/>
      <c r="C49" s="1011"/>
      <c r="D49" s="1011"/>
      <c r="E49" s="1011"/>
      <c r="F49" s="1012"/>
      <c r="G49" s="1012"/>
      <c r="H49" s="184"/>
      <c r="I49" s="190"/>
      <c r="J49" s="1001"/>
      <c r="K49" s="1001"/>
      <c r="L49" s="186"/>
      <c r="M49" s="1001"/>
      <c r="N49" s="1013"/>
      <c r="O49" s="192"/>
      <c r="P49" s="1014"/>
      <c r="Q49" s="185"/>
      <c r="R49" s="1014"/>
      <c r="S49" s="1014"/>
      <c r="T49" s="1013"/>
      <c r="U49" s="1015"/>
      <c r="V49" s="1014"/>
      <c r="W49" s="185"/>
      <c r="X49" s="1001"/>
      <c r="Y49" s="1014"/>
      <c r="Z49" s="1013"/>
      <c r="AA49" s="1015"/>
      <c r="AB49" s="1015"/>
      <c r="AC49" s="194"/>
      <c r="AD49" s="194"/>
      <c r="AE49" s="194"/>
      <c r="AF49" s="194"/>
      <c r="AG49" s="1013"/>
      <c r="AH49" s="1015"/>
      <c r="AJ49" s="79" t="str">
        <f t="shared" si="24"/>
        <v/>
      </c>
      <c r="AK49" s="16" t="str">
        <f t="shared" si="25"/>
        <v/>
      </c>
      <c r="AL49" s="16" t="str">
        <f t="shared" si="26"/>
        <v/>
      </c>
      <c r="AM49" s="16" t="str">
        <f t="shared" si="27"/>
        <v/>
      </c>
      <c r="AN49" s="16" t="str">
        <f t="shared" si="28"/>
        <v/>
      </c>
      <c r="AO49" s="55"/>
      <c r="AP49" s="117">
        <v>6</v>
      </c>
      <c r="AQ49" s="118"/>
      <c r="AR49" s="100">
        <f>IFERROR(AP49*AQ49*AS52,0)</f>
        <v>0</v>
      </c>
      <c r="AS49" s="55"/>
      <c r="AT49" s="85"/>
      <c r="AU49" s="58"/>
      <c r="AV49" s="59"/>
      <c r="AW49" s="93"/>
      <c r="AX49" s="94">
        <f t="shared" si="29"/>
        <v>0</v>
      </c>
      <c r="AY49" s="95">
        <f t="shared" si="30"/>
        <v>0</v>
      </c>
    </row>
    <row r="50" spans="1:51" ht="16.5" customHeight="1">
      <c r="A50" s="1001"/>
      <c r="B50" s="1010"/>
      <c r="C50" s="1011"/>
      <c r="D50" s="1011"/>
      <c r="E50" s="1011"/>
      <c r="F50" s="1012"/>
      <c r="G50" s="1012"/>
      <c r="H50" s="184"/>
      <c r="I50" s="190"/>
      <c r="J50" s="1001"/>
      <c r="K50" s="1001"/>
      <c r="L50" s="186"/>
      <c r="M50" s="1001"/>
      <c r="N50" s="1013"/>
      <c r="O50" s="192"/>
      <c r="P50" s="1014"/>
      <c r="Q50" s="184"/>
      <c r="R50" s="1018"/>
      <c r="S50" s="1019"/>
      <c r="T50" s="1013"/>
      <c r="U50" s="1015"/>
      <c r="V50" s="1014"/>
      <c r="W50" s="185"/>
      <c r="X50" s="1001"/>
      <c r="Y50" s="1014"/>
      <c r="Z50" s="1013"/>
      <c r="AA50" s="1015"/>
      <c r="AB50" s="1015"/>
      <c r="AC50" s="194"/>
      <c r="AD50" s="194"/>
      <c r="AE50" s="194"/>
      <c r="AF50" s="194"/>
      <c r="AG50" s="1013"/>
      <c r="AH50" s="1015"/>
      <c r="AJ50" s="79" t="str">
        <f t="shared" si="24"/>
        <v/>
      </c>
      <c r="AK50" s="16" t="str">
        <f t="shared" si="25"/>
        <v/>
      </c>
      <c r="AL50" s="16" t="str">
        <f t="shared" si="26"/>
        <v/>
      </c>
      <c r="AM50" s="16" t="str">
        <f t="shared" si="27"/>
        <v/>
      </c>
      <c r="AN50" s="16" t="str">
        <f t="shared" si="28"/>
        <v/>
      </c>
      <c r="AO50" s="55"/>
      <c r="AP50" s="98">
        <v>5</v>
      </c>
      <c r="AQ50" s="99"/>
      <c r="AR50" s="100">
        <f>IFERROR(AP50*AQ50*AS52,0)</f>
        <v>0</v>
      </c>
      <c r="AS50" s="55"/>
      <c r="AT50" s="116"/>
      <c r="AU50" s="115"/>
      <c r="AV50" s="116"/>
      <c r="AW50" s="123"/>
      <c r="AX50" s="94">
        <f t="shared" si="29"/>
        <v>0</v>
      </c>
      <c r="AY50" s="95">
        <f t="shared" si="30"/>
        <v>0</v>
      </c>
    </row>
    <row r="51" spans="1:51" ht="15.75" customHeight="1">
      <c r="A51" s="1001"/>
      <c r="B51" s="1010"/>
      <c r="C51" s="1020"/>
      <c r="D51" s="1021"/>
      <c r="E51" s="1020"/>
      <c r="F51" s="1022"/>
      <c r="G51" s="1022"/>
      <c r="H51" s="184"/>
      <c r="I51" s="190"/>
      <c r="J51" s="1001"/>
      <c r="K51" s="1001"/>
      <c r="L51" s="186"/>
      <c r="M51" s="1001"/>
      <c r="N51" s="1013"/>
      <c r="O51" s="192"/>
      <c r="P51" s="1019"/>
      <c r="Q51" s="184"/>
      <c r="R51" s="1018"/>
      <c r="S51" s="1019"/>
      <c r="T51" s="1013"/>
      <c r="U51" s="1015"/>
      <c r="V51" s="1014"/>
      <c r="W51" s="185"/>
      <c r="X51" s="1001"/>
      <c r="Y51" s="1014"/>
      <c r="Z51" s="1013"/>
      <c r="AA51" s="1015"/>
      <c r="AB51" s="1015"/>
      <c r="AC51" s="194"/>
      <c r="AD51" s="194"/>
      <c r="AE51" s="194"/>
      <c r="AF51" s="194"/>
      <c r="AG51" s="1013"/>
      <c r="AH51" s="1015"/>
      <c r="AJ51" s="79" t="str">
        <f t="shared" si="24"/>
        <v/>
      </c>
      <c r="AK51" s="16" t="str">
        <f t="shared" si="25"/>
        <v/>
      </c>
      <c r="AL51" s="16" t="str">
        <f t="shared" si="26"/>
        <v/>
      </c>
      <c r="AM51" s="16" t="str">
        <f t="shared" si="27"/>
        <v/>
      </c>
      <c r="AN51" s="16" t="str">
        <f t="shared" si="28"/>
        <v/>
      </c>
      <c r="AO51" s="104"/>
      <c r="AP51" s="98">
        <v>4</v>
      </c>
      <c r="AQ51" s="99"/>
      <c r="AR51" s="100">
        <f>IFERROR(AP51*AQ51*AS52,0)</f>
        <v>0</v>
      </c>
      <c r="AS51" s="55"/>
      <c r="AT51" s="85"/>
      <c r="AU51" s="58"/>
      <c r="AV51" s="59"/>
      <c r="AW51" s="93"/>
      <c r="AX51" s="94">
        <f t="shared" si="29"/>
        <v>0</v>
      </c>
      <c r="AY51" s="95">
        <f t="shared" si="30"/>
        <v>0</v>
      </c>
    </row>
    <row r="52" spans="1:51" ht="15" customHeight="1">
      <c r="A52" s="1001"/>
      <c r="B52" s="1001"/>
      <c r="C52" s="1023"/>
      <c r="D52" s="1023"/>
      <c r="E52" s="1023"/>
      <c r="F52" s="1024"/>
      <c r="G52" s="1024"/>
      <c r="H52" s="1001"/>
      <c r="I52" s="1001"/>
      <c r="J52" s="201"/>
      <c r="K52" s="201"/>
      <c r="L52" s="201"/>
      <c r="M52" s="201"/>
      <c r="N52" s="1025"/>
      <c r="O52" s="1002"/>
      <c r="P52" s="1001"/>
      <c r="Q52" s="1001"/>
      <c r="R52" s="1001"/>
      <c r="S52" s="1003"/>
      <c r="T52" s="1001"/>
      <c r="U52" s="1004"/>
      <c r="V52" s="1001"/>
      <c r="W52" s="1001"/>
      <c r="X52" s="1001"/>
      <c r="Y52" s="1001"/>
      <c r="Z52" s="1001"/>
      <c r="AA52" s="1004"/>
      <c r="AB52" s="1001"/>
      <c r="AC52" s="1001"/>
      <c r="AD52" s="1001"/>
      <c r="AE52" s="1001"/>
      <c r="AF52" s="1001"/>
      <c r="AG52" s="54"/>
      <c r="AH52" s="54"/>
      <c r="AI52" s="54"/>
      <c r="AJ52" s="54"/>
      <c r="AK52" s="137"/>
      <c r="AL52" s="137"/>
      <c r="AM52" s="137"/>
      <c r="AN52" s="137"/>
      <c r="AO52" s="55"/>
      <c r="AP52" s="98">
        <v>3</v>
      </c>
      <c r="AQ52" s="109"/>
      <c r="AR52" s="100">
        <f>IFERROR(AP52*AQ52*AS52,0)</f>
        <v>0</v>
      </c>
      <c r="AS52" s="48">
        <f>IFERROR(AR53/((AP52*AQ52)+(AP51*AQ51)+(AP50*AQ50)+(AP49*AQ49)),0)</f>
        <v>0</v>
      </c>
      <c r="AT52" s="54"/>
      <c r="AU52" s="54"/>
      <c r="AV52" s="54"/>
      <c r="AW52" s="54"/>
      <c r="AX52" s="54"/>
      <c r="AY52" s="56"/>
    </row>
    <row r="53" spans="1:51" ht="15.75" customHeight="1" thickBot="1">
      <c r="A53" s="1001"/>
      <c r="B53" s="1001"/>
      <c r="C53" s="1023"/>
      <c r="D53" s="1023"/>
      <c r="E53" s="1023"/>
      <c r="F53" s="1024"/>
      <c r="G53" s="1024"/>
      <c r="H53" s="184"/>
      <c r="I53" s="190"/>
      <c r="J53" s="1026"/>
      <c r="K53" s="1026"/>
      <c r="L53" s="1026"/>
      <c r="M53" s="1026"/>
      <c r="N53" s="1013"/>
      <c r="O53" s="192"/>
      <c r="P53" s="1027"/>
      <c r="Q53" s="1027"/>
      <c r="R53" s="1027"/>
      <c r="S53" s="1027"/>
      <c r="T53" s="1018"/>
      <c r="U53" s="1018"/>
      <c r="V53" s="1027"/>
      <c r="W53" s="1027"/>
      <c r="X53" s="1027"/>
      <c r="Y53" s="1027"/>
      <c r="Z53" s="1001"/>
      <c r="AA53" s="1001"/>
      <c r="AB53" s="1001"/>
      <c r="AC53" s="1027"/>
      <c r="AD53" s="1027"/>
      <c r="AE53" s="1027"/>
      <c r="AF53" s="1027"/>
      <c r="AG53" s="54"/>
      <c r="AH53" s="54"/>
      <c r="AI53" s="54"/>
      <c r="AJ53" s="54"/>
      <c r="AK53" s="154">
        <f>SUM(AK40:AK52)</f>
        <v>0</v>
      </c>
      <c r="AL53" s="154">
        <f>SUM(AL40:AL52)</f>
        <v>0</v>
      </c>
      <c r="AM53" s="154">
        <f>SUM(AM40:AM52)</f>
        <v>0</v>
      </c>
      <c r="AN53" s="154">
        <f>SUM(AN40:AN52)</f>
        <v>0</v>
      </c>
      <c r="AO53" s="55"/>
      <c r="AP53" s="111"/>
      <c r="AQ53" s="112"/>
      <c r="AR53" s="155"/>
      <c r="AS53" s="55"/>
      <c r="AT53" s="54"/>
      <c r="AU53" s="54"/>
      <c r="AV53" s="54"/>
      <c r="AW53" s="54"/>
      <c r="AX53" s="54"/>
      <c r="AY53" s="56"/>
    </row>
    <row r="54" spans="1:51" ht="15.75" customHeight="1">
      <c r="A54" s="1028"/>
      <c r="B54" s="1001"/>
      <c r="C54" s="1001"/>
      <c r="D54" s="1001"/>
      <c r="E54" s="1001"/>
      <c r="F54" s="1001"/>
      <c r="G54" s="1001"/>
      <c r="H54" s="1018"/>
      <c r="I54" s="190"/>
      <c r="J54" s="1026"/>
      <c r="K54" s="1026"/>
      <c r="L54" s="1026"/>
      <c r="M54" s="1026"/>
      <c r="N54" s="1013"/>
      <c r="O54" s="192"/>
      <c r="P54" s="1027"/>
      <c r="Q54" s="1027"/>
      <c r="R54" s="1027"/>
      <c r="S54" s="1027"/>
      <c r="T54" s="1029"/>
      <c r="U54" s="1030"/>
      <c r="V54" s="1027"/>
      <c r="W54" s="1027"/>
      <c r="X54" s="1027"/>
      <c r="Y54" s="1027"/>
      <c r="Z54" s="1031"/>
      <c r="AA54" s="1032"/>
      <c r="AB54" s="1033"/>
      <c r="AC54" s="1027"/>
      <c r="AD54" s="1027"/>
      <c r="AE54" s="1027"/>
      <c r="AF54" s="1027"/>
      <c r="AG54" s="54"/>
      <c r="AH54" s="1030"/>
      <c r="AI54" s="54"/>
      <c r="AJ54" s="54"/>
      <c r="AK54" s="55"/>
      <c r="AL54" s="55"/>
      <c r="AM54" s="55"/>
      <c r="AN54" s="55"/>
      <c r="AO54" s="55"/>
      <c r="AP54" s="55"/>
      <c r="AQ54" s="55"/>
      <c r="AR54" s="157">
        <f>AR45+AR53</f>
        <v>0</v>
      </c>
      <c r="AS54" s="55"/>
      <c r="AT54" s="54"/>
      <c r="AU54" s="54"/>
      <c r="AV54" s="54"/>
      <c r="AW54" s="54"/>
      <c r="AX54" s="54"/>
      <c r="AY54" s="56"/>
    </row>
    <row r="55" spans="1:51" ht="19.5" customHeight="1" thickBot="1">
      <c r="A55" s="1007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007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54"/>
      <c r="AH55" s="54"/>
      <c r="AI55" s="54"/>
      <c r="AJ55" s="54"/>
      <c r="AK55" s="55"/>
      <c r="AL55" s="55"/>
      <c r="AM55" s="55"/>
      <c r="AN55" s="55"/>
      <c r="AO55" s="55"/>
      <c r="AP55" s="55"/>
      <c r="AQ55" s="55"/>
      <c r="AR55" s="55"/>
      <c r="AS55" s="55"/>
      <c r="AT55" s="54"/>
      <c r="AU55" s="54"/>
      <c r="AV55" s="54"/>
      <c r="AW55" s="54"/>
      <c r="AX55" s="54"/>
      <c r="AY55" s="56"/>
    </row>
    <row r="56" spans="1:51" ht="14.25" customHeight="1" thickBot="1">
      <c r="A56" s="1252"/>
      <c r="B56" s="1253"/>
      <c r="C56" s="1254"/>
      <c r="D56" s="1254"/>
      <c r="E56" s="1254"/>
      <c r="F56" s="1254"/>
      <c r="G56" s="1254"/>
      <c r="H56" s="1253"/>
      <c r="I56" s="1254"/>
      <c r="J56" s="1253"/>
      <c r="K56" s="1253"/>
      <c r="L56" s="1253"/>
      <c r="M56" s="1253"/>
      <c r="N56" s="1255"/>
      <c r="O56" s="1258"/>
      <c r="P56" s="1254"/>
      <c r="Q56" s="1254"/>
      <c r="R56" s="1254"/>
      <c r="S56" s="1254"/>
      <c r="T56" s="1259"/>
      <c r="U56" s="1258"/>
      <c r="V56" s="1254"/>
      <c r="W56" s="1254"/>
      <c r="X56" s="1254"/>
      <c r="Y56" s="1254"/>
      <c r="Z56" s="1259"/>
      <c r="AA56" s="1258"/>
      <c r="AB56" s="1258"/>
      <c r="AC56" s="1260"/>
      <c r="AD56" s="1260"/>
      <c r="AE56" s="1260"/>
      <c r="AF56" s="1260"/>
      <c r="AG56" s="1259"/>
      <c r="AH56" s="1258"/>
      <c r="AI56" s="54"/>
      <c r="AJ56" s="54"/>
      <c r="AK56" s="1262" t="s">
        <v>37</v>
      </c>
      <c r="AL56" s="1262"/>
      <c r="AM56" s="1262"/>
      <c r="AN56" s="1262"/>
      <c r="AO56" s="55"/>
      <c r="AP56" s="1250" t="s">
        <v>7</v>
      </c>
      <c r="AQ56" s="1250"/>
      <c r="AR56" s="1250"/>
      <c r="AS56" s="55"/>
      <c r="AT56" s="1261" t="s">
        <v>38</v>
      </c>
      <c r="AU56" s="1261"/>
      <c r="AV56" s="1261"/>
      <c r="AW56" s="1261"/>
      <c r="AX56" s="61" t="s">
        <v>39</v>
      </c>
      <c r="AY56" s="62" t="s">
        <v>12</v>
      </c>
    </row>
    <row r="57" spans="1:51" ht="18" customHeight="1" thickBot="1">
      <c r="A57" s="1252"/>
      <c r="B57" s="1252"/>
      <c r="C57" s="186"/>
      <c r="D57" s="186"/>
      <c r="E57" s="186"/>
      <c r="F57" s="186"/>
      <c r="G57" s="186"/>
      <c r="H57" s="1253"/>
      <c r="I57" s="1254"/>
      <c r="J57" s="185"/>
      <c r="K57" s="185"/>
      <c r="L57" s="185"/>
      <c r="M57" s="185"/>
      <c r="N57" s="1255"/>
      <c r="O57" s="1258"/>
      <c r="P57" s="186"/>
      <c r="Q57" s="185"/>
      <c r="R57" s="1008"/>
      <c r="S57" s="185"/>
      <c r="T57" s="1259"/>
      <c r="U57" s="1259"/>
      <c r="V57" s="186"/>
      <c r="W57" s="185"/>
      <c r="X57" s="1008"/>
      <c r="Y57" s="185"/>
      <c r="Z57" s="1259"/>
      <c r="AA57" s="1259"/>
      <c r="AB57" s="1258"/>
      <c r="AC57" s="186"/>
      <c r="AD57" s="185"/>
      <c r="AE57" s="1008"/>
      <c r="AF57" s="185"/>
      <c r="AG57" s="1259"/>
      <c r="AH57" s="1258"/>
      <c r="AI57" s="54"/>
      <c r="AJ57" s="54"/>
      <c r="AK57" s="72" t="s">
        <v>49</v>
      </c>
      <c r="AL57" s="72" t="s">
        <v>50</v>
      </c>
      <c r="AM57" s="72" t="s">
        <v>51</v>
      </c>
      <c r="AN57" s="72" t="s">
        <v>52</v>
      </c>
      <c r="AO57" s="73">
        <v>130</v>
      </c>
      <c r="AP57" s="1250"/>
      <c r="AQ57" s="1250"/>
      <c r="AR57" s="1250"/>
      <c r="AS57" s="55"/>
      <c r="AT57" s="65" t="s">
        <v>45</v>
      </c>
      <c r="AU57" s="58" t="s">
        <v>46</v>
      </c>
      <c r="AV57" s="68" t="s">
        <v>47</v>
      </c>
      <c r="AW57" s="60" t="s">
        <v>48</v>
      </c>
      <c r="AX57" s="61"/>
      <c r="AY57" s="62"/>
    </row>
    <row r="58" spans="1:51" ht="15" customHeight="1" thickBot="1">
      <c r="A58" s="1009"/>
      <c r="B58" s="1010"/>
      <c r="C58" s="1011"/>
      <c r="D58" s="1011"/>
      <c r="E58" s="1011"/>
      <c r="F58" s="1012"/>
      <c r="G58" s="1012"/>
      <c r="H58" s="184"/>
      <c r="I58" s="190"/>
      <c r="J58" s="1001"/>
      <c r="K58" s="1001"/>
      <c r="L58" s="186"/>
      <c r="M58" s="1001"/>
      <c r="N58" s="1013"/>
      <c r="O58" s="192"/>
      <c r="P58" s="1014"/>
      <c r="Q58" s="1014"/>
      <c r="R58" s="1001"/>
      <c r="S58" s="1014"/>
      <c r="T58" s="1013"/>
      <c r="U58" s="1015"/>
      <c r="V58" s="1014"/>
      <c r="W58" s="1014"/>
      <c r="X58" s="1001"/>
      <c r="Y58" s="1014"/>
      <c r="Z58" s="1013"/>
      <c r="AA58" s="1015"/>
      <c r="AB58" s="1015"/>
      <c r="AC58" s="194"/>
      <c r="AD58" s="194"/>
      <c r="AE58" s="194"/>
      <c r="AF58" s="194"/>
      <c r="AG58" s="1013"/>
      <c r="AH58" s="1015"/>
      <c r="AJ58" s="79" t="str">
        <f t="shared" ref="AJ58:AJ69" si="31">IF(H58=130,0.132335,IF(H58=100,0.0785,IF(H58=110,0.095,IF(H58=160,0.198005,""))))</f>
        <v/>
      </c>
      <c r="AK58" s="16" t="str">
        <f t="shared" ref="AK58:AK69" si="32">IFERROR(P58*3*AJ58,"")</f>
        <v/>
      </c>
      <c r="AL58" s="16" t="str">
        <f t="shared" ref="AL58:AL69" si="33">IFERROR(Q58*4*AJ58,"")</f>
        <v/>
      </c>
      <c r="AM58" s="16" t="str">
        <f t="shared" ref="AM58:AM69" si="34">IFERROR(R58*5*AJ58,"")</f>
        <v/>
      </c>
      <c r="AN58" s="16" t="str">
        <f t="shared" ref="AN58:AN69" si="35">IFERROR(S58*6*AJ58,"")</f>
        <v/>
      </c>
      <c r="AO58" s="55"/>
      <c r="AP58" s="1250"/>
      <c r="AQ58" s="1250"/>
      <c r="AR58" s="1250"/>
      <c r="AS58" s="55"/>
      <c r="AT58" s="85"/>
      <c r="AU58" s="85"/>
      <c r="AV58" s="59"/>
      <c r="AW58" s="93"/>
      <c r="AX58" s="94">
        <f t="shared" ref="AX58:AX69" si="36">AT58*3+AU58*4+AV58*5+AW58*6</f>
        <v>0</v>
      </c>
      <c r="AY58" s="95">
        <f t="shared" ref="AY58:AY69" si="37">AX58*I58</f>
        <v>0</v>
      </c>
    </row>
    <row r="59" spans="1:51" ht="15" customHeight="1">
      <c r="A59" s="1001"/>
      <c r="B59" s="1010"/>
      <c r="C59" s="1011"/>
      <c r="D59" s="1011"/>
      <c r="E59" s="1011"/>
      <c r="F59" s="1012"/>
      <c r="G59" s="1012"/>
      <c r="H59" s="184"/>
      <c r="I59" s="190"/>
      <c r="J59" s="1001"/>
      <c r="K59" s="1001"/>
      <c r="L59" s="186"/>
      <c r="M59" s="1001"/>
      <c r="N59" s="1013"/>
      <c r="O59" s="192"/>
      <c r="P59" s="1014"/>
      <c r="Q59" s="1014"/>
      <c r="R59" s="1001"/>
      <c r="S59" s="1014"/>
      <c r="T59" s="1013"/>
      <c r="U59" s="1015"/>
      <c r="V59" s="1014"/>
      <c r="W59" s="1014"/>
      <c r="X59" s="186"/>
      <c r="Y59" s="1014"/>
      <c r="Z59" s="1013"/>
      <c r="AA59" s="1015"/>
      <c r="AB59" s="1015"/>
      <c r="AC59" s="194"/>
      <c r="AD59" s="194"/>
      <c r="AE59" s="194"/>
      <c r="AF59" s="194"/>
      <c r="AG59" s="1013"/>
      <c r="AH59" s="1015"/>
      <c r="AJ59" s="79" t="str">
        <f t="shared" si="31"/>
        <v/>
      </c>
      <c r="AK59" s="16" t="str">
        <f t="shared" si="32"/>
        <v/>
      </c>
      <c r="AL59" s="16" t="str">
        <f t="shared" si="33"/>
        <v/>
      </c>
      <c r="AM59" s="16" t="str">
        <f t="shared" si="34"/>
        <v/>
      </c>
      <c r="AN59" s="16" t="str">
        <f t="shared" si="35"/>
        <v/>
      </c>
      <c r="AO59" s="55"/>
      <c r="AP59" s="98">
        <v>6</v>
      </c>
      <c r="AQ59" s="99"/>
      <c r="AR59" s="100">
        <f>IFERROR(AP59*AQ59*AS62,0)</f>
        <v>0</v>
      </c>
      <c r="AS59" s="55"/>
      <c r="AT59" s="85"/>
      <c r="AU59" s="85"/>
      <c r="AV59" s="65"/>
      <c r="AW59" s="93"/>
      <c r="AX59" s="94">
        <f t="shared" si="36"/>
        <v>0</v>
      </c>
      <c r="AY59" s="95">
        <f t="shared" si="37"/>
        <v>0</v>
      </c>
    </row>
    <row r="60" spans="1:51" ht="15" customHeight="1">
      <c r="A60" s="1001"/>
      <c r="B60" s="1010"/>
      <c r="C60" s="1016"/>
      <c r="D60" s="1016"/>
      <c r="E60" s="1016"/>
      <c r="F60" s="1017"/>
      <c r="G60" s="1017"/>
      <c r="H60" s="184"/>
      <c r="I60" s="190"/>
      <c r="J60" s="1001"/>
      <c r="K60" s="1001"/>
      <c r="L60" s="186"/>
      <c r="M60" s="1001"/>
      <c r="N60" s="1013"/>
      <c r="O60" s="192"/>
      <c r="P60" s="1014"/>
      <c r="Q60" s="1014"/>
      <c r="R60" s="1001"/>
      <c r="S60" s="1014"/>
      <c r="T60" s="1013"/>
      <c r="U60" s="1015"/>
      <c r="V60" s="1014"/>
      <c r="W60" s="1014"/>
      <c r="X60" s="1001"/>
      <c r="Y60" s="1014"/>
      <c r="Z60" s="1013"/>
      <c r="AA60" s="1015"/>
      <c r="AB60" s="1015"/>
      <c r="AC60" s="194"/>
      <c r="AD60" s="194"/>
      <c r="AE60" s="194"/>
      <c r="AF60" s="194"/>
      <c r="AG60" s="1013"/>
      <c r="AH60" s="1015"/>
      <c r="AJ60" s="79" t="str">
        <f t="shared" si="31"/>
        <v/>
      </c>
      <c r="AK60" s="16" t="str">
        <f t="shared" si="32"/>
        <v/>
      </c>
      <c r="AL60" s="16" t="str">
        <f t="shared" si="33"/>
        <v/>
      </c>
      <c r="AM60" s="16" t="str">
        <f t="shared" si="34"/>
        <v/>
      </c>
      <c r="AN60" s="16" t="str">
        <f t="shared" si="35"/>
        <v/>
      </c>
      <c r="AO60" s="55"/>
      <c r="AP60" s="98">
        <v>5</v>
      </c>
      <c r="AQ60" s="99"/>
      <c r="AR60" s="100">
        <f>IFERROR(AP60*AQ60*AS62,0)</f>
        <v>0</v>
      </c>
      <c r="AS60" s="104"/>
      <c r="AT60" s="58"/>
      <c r="AU60" s="85"/>
      <c r="AV60" s="59"/>
      <c r="AW60" s="93"/>
      <c r="AX60" s="94">
        <f t="shared" si="36"/>
        <v>0</v>
      </c>
      <c r="AY60" s="95">
        <f t="shared" si="37"/>
        <v>0</v>
      </c>
    </row>
    <row r="61" spans="1:51" ht="15" customHeight="1">
      <c r="A61" s="1001"/>
      <c r="B61" s="1010"/>
      <c r="C61" s="1011"/>
      <c r="D61" s="1011"/>
      <c r="E61" s="1011"/>
      <c r="F61" s="1012"/>
      <c r="G61" s="1012"/>
      <c r="H61" s="184"/>
      <c r="I61" s="190"/>
      <c r="J61" s="1001"/>
      <c r="K61" s="1001"/>
      <c r="L61" s="186"/>
      <c r="M61" s="1001"/>
      <c r="N61" s="1013"/>
      <c r="O61" s="192"/>
      <c r="P61" s="1014"/>
      <c r="Q61" s="1014"/>
      <c r="R61" s="1001"/>
      <c r="S61" s="1014"/>
      <c r="T61" s="1013"/>
      <c r="U61" s="1015"/>
      <c r="V61" s="1014"/>
      <c r="W61" s="1014"/>
      <c r="X61" s="1001"/>
      <c r="Y61" s="1014"/>
      <c r="Z61" s="1013"/>
      <c r="AA61" s="1015"/>
      <c r="AB61" s="1015"/>
      <c r="AC61" s="194"/>
      <c r="AD61" s="194"/>
      <c r="AE61" s="194"/>
      <c r="AF61" s="194"/>
      <c r="AG61" s="1013"/>
      <c r="AH61" s="1015"/>
      <c r="AJ61" s="79" t="str">
        <f t="shared" si="31"/>
        <v/>
      </c>
      <c r="AK61" s="16" t="str">
        <f t="shared" si="32"/>
        <v/>
      </c>
      <c r="AL61" s="16" t="str">
        <f t="shared" si="33"/>
        <v/>
      </c>
      <c r="AM61" s="16" t="str">
        <f t="shared" si="34"/>
        <v/>
      </c>
      <c r="AN61" s="16" t="str">
        <f t="shared" si="35"/>
        <v/>
      </c>
      <c r="AO61" s="55"/>
      <c r="AP61" s="98">
        <v>4</v>
      </c>
      <c r="AQ61" s="99"/>
      <c r="AR61" s="100">
        <f>IFERROR(AP61*AQ61*AS62,0)</f>
        <v>0</v>
      </c>
      <c r="AS61" s="104"/>
      <c r="AT61" s="58"/>
      <c r="AU61" s="85"/>
      <c r="AV61" s="59"/>
      <c r="AW61" s="93"/>
      <c r="AX61" s="94">
        <f t="shared" si="36"/>
        <v>0</v>
      </c>
      <c r="AY61" s="95">
        <f t="shared" si="37"/>
        <v>0</v>
      </c>
    </row>
    <row r="62" spans="1:51" ht="15" customHeight="1">
      <c r="A62" s="1001"/>
      <c r="B62" s="1010"/>
      <c r="C62" s="1011"/>
      <c r="D62" s="188"/>
      <c r="E62" s="1011"/>
      <c r="F62" s="1012"/>
      <c r="G62" s="1012"/>
      <c r="H62" s="184"/>
      <c r="I62" s="190"/>
      <c r="J62" s="1001"/>
      <c r="K62" s="1001"/>
      <c r="L62" s="186"/>
      <c r="M62" s="1001"/>
      <c r="N62" s="1013"/>
      <c r="O62" s="192"/>
      <c r="P62" s="1014"/>
      <c r="Q62" s="1014"/>
      <c r="R62" s="1001"/>
      <c r="S62" s="1014"/>
      <c r="T62" s="1013"/>
      <c r="U62" s="1015"/>
      <c r="V62" s="1014"/>
      <c r="W62" s="1014"/>
      <c r="X62" s="1001"/>
      <c r="Y62" s="1014"/>
      <c r="Z62" s="1013"/>
      <c r="AA62" s="1015"/>
      <c r="AB62" s="1015"/>
      <c r="AC62" s="194"/>
      <c r="AD62" s="194"/>
      <c r="AE62" s="194"/>
      <c r="AF62" s="194"/>
      <c r="AG62" s="1013"/>
      <c r="AH62" s="1015"/>
      <c r="AJ62" s="79" t="str">
        <f t="shared" si="31"/>
        <v/>
      </c>
      <c r="AK62" s="16" t="str">
        <f t="shared" si="32"/>
        <v/>
      </c>
      <c r="AL62" s="16" t="str">
        <f t="shared" si="33"/>
        <v/>
      </c>
      <c r="AM62" s="16" t="str">
        <f t="shared" si="34"/>
        <v/>
      </c>
      <c r="AN62" s="16" t="str">
        <f t="shared" si="35"/>
        <v/>
      </c>
      <c r="AO62" s="55"/>
      <c r="AP62" s="98">
        <v>3</v>
      </c>
      <c r="AQ62" s="109"/>
      <c r="AR62" s="100">
        <f>IFERROR(AP62*AQ62*AS62,0)</f>
        <v>0</v>
      </c>
      <c r="AS62" s="48">
        <f>IFERROR(AR63/((AP62*AQ62)+(AP61*AQ61)+(AP60*AQ60)+(AP59*AQ59)),0)</f>
        <v>0</v>
      </c>
      <c r="AT62" s="85"/>
      <c r="AU62" s="85"/>
      <c r="AV62" s="59"/>
      <c r="AW62" s="93"/>
      <c r="AX62" s="94">
        <f t="shared" si="36"/>
        <v>0</v>
      </c>
      <c r="AY62" s="95">
        <f t="shared" si="37"/>
        <v>0</v>
      </c>
    </row>
    <row r="63" spans="1:51" ht="14.25" customHeight="1" thickBot="1">
      <c r="A63" s="1001"/>
      <c r="B63" s="1010"/>
      <c r="C63" s="1011"/>
      <c r="D63" s="1011"/>
      <c r="E63" s="1011"/>
      <c r="F63" s="1012"/>
      <c r="G63" s="1012"/>
      <c r="H63" s="184"/>
      <c r="I63" s="190"/>
      <c r="J63" s="1001"/>
      <c r="K63" s="1001"/>
      <c r="L63" s="186"/>
      <c r="M63" s="1001"/>
      <c r="N63" s="1013"/>
      <c r="O63" s="192"/>
      <c r="P63" s="185"/>
      <c r="Q63" s="1014"/>
      <c r="R63" s="1001"/>
      <c r="S63" s="1014"/>
      <c r="T63" s="1013"/>
      <c r="U63" s="1015"/>
      <c r="V63" s="185"/>
      <c r="W63" s="1014"/>
      <c r="X63" s="1001"/>
      <c r="Y63" s="1014"/>
      <c r="Z63" s="1013"/>
      <c r="AA63" s="1015"/>
      <c r="AB63" s="1015"/>
      <c r="AC63" s="194"/>
      <c r="AD63" s="194"/>
      <c r="AE63" s="194"/>
      <c r="AF63" s="194"/>
      <c r="AG63" s="1013"/>
      <c r="AH63" s="1015"/>
      <c r="AJ63" s="79" t="str">
        <f t="shared" si="31"/>
        <v/>
      </c>
      <c r="AK63" s="16" t="str">
        <f t="shared" si="32"/>
        <v/>
      </c>
      <c r="AL63" s="16" t="str">
        <f t="shared" si="33"/>
        <v/>
      </c>
      <c r="AM63" s="16" t="str">
        <f t="shared" si="34"/>
        <v/>
      </c>
      <c r="AN63" s="16" t="str">
        <f t="shared" si="35"/>
        <v/>
      </c>
      <c r="AO63" s="55"/>
      <c r="AP63" s="111"/>
      <c r="AQ63" s="112"/>
      <c r="AR63" s="113"/>
      <c r="AS63" s="104"/>
      <c r="AT63" s="58"/>
      <c r="AU63" s="85"/>
      <c r="AV63" s="59"/>
      <c r="AW63" s="93"/>
      <c r="AX63" s="94">
        <f t="shared" si="36"/>
        <v>0</v>
      </c>
      <c r="AY63" s="95">
        <f t="shared" si="37"/>
        <v>0</v>
      </c>
    </row>
    <row r="64" spans="1:51" ht="14.25" customHeight="1" thickBot="1">
      <c r="A64" s="1001"/>
      <c r="B64" s="1010"/>
      <c r="C64" s="1011"/>
      <c r="D64" s="1011"/>
      <c r="E64" s="1011"/>
      <c r="F64" s="1012"/>
      <c r="G64" s="1012"/>
      <c r="H64" s="184"/>
      <c r="I64" s="190"/>
      <c r="J64" s="1001"/>
      <c r="K64" s="1001"/>
      <c r="L64" s="186"/>
      <c r="M64" s="1001"/>
      <c r="N64" s="1013"/>
      <c r="O64" s="192"/>
      <c r="P64" s="1014"/>
      <c r="Q64" s="1014"/>
      <c r="R64" s="1001"/>
      <c r="S64" s="1014"/>
      <c r="T64" s="1013"/>
      <c r="U64" s="1015"/>
      <c r="V64" s="1014"/>
      <c r="W64" s="1014"/>
      <c r="X64" s="1001"/>
      <c r="Y64" s="1014"/>
      <c r="Z64" s="1013"/>
      <c r="AA64" s="1015"/>
      <c r="AB64" s="1015"/>
      <c r="AC64" s="194"/>
      <c r="AD64" s="194"/>
      <c r="AE64" s="194"/>
      <c r="AF64" s="194"/>
      <c r="AG64" s="1013"/>
      <c r="AH64" s="1015"/>
      <c r="AJ64" s="79" t="str">
        <f t="shared" si="31"/>
        <v/>
      </c>
      <c r="AK64" s="16" t="str">
        <f t="shared" si="32"/>
        <v/>
      </c>
      <c r="AL64" s="16" t="str">
        <f t="shared" si="33"/>
        <v/>
      </c>
      <c r="AM64" s="16" t="str">
        <f t="shared" si="34"/>
        <v/>
      </c>
      <c r="AN64" s="16" t="str">
        <f t="shared" si="35"/>
        <v/>
      </c>
      <c r="AO64" s="55"/>
      <c r="AP64" s="1250" t="s">
        <v>7</v>
      </c>
      <c r="AQ64" s="1250"/>
      <c r="AR64" s="1250"/>
      <c r="AS64" s="104"/>
      <c r="AT64" s="85"/>
      <c r="AU64" s="85"/>
      <c r="AV64" s="59"/>
      <c r="AW64" s="93"/>
      <c r="AX64" s="94">
        <f t="shared" si="36"/>
        <v>0</v>
      </c>
      <c r="AY64" s="95">
        <f t="shared" si="37"/>
        <v>0</v>
      </c>
    </row>
    <row r="65" spans="1:51" ht="15" customHeight="1" thickBot="1">
      <c r="A65" s="1001"/>
      <c r="B65" s="1010"/>
      <c r="C65" s="1011"/>
      <c r="D65" s="1011"/>
      <c r="E65" s="1011"/>
      <c r="F65" s="1012"/>
      <c r="G65" s="1012"/>
      <c r="H65" s="184"/>
      <c r="I65" s="190"/>
      <c r="J65" s="1001"/>
      <c r="K65" s="1001"/>
      <c r="L65" s="186"/>
      <c r="M65" s="1001"/>
      <c r="N65" s="1013"/>
      <c r="O65" s="192"/>
      <c r="P65" s="1014"/>
      <c r="Q65" s="1014"/>
      <c r="R65" s="1001"/>
      <c r="S65" s="1014"/>
      <c r="T65" s="1013"/>
      <c r="U65" s="1015"/>
      <c r="V65" s="1014"/>
      <c r="W65" s="185"/>
      <c r="X65" s="1001"/>
      <c r="Y65" s="1014"/>
      <c r="Z65" s="1013"/>
      <c r="AA65" s="1015"/>
      <c r="AB65" s="1015"/>
      <c r="AC65" s="194"/>
      <c r="AD65" s="194"/>
      <c r="AE65" s="194"/>
      <c r="AF65" s="194"/>
      <c r="AG65" s="1013"/>
      <c r="AH65" s="1015"/>
      <c r="AJ65" s="79" t="str">
        <f t="shared" si="31"/>
        <v/>
      </c>
      <c r="AK65" s="16" t="str">
        <f t="shared" si="32"/>
        <v/>
      </c>
      <c r="AL65" s="16" t="str">
        <f t="shared" si="33"/>
        <v/>
      </c>
      <c r="AM65" s="16" t="str">
        <f t="shared" si="34"/>
        <v/>
      </c>
      <c r="AN65" s="16" t="str">
        <f t="shared" si="35"/>
        <v/>
      </c>
      <c r="AO65" s="73">
        <v>160</v>
      </c>
      <c r="AP65" s="1250"/>
      <c r="AQ65" s="1250"/>
      <c r="AR65" s="1250"/>
      <c r="AS65" s="55"/>
      <c r="AT65" s="85"/>
      <c r="AU65" s="58"/>
      <c r="AV65" s="59"/>
      <c r="AW65" s="93"/>
      <c r="AX65" s="94">
        <f t="shared" si="36"/>
        <v>0</v>
      </c>
      <c r="AY65" s="95">
        <f t="shared" si="37"/>
        <v>0</v>
      </c>
    </row>
    <row r="66" spans="1:51" ht="15" customHeight="1" thickBot="1">
      <c r="A66" s="1001"/>
      <c r="B66" s="1010"/>
      <c r="C66" s="1011"/>
      <c r="D66" s="1011"/>
      <c r="E66" s="1011"/>
      <c r="F66" s="1012"/>
      <c r="G66" s="1012"/>
      <c r="H66" s="184"/>
      <c r="I66" s="190"/>
      <c r="J66" s="1001"/>
      <c r="K66" s="1001"/>
      <c r="L66" s="186"/>
      <c r="M66" s="1001"/>
      <c r="N66" s="1013"/>
      <c r="O66" s="192"/>
      <c r="P66" s="1014"/>
      <c r="Q66" s="185"/>
      <c r="R66" s="1018"/>
      <c r="S66" s="1014"/>
      <c r="T66" s="1013"/>
      <c r="U66" s="1015"/>
      <c r="V66" s="1014"/>
      <c r="W66" s="185"/>
      <c r="X66" s="1001"/>
      <c r="Y66" s="1014"/>
      <c r="Z66" s="1013"/>
      <c r="AA66" s="1015"/>
      <c r="AB66" s="1015"/>
      <c r="AC66" s="194"/>
      <c r="AD66" s="194"/>
      <c r="AE66" s="194"/>
      <c r="AF66" s="194"/>
      <c r="AG66" s="1013"/>
      <c r="AH66" s="1015"/>
      <c r="AJ66" s="79" t="str">
        <f t="shared" si="31"/>
        <v/>
      </c>
      <c r="AK66" s="16" t="str">
        <f t="shared" si="32"/>
        <v/>
      </c>
      <c r="AL66" s="16" t="str">
        <f t="shared" si="33"/>
        <v/>
      </c>
      <c r="AM66" s="16" t="str">
        <f t="shared" si="34"/>
        <v/>
      </c>
      <c r="AN66" s="16" t="str">
        <f t="shared" si="35"/>
        <v/>
      </c>
      <c r="AO66" s="55"/>
      <c r="AP66" s="1250"/>
      <c r="AQ66" s="1250"/>
      <c r="AR66" s="1250"/>
      <c r="AS66" s="55"/>
      <c r="AT66" s="85"/>
      <c r="AU66" s="58"/>
      <c r="AV66" s="59"/>
      <c r="AW66" s="93"/>
      <c r="AX66" s="94">
        <f t="shared" si="36"/>
        <v>0</v>
      </c>
      <c r="AY66" s="95">
        <f t="shared" si="37"/>
        <v>0</v>
      </c>
    </row>
    <row r="67" spans="1:51" ht="16.5" customHeight="1">
      <c r="A67" s="1001"/>
      <c r="B67" s="1010"/>
      <c r="C67" s="1011"/>
      <c r="D67" s="1011"/>
      <c r="E67" s="1011"/>
      <c r="F67" s="1012"/>
      <c r="G67" s="1012"/>
      <c r="H67" s="184"/>
      <c r="I67" s="190"/>
      <c r="J67" s="1001"/>
      <c r="K67" s="1001"/>
      <c r="L67" s="186"/>
      <c r="M67" s="1001"/>
      <c r="N67" s="1013"/>
      <c r="O67" s="192"/>
      <c r="P67" s="1014"/>
      <c r="Q67" s="185"/>
      <c r="R67" s="1014"/>
      <c r="S67" s="1014"/>
      <c r="T67" s="1013"/>
      <c r="U67" s="1015"/>
      <c r="V67" s="1014"/>
      <c r="W67" s="185"/>
      <c r="X67" s="1001"/>
      <c r="Y67" s="1014"/>
      <c r="Z67" s="1013"/>
      <c r="AA67" s="1015"/>
      <c r="AB67" s="1015"/>
      <c r="AC67" s="194"/>
      <c r="AD67" s="194"/>
      <c r="AE67" s="194"/>
      <c r="AF67" s="194"/>
      <c r="AG67" s="1013"/>
      <c r="AH67" s="1015"/>
      <c r="AJ67" s="79" t="str">
        <f t="shared" si="31"/>
        <v/>
      </c>
      <c r="AK67" s="16" t="str">
        <f t="shared" si="32"/>
        <v/>
      </c>
      <c r="AL67" s="16" t="str">
        <f t="shared" si="33"/>
        <v/>
      </c>
      <c r="AM67" s="16" t="str">
        <f t="shared" si="34"/>
        <v/>
      </c>
      <c r="AN67" s="16" t="str">
        <f t="shared" si="35"/>
        <v/>
      </c>
      <c r="AO67" s="55"/>
      <c r="AP67" s="117">
        <v>6</v>
      </c>
      <c r="AQ67" s="118"/>
      <c r="AR67" s="100">
        <f>IFERROR(AP67*AQ67*AS70,0)</f>
        <v>0</v>
      </c>
      <c r="AS67" s="55"/>
      <c r="AT67" s="85"/>
      <c r="AU67" s="58"/>
      <c r="AV67" s="59"/>
      <c r="AW67" s="93"/>
      <c r="AX67" s="94">
        <f t="shared" si="36"/>
        <v>0</v>
      </c>
      <c r="AY67" s="95">
        <f t="shared" si="37"/>
        <v>0</v>
      </c>
    </row>
    <row r="68" spans="1:51" ht="16.5" customHeight="1">
      <c r="A68" s="1001"/>
      <c r="B68" s="1010"/>
      <c r="C68" s="1011"/>
      <c r="D68" s="1011"/>
      <c r="E68" s="1011"/>
      <c r="F68" s="1012"/>
      <c r="G68" s="1012"/>
      <c r="H68" s="184"/>
      <c r="I68" s="190"/>
      <c r="J68" s="1001"/>
      <c r="K68" s="1001"/>
      <c r="L68" s="186"/>
      <c r="M68" s="1001"/>
      <c r="N68" s="1013"/>
      <c r="O68" s="192"/>
      <c r="P68" s="1014"/>
      <c r="Q68" s="184"/>
      <c r="R68" s="1018"/>
      <c r="S68" s="1019"/>
      <c r="T68" s="1013"/>
      <c r="U68" s="1015"/>
      <c r="V68" s="1014"/>
      <c r="W68" s="185"/>
      <c r="X68" s="1001"/>
      <c r="Y68" s="1014"/>
      <c r="Z68" s="1013"/>
      <c r="AA68" s="1015"/>
      <c r="AB68" s="1015"/>
      <c r="AC68" s="194"/>
      <c r="AD68" s="194"/>
      <c r="AE68" s="194"/>
      <c r="AF68" s="194"/>
      <c r="AG68" s="1013"/>
      <c r="AH68" s="1015"/>
      <c r="AJ68" s="79" t="str">
        <f t="shared" si="31"/>
        <v/>
      </c>
      <c r="AK68" s="16" t="str">
        <f t="shared" si="32"/>
        <v/>
      </c>
      <c r="AL68" s="16" t="str">
        <f t="shared" si="33"/>
        <v/>
      </c>
      <c r="AM68" s="16" t="str">
        <f t="shared" si="34"/>
        <v/>
      </c>
      <c r="AN68" s="16" t="str">
        <f t="shared" si="35"/>
        <v/>
      </c>
      <c r="AO68" s="55"/>
      <c r="AP68" s="98">
        <v>5</v>
      </c>
      <c r="AQ68" s="99"/>
      <c r="AR68" s="100">
        <f>IFERROR(AP68*AQ68*AS70,0)</f>
        <v>0</v>
      </c>
      <c r="AS68" s="55"/>
      <c r="AT68" s="116"/>
      <c r="AU68" s="115"/>
      <c r="AV68" s="116"/>
      <c r="AW68" s="123"/>
      <c r="AX68" s="94">
        <f t="shared" si="36"/>
        <v>0</v>
      </c>
      <c r="AY68" s="95">
        <f t="shared" si="37"/>
        <v>0</v>
      </c>
    </row>
    <row r="69" spans="1:51" ht="15.75" customHeight="1">
      <c r="A69" s="1001"/>
      <c r="B69" s="1010"/>
      <c r="C69" s="1020"/>
      <c r="D69" s="1021"/>
      <c r="E69" s="1020"/>
      <c r="F69" s="1022"/>
      <c r="G69" s="1022"/>
      <c r="H69" s="184"/>
      <c r="I69" s="190"/>
      <c r="J69" s="1001"/>
      <c r="K69" s="1001"/>
      <c r="L69" s="186"/>
      <c r="M69" s="1001"/>
      <c r="N69" s="1013"/>
      <c r="O69" s="192"/>
      <c r="P69" s="1019"/>
      <c r="Q69" s="184"/>
      <c r="R69" s="1018"/>
      <c r="S69" s="1019"/>
      <c r="T69" s="1013"/>
      <c r="U69" s="1015"/>
      <c r="V69" s="1014"/>
      <c r="W69" s="185"/>
      <c r="X69" s="1001"/>
      <c r="Y69" s="1014"/>
      <c r="Z69" s="1013"/>
      <c r="AA69" s="1015"/>
      <c r="AB69" s="1015"/>
      <c r="AC69" s="194"/>
      <c r="AD69" s="194"/>
      <c r="AE69" s="194"/>
      <c r="AF69" s="194"/>
      <c r="AG69" s="1013"/>
      <c r="AH69" s="1015"/>
      <c r="AJ69" s="79" t="str">
        <f t="shared" si="31"/>
        <v/>
      </c>
      <c r="AK69" s="16" t="str">
        <f t="shared" si="32"/>
        <v/>
      </c>
      <c r="AL69" s="16" t="str">
        <f t="shared" si="33"/>
        <v/>
      </c>
      <c r="AM69" s="16" t="str">
        <f t="shared" si="34"/>
        <v/>
      </c>
      <c r="AN69" s="16" t="str">
        <f t="shared" si="35"/>
        <v/>
      </c>
      <c r="AO69" s="104"/>
      <c r="AP69" s="98">
        <v>4</v>
      </c>
      <c r="AQ69" s="99"/>
      <c r="AR69" s="100">
        <f>IFERROR(AP69*AQ69*AS70,0)</f>
        <v>0</v>
      </c>
      <c r="AS69" s="55"/>
      <c r="AT69" s="85"/>
      <c r="AU69" s="58"/>
      <c r="AV69" s="59"/>
      <c r="AW69" s="93"/>
      <c r="AX69" s="94">
        <f t="shared" si="36"/>
        <v>0</v>
      </c>
      <c r="AY69" s="95">
        <f t="shared" si="37"/>
        <v>0</v>
      </c>
    </row>
    <row r="70" spans="1:51" ht="15" customHeight="1">
      <c r="A70" s="1001"/>
      <c r="B70" s="1001"/>
      <c r="C70" s="1023"/>
      <c r="D70" s="1023"/>
      <c r="E70" s="1023"/>
      <c r="F70" s="1024"/>
      <c r="G70" s="1024"/>
      <c r="H70" s="1001"/>
      <c r="I70" s="1001"/>
      <c r="J70" s="201"/>
      <c r="K70" s="201"/>
      <c r="L70" s="201"/>
      <c r="M70" s="201"/>
      <c r="N70" s="1025"/>
      <c r="O70" s="1002"/>
      <c r="P70" s="1001"/>
      <c r="Q70" s="1001"/>
      <c r="R70" s="1001"/>
      <c r="S70" s="1003"/>
      <c r="T70" s="1001"/>
      <c r="U70" s="1004"/>
      <c r="V70" s="1001"/>
      <c r="W70" s="1001"/>
      <c r="X70" s="1001"/>
      <c r="Y70" s="1001"/>
      <c r="Z70" s="1001"/>
      <c r="AA70" s="1004"/>
      <c r="AB70" s="1001"/>
      <c r="AC70" s="1001"/>
      <c r="AD70" s="1001"/>
      <c r="AE70" s="1001"/>
      <c r="AF70" s="1001"/>
      <c r="AG70" s="54"/>
      <c r="AH70" s="54"/>
      <c r="AI70" s="54"/>
      <c r="AJ70" s="54"/>
      <c r="AK70" s="137"/>
      <c r="AL70" s="137"/>
      <c r="AM70" s="137"/>
      <c r="AN70" s="137"/>
      <c r="AO70" s="55"/>
      <c r="AP70" s="98">
        <v>3</v>
      </c>
      <c r="AQ70" s="109"/>
      <c r="AR70" s="100">
        <f>IFERROR(AP70*AQ70*AS70,0)</f>
        <v>0</v>
      </c>
      <c r="AS70" s="48">
        <f>IFERROR(AR71/((AP70*AQ70)+(AP69*AQ69)+(AP68*AQ68)+(AP67*AQ67)),0)</f>
        <v>0</v>
      </c>
      <c r="AT70" s="54"/>
      <c r="AU70" s="54"/>
      <c r="AV70" s="54"/>
      <c r="AW70" s="54"/>
      <c r="AX70" s="54"/>
      <c r="AY70" s="56"/>
    </row>
    <row r="71" spans="1:51" ht="15" customHeight="1" thickBot="1">
      <c r="A71" s="1001"/>
      <c r="B71" s="1001"/>
      <c r="C71" s="1023"/>
      <c r="D71" s="1023"/>
      <c r="E71" s="1023"/>
      <c r="F71" s="1024"/>
      <c r="G71" s="1024"/>
      <c r="H71" s="184"/>
      <c r="I71" s="190"/>
      <c r="J71" s="1026"/>
      <c r="K71" s="1026"/>
      <c r="L71" s="1026"/>
      <c r="M71" s="1026"/>
      <c r="N71" s="1013"/>
      <c r="O71" s="192"/>
      <c r="P71" s="1027"/>
      <c r="Q71" s="1027"/>
      <c r="R71" s="1027"/>
      <c r="S71" s="1027"/>
      <c r="T71" s="1018"/>
      <c r="U71" s="1018"/>
      <c r="V71" s="1027"/>
      <c r="W71" s="1027"/>
      <c r="X71" s="1027"/>
      <c r="Y71" s="1027"/>
      <c r="Z71" s="1001"/>
      <c r="AA71" s="1001"/>
      <c r="AB71" s="1001"/>
      <c r="AC71" s="1027"/>
      <c r="AD71" s="1027"/>
      <c r="AE71" s="1027"/>
      <c r="AF71" s="1027"/>
      <c r="AG71" s="54"/>
      <c r="AH71" s="54"/>
      <c r="AI71" s="54"/>
      <c r="AJ71" s="54"/>
      <c r="AK71" s="154">
        <f>SUM(AK58:AK70)</f>
        <v>0</v>
      </c>
      <c r="AL71" s="154">
        <f>SUM(AL58:AL70)</f>
        <v>0</v>
      </c>
      <c r="AM71" s="154">
        <f>SUM(AM58:AM70)</f>
        <v>0</v>
      </c>
      <c r="AN71" s="154">
        <f>SUM(AN58:AN70)</f>
        <v>0</v>
      </c>
      <c r="AO71" s="55"/>
      <c r="AP71" s="111"/>
      <c r="AQ71" s="112"/>
      <c r="AR71" s="155"/>
      <c r="AS71" s="55"/>
      <c r="AT71" s="54"/>
      <c r="AU71" s="54"/>
      <c r="AV71" s="54"/>
      <c r="AW71" s="54"/>
      <c r="AX71" s="54"/>
      <c r="AY71" s="56"/>
    </row>
    <row r="72" spans="1:51" ht="15.75" customHeight="1">
      <c r="A72" s="1028"/>
      <c r="B72" s="1001"/>
      <c r="C72" s="1001"/>
      <c r="D72" s="1001"/>
      <c r="E72" s="1001"/>
      <c r="F72" s="1001"/>
      <c r="G72" s="1001"/>
      <c r="H72" s="1018"/>
      <c r="I72" s="190"/>
      <c r="J72" s="1026"/>
      <c r="K72" s="1026"/>
      <c r="L72" s="1026"/>
      <c r="M72" s="1026"/>
      <c r="N72" s="1013"/>
      <c r="O72" s="192"/>
      <c r="P72" s="1027"/>
      <c r="Q72" s="1027"/>
      <c r="R72" s="1027"/>
      <c r="S72" s="1027"/>
      <c r="T72" s="1029"/>
      <c r="U72" s="1030"/>
      <c r="V72" s="1027"/>
      <c r="W72" s="1027"/>
      <c r="X72" s="1027"/>
      <c r="Y72" s="1027"/>
      <c r="Z72" s="1031"/>
      <c r="AA72" s="1032"/>
      <c r="AB72" s="1033"/>
      <c r="AC72" s="1027"/>
      <c r="AD72" s="1027"/>
      <c r="AE72" s="1027"/>
      <c r="AF72" s="1027"/>
      <c r="AG72" s="54"/>
      <c r="AH72" s="1030"/>
      <c r="AI72" s="54"/>
      <c r="AJ72" s="54"/>
      <c r="AK72" s="55"/>
      <c r="AL72" s="55"/>
      <c r="AM72" s="55"/>
      <c r="AN72" s="55"/>
      <c r="AO72" s="55"/>
      <c r="AP72" s="55"/>
      <c r="AQ72" s="55"/>
      <c r="AR72" s="157">
        <f>AR63+AR71</f>
        <v>0</v>
      </c>
      <c r="AS72" s="55"/>
      <c r="AT72" s="54"/>
      <c r="AU72" s="54"/>
      <c r="AV72" s="54"/>
      <c r="AW72" s="54"/>
      <c r="AX72" s="54"/>
      <c r="AY72" s="56"/>
    </row>
    <row r="73" spans="1:51" ht="19.5" customHeight="1" thickBot="1">
      <c r="A73" s="1007"/>
      <c r="B73" s="1152"/>
      <c r="C73" s="1152"/>
      <c r="D73" s="1152"/>
      <c r="E73" s="1152"/>
      <c r="F73" s="1152"/>
      <c r="G73" s="1152"/>
      <c r="H73" s="1152"/>
      <c r="I73" s="1152"/>
      <c r="J73" s="1152"/>
      <c r="K73" s="1152"/>
      <c r="L73" s="1152"/>
      <c r="M73" s="1007"/>
      <c r="N73" s="1152"/>
      <c r="O73" s="1152"/>
      <c r="P73" s="1152"/>
      <c r="Q73" s="1152"/>
      <c r="R73" s="1152"/>
      <c r="S73" s="1152"/>
      <c r="T73" s="1152"/>
      <c r="U73" s="1152"/>
      <c r="V73" s="1152"/>
      <c r="W73" s="1152"/>
      <c r="X73" s="1152"/>
      <c r="Y73" s="1152"/>
      <c r="Z73" s="1152"/>
      <c r="AA73" s="1152"/>
      <c r="AB73" s="1152"/>
      <c r="AC73" s="1152"/>
      <c r="AD73" s="1152"/>
      <c r="AE73" s="1152"/>
      <c r="AF73" s="1152"/>
      <c r="AG73" s="54"/>
      <c r="AH73" s="54"/>
      <c r="AI73" s="54"/>
      <c r="AJ73" s="54"/>
      <c r="AK73" s="55"/>
      <c r="AL73" s="55"/>
      <c r="AM73" s="55"/>
      <c r="AN73" s="55"/>
      <c r="AO73" s="55"/>
      <c r="AP73" s="55"/>
      <c r="AQ73" s="55"/>
      <c r="AR73" s="55"/>
      <c r="AS73" s="55"/>
      <c r="AT73" s="54"/>
      <c r="AU73" s="54"/>
      <c r="AV73" s="54"/>
      <c r="AW73" s="54"/>
      <c r="AX73" s="54"/>
      <c r="AY73" s="56"/>
    </row>
    <row r="74" spans="1:51" ht="14.25" customHeight="1" thickBot="1">
      <c r="A74" s="1263"/>
      <c r="B74" s="1264"/>
      <c r="C74" s="1258"/>
      <c r="D74" s="1258"/>
      <c r="E74" s="1258"/>
      <c r="F74" s="1258"/>
      <c r="G74" s="1258"/>
      <c r="H74" s="1264"/>
      <c r="I74" s="1258"/>
      <c r="J74" s="1264"/>
      <c r="K74" s="1264"/>
      <c r="L74" s="1264"/>
      <c r="M74" s="1264"/>
      <c r="N74" s="1259"/>
      <c r="O74" s="1258"/>
      <c r="P74" s="1258"/>
      <c r="Q74" s="1258"/>
      <c r="R74" s="1258"/>
      <c r="S74" s="1258"/>
      <c r="T74" s="1259"/>
      <c r="U74" s="1258"/>
      <c r="V74" s="1258"/>
      <c r="W74" s="1258"/>
      <c r="X74" s="1258"/>
      <c r="Y74" s="1258"/>
      <c r="Z74" s="1259"/>
      <c r="AA74" s="1258"/>
      <c r="AB74" s="1258"/>
      <c r="AC74" s="1260"/>
      <c r="AD74" s="1260"/>
      <c r="AE74" s="1260"/>
      <c r="AF74" s="1260"/>
      <c r="AG74" s="1259"/>
      <c r="AH74" s="1258"/>
      <c r="AI74" s="54"/>
      <c r="AJ74" s="54"/>
      <c r="AK74" s="1262" t="s">
        <v>37</v>
      </c>
      <c r="AL74" s="1262"/>
      <c r="AM74" s="1262"/>
      <c r="AN74" s="1262"/>
      <c r="AO74" s="55"/>
      <c r="AP74" s="1250" t="s">
        <v>7</v>
      </c>
      <c r="AQ74" s="1250"/>
      <c r="AR74" s="1250"/>
      <c r="AS74" s="55"/>
      <c r="AT74" s="1261" t="s">
        <v>38</v>
      </c>
      <c r="AU74" s="1261"/>
      <c r="AV74" s="1261"/>
      <c r="AW74" s="1261"/>
      <c r="AX74" s="61" t="s">
        <v>39</v>
      </c>
      <c r="AY74" s="62" t="s">
        <v>12</v>
      </c>
    </row>
    <row r="75" spans="1:51" ht="18" customHeight="1" thickBot="1">
      <c r="A75" s="1263"/>
      <c r="B75" s="1263"/>
      <c r="C75" s="1001"/>
      <c r="D75" s="1001"/>
      <c r="E75" s="1001"/>
      <c r="F75" s="1001"/>
      <c r="G75" s="1001"/>
      <c r="H75" s="1264"/>
      <c r="I75" s="1258"/>
      <c r="J75" s="1140"/>
      <c r="K75" s="1140"/>
      <c r="L75" s="1140"/>
      <c r="M75" s="1140"/>
      <c r="N75" s="1259"/>
      <c r="O75" s="1258"/>
      <c r="P75" s="1001"/>
      <c r="Q75" s="1140"/>
      <c r="R75" s="1008"/>
      <c r="S75" s="1140"/>
      <c r="T75" s="1259"/>
      <c r="U75" s="1259"/>
      <c r="V75" s="1001"/>
      <c r="W75" s="1140"/>
      <c r="X75" s="1008"/>
      <c r="Y75" s="1140"/>
      <c r="Z75" s="1259"/>
      <c r="AA75" s="1259"/>
      <c r="AB75" s="1258"/>
      <c r="AC75" s="1001"/>
      <c r="AD75" s="1140"/>
      <c r="AE75" s="1008"/>
      <c r="AF75" s="1140"/>
      <c r="AG75" s="1259"/>
      <c r="AH75" s="1258"/>
      <c r="AI75" s="54"/>
      <c r="AJ75" s="54"/>
      <c r="AK75" s="72" t="s">
        <v>49</v>
      </c>
      <c r="AL75" s="72" t="s">
        <v>50</v>
      </c>
      <c r="AM75" s="72" t="s">
        <v>51</v>
      </c>
      <c r="AN75" s="72" t="s">
        <v>52</v>
      </c>
      <c r="AO75" s="73">
        <v>130</v>
      </c>
      <c r="AP75" s="1250"/>
      <c r="AQ75" s="1250"/>
      <c r="AR75" s="1250"/>
      <c r="AS75" s="55"/>
      <c r="AT75" s="65" t="s">
        <v>45</v>
      </c>
      <c r="AU75" s="58" t="s">
        <v>46</v>
      </c>
      <c r="AV75" s="68" t="s">
        <v>47</v>
      </c>
      <c r="AW75" s="60" t="s">
        <v>48</v>
      </c>
      <c r="AX75" s="61"/>
      <c r="AY75" s="62"/>
    </row>
    <row r="76" spans="1:51" ht="15" customHeight="1" thickBot="1">
      <c r="A76" s="1009"/>
      <c r="B76" s="1010"/>
      <c r="C76" s="1153"/>
      <c r="D76" s="1153"/>
      <c r="E76" s="1153"/>
      <c r="F76" s="1154"/>
      <c r="G76" s="1154"/>
      <c r="H76" s="1018"/>
      <c r="I76" s="1155"/>
      <c r="J76" s="1001"/>
      <c r="K76" s="1001"/>
      <c r="L76" s="1001"/>
      <c r="M76" s="1001"/>
      <c r="N76" s="1013"/>
      <c r="O76" s="1024"/>
      <c r="P76" s="1014"/>
      <c r="Q76" s="1014"/>
      <c r="R76" s="1001"/>
      <c r="S76" s="1014"/>
      <c r="T76" s="1013"/>
      <c r="U76" s="1156"/>
      <c r="V76" s="1014"/>
      <c r="W76" s="1014"/>
      <c r="X76" s="1001"/>
      <c r="Y76" s="1014"/>
      <c r="Z76" s="1013"/>
      <c r="AA76" s="1156"/>
      <c r="AB76" s="1156"/>
      <c r="AC76" s="1157"/>
      <c r="AD76" s="1157"/>
      <c r="AE76" s="1157"/>
      <c r="AF76" s="1157"/>
      <c r="AG76" s="1013"/>
      <c r="AH76" s="1156"/>
      <c r="AJ76" s="79" t="str">
        <f t="shared" ref="AJ76:AJ87" si="38">IF(H76=130,0.132335,IF(H76=100,0.0785,IF(H76=110,0.095,IF(H76=160,0.198005,""))))</f>
        <v/>
      </c>
      <c r="AK76" s="16" t="str">
        <f t="shared" ref="AK76:AK87" si="39">IFERROR(P76*3*AJ76,"")</f>
        <v/>
      </c>
      <c r="AL76" s="16" t="str">
        <f t="shared" ref="AL76:AL87" si="40">IFERROR(Q76*4*AJ76,"")</f>
        <v/>
      </c>
      <c r="AM76" s="16" t="str">
        <f t="shared" ref="AM76:AM87" si="41">IFERROR(R76*5*AJ76,"")</f>
        <v/>
      </c>
      <c r="AN76" s="16" t="str">
        <f t="shared" ref="AN76:AN87" si="42">IFERROR(S76*6*AJ76,"")</f>
        <v/>
      </c>
      <c r="AO76" s="55"/>
      <c r="AP76" s="1250"/>
      <c r="AQ76" s="1250"/>
      <c r="AR76" s="1250"/>
      <c r="AS76" s="55"/>
      <c r="AT76" s="85"/>
      <c r="AU76" s="85"/>
      <c r="AV76" s="59"/>
      <c r="AW76" s="93"/>
      <c r="AX76" s="94">
        <f t="shared" ref="AX76:AX87" si="43">AT76*3+AU76*4+AV76*5+AW76*6</f>
        <v>0</v>
      </c>
      <c r="AY76" s="95">
        <f t="shared" ref="AY76:AY87" si="44">AX76*I76</f>
        <v>0</v>
      </c>
    </row>
    <row r="77" spans="1:51" ht="15" customHeight="1">
      <c r="A77" s="1001"/>
      <c r="B77" s="1010"/>
      <c r="C77" s="1153"/>
      <c r="D77" s="1153"/>
      <c r="E77" s="1153"/>
      <c r="F77" s="1154"/>
      <c r="G77" s="1154"/>
      <c r="H77" s="1018"/>
      <c r="I77" s="1155"/>
      <c r="J77" s="1001"/>
      <c r="K77" s="1001"/>
      <c r="L77" s="1001"/>
      <c r="M77" s="1001"/>
      <c r="N77" s="1013"/>
      <c r="O77" s="1024"/>
      <c r="P77" s="1014"/>
      <c r="Q77" s="1014"/>
      <c r="R77" s="1001"/>
      <c r="S77" s="1014"/>
      <c r="T77" s="1013"/>
      <c r="U77" s="1156"/>
      <c r="V77" s="1014"/>
      <c r="W77" s="1014"/>
      <c r="X77" s="1001"/>
      <c r="Y77" s="1014"/>
      <c r="Z77" s="1013"/>
      <c r="AA77" s="1156"/>
      <c r="AB77" s="1156"/>
      <c r="AC77" s="1157"/>
      <c r="AD77" s="1157"/>
      <c r="AE77" s="1157"/>
      <c r="AF77" s="1157"/>
      <c r="AG77" s="1013"/>
      <c r="AH77" s="1156"/>
      <c r="AJ77" s="79" t="str">
        <f t="shared" si="38"/>
        <v/>
      </c>
      <c r="AK77" s="16" t="str">
        <f t="shared" si="39"/>
        <v/>
      </c>
      <c r="AL77" s="16" t="str">
        <f t="shared" si="40"/>
        <v/>
      </c>
      <c r="AM77" s="16" t="str">
        <f t="shared" si="41"/>
        <v/>
      </c>
      <c r="AN77" s="16" t="str">
        <f t="shared" si="42"/>
        <v/>
      </c>
      <c r="AO77" s="55"/>
      <c r="AP77" s="98">
        <v>6</v>
      </c>
      <c r="AQ77" s="99"/>
      <c r="AR77" s="100">
        <f>IFERROR(AP77*AQ77*AS80,0)</f>
        <v>0</v>
      </c>
      <c r="AS77" s="55"/>
      <c r="AT77" s="85"/>
      <c r="AU77" s="85"/>
      <c r="AV77" s="65"/>
      <c r="AW77" s="93"/>
      <c r="AX77" s="94">
        <f t="shared" si="43"/>
        <v>0</v>
      </c>
      <c r="AY77" s="95">
        <f t="shared" si="44"/>
        <v>0</v>
      </c>
    </row>
    <row r="78" spans="1:51" ht="15" customHeight="1">
      <c r="A78" s="1001"/>
      <c r="B78" s="1010"/>
      <c r="C78" s="1158"/>
      <c r="D78" s="1158"/>
      <c r="E78" s="1158"/>
      <c r="F78" s="1159"/>
      <c r="G78" s="1159"/>
      <c r="H78" s="1018"/>
      <c r="I78" s="1155"/>
      <c r="J78" s="1001"/>
      <c r="K78" s="1001"/>
      <c r="L78" s="1001"/>
      <c r="M78" s="1001"/>
      <c r="N78" s="1013"/>
      <c r="O78" s="1024"/>
      <c r="P78" s="1014"/>
      <c r="Q78" s="1014"/>
      <c r="R78" s="1001"/>
      <c r="S78" s="1014"/>
      <c r="T78" s="1013"/>
      <c r="U78" s="1156"/>
      <c r="V78" s="1014"/>
      <c r="W78" s="1014"/>
      <c r="X78" s="1001"/>
      <c r="Y78" s="1014"/>
      <c r="Z78" s="1013"/>
      <c r="AA78" s="1156"/>
      <c r="AB78" s="1156"/>
      <c r="AC78" s="1157"/>
      <c r="AD78" s="1157"/>
      <c r="AE78" s="1157"/>
      <c r="AF78" s="1157"/>
      <c r="AG78" s="1013"/>
      <c r="AH78" s="1156"/>
      <c r="AJ78" s="79" t="str">
        <f t="shared" si="38"/>
        <v/>
      </c>
      <c r="AK78" s="16" t="str">
        <f t="shared" si="39"/>
        <v/>
      </c>
      <c r="AL78" s="16" t="str">
        <f t="shared" si="40"/>
        <v/>
      </c>
      <c r="AM78" s="16" t="str">
        <f t="shared" si="41"/>
        <v/>
      </c>
      <c r="AN78" s="16" t="str">
        <f t="shared" si="42"/>
        <v/>
      </c>
      <c r="AO78" s="55"/>
      <c r="AP78" s="98">
        <v>5</v>
      </c>
      <c r="AQ78" s="99"/>
      <c r="AR78" s="100">
        <f>IFERROR(AP78*AQ78*AS80,0)</f>
        <v>0</v>
      </c>
      <c r="AS78" s="104"/>
      <c r="AT78" s="58"/>
      <c r="AU78" s="85"/>
      <c r="AV78" s="59"/>
      <c r="AW78" s="93"/>
      <c r="AX78" s="94">
        <f t="shared" si="43"/>
        <v>0</v>
      </c>
      <c r="AY78" s="95">
        <f t="shared" si="44"/>
        <v>0</v>
      </c>
    </row>
    <row r="79" spans="1:51" ht="15" customHeight="1">
      <c r="A79" s="1001"/>
      <c r="B79" s="1010"/>
      <c r="C79" s="1153"/>
      <c r="D79" s="1153"/>
      <c r="E79" s="1153"/>
      <c r="F79" s="1154"/>
      <c r="G79" s="1154"/>
      <c r="H79" s="1018"/>
      <c r="I79" s="1155"/>
      <c r="J79" s="1001"/>
      <c r="K79" s="1001"/>
      <c r="L79" s="1001"/>
      <c r="M79" s="1001"/>
      <c r="N79" s="1013"/>
      <c r="O79" s="1024"/>
      <c r="P79" s="1014"/>
      <c r="Q79" s="1014"/>
      <c r="R79" s="1001"/>
      <c r="S79" s="1014"/>
      <c r="T79" s="1013"/>
      <c r="U79" s="1156"/>
      <c r="V79" s="1014"/>
      <c r="W79" s="1014"/>
      <c r="X79" s="1001"/>
      <c r="Y79" s="1014"/>
      <c r="Z79" s="1013"/>
      <c r="AA79" s="1156"/>
      <c r="AB79" s="1156"/>
      <c r="AC79" s="1157"/>
      <c r="AD79" s="1157"/>
      <c r="AE79" s="1157"/>
      <c r="AF79" s="1157"/>
      <c r="AG79" s="1013"/>
      <c r="AH79" s="1156"/>
      <c r="AJ79" s="79" t="str">
        <f t="shared" si="38"/>
        <v/>
      </c>
      <c r="AK79" s="16" t="str">
        <f t="shared" si="39"/>
        <v/>
      </c>
      <c r="AL79" s="16" t="str">
        <f t="shared" si="40"/>
        <v/>
      </c>
      <c r="AM79" s="16" t="str">
        <f t="shared" si="41"/>
        <v/>
      </c>
      <c r="AN79" s="16" t="str">
        <f t="shared" si="42"/>
        <v/>
      </c>
      <c r="AO79" s="55"/>
      <c r="AP79" s="98">
        <v>4</v>
      </c>
      <c r="AQ79" s="99"/>
      <c r="AR79" s="100">
        <f>IFERROR(AP79*AQ79*AS80,0)</f>
        <v>0</v>
      </c>
      <c r="AS79" s="104"/>
      <c r="AT79" s="85"/>
      <c r="AU79" s="85"/>
      <c r="AV79" s="59"/>
      <c r="AW79" s="93"/>
      <c r="AX79" s="94">
        <f t="shared" si="43"/>
        <v>0</v>
      </c>
      <c r="AY79" s="95">
        <f t="shared" si="44"/>
        <v>0</v>
      </c>
    </row>
    <row r="80" spans="1:51" ht="15" customHeight="1">
      <c r="A80" s="1001"/>
      <c r="B80" s="1010"/>
      <c r="C80" s="1153"/>
      <c r="D80" s="1153"/>
      <c r="E80" s="1153"/>
      <c r="F80" s="1154"/>
      <c r="G80" s="1154"/>
      <c r="H80" s="1018"/>
      <c r="I80" s="1155"/>
      <c r="J80" s="1001"/>
      <c r="K80" s="1001"/>
      <c r="L80" s="1001"/>
      <c r="M80" s="1001"/>
      <c r="N80" s="1013"/>
      <c r="O80" s="1024"/>
      <c r="P80" s="1014"/>
      <c r="Q80" s="1014"/>
      <c r="R80" s="1001"/>
      <c r="S80" s="1014"/>
      <c r="T80" s="1013"/>
      <c r="U80" s="1156"/>
      <c r="V80" s="1014"/>
      <c r="W80" s="1014"/>
      <c r="X80" s="1001"/>
      <c r="Y80" s="1014"/>
      <c r="Z80" s="1013"/>
      <c r="AA80" s="1156"/>
      <c r="AB80" s="1156"/>
      <c r="AC80" s="1157"/>
      <c r="AD80" s="1157"/>
      <c r="AE80" s="1157"/>
      <c r="AF80" s="1157"/>
      <c r="AG80" s="1013"/>
      <c r="AH80" s="1156"/>
      <c r="AJ80" s="79" t="str">
        <f t="shared" si="38"/>
        <v/>
      </c>
      <c r="AK80" s="16" t="str">
        <f t="shared" si="39"/>
        <v/>
      </c>
      <c r="AL80" s="16" t="str">
        <f t="shared" si="40"/>
        <v/>
      </c>
      <c r="AM80" s="16" t="str">
        <f t="shared" si="41"/>
        <v/>
      </c>
      <c r="AN80" s="16" t="str">
        <f t="shared" si="42"/>
        <v/>
      </c>
      <c r="AO80" s="55"/>
      <c r="AP80" s="98">
        <v>3</v>
      </c>
      <c r="AQ80" s="109"/>
      <c r="AR80" s="100">
        <f>IFERROR(AP80*AQ80*AS80,0)</f>
        <v>0</v>
      </c>
      <c r="AS80" s="48">
        <f>IFERROR(AR81/((AP80*AQ80)+(AP79*AQ79)+(AP78*AQ78)+(AP77*AQ77)),0)</f>
        <v>0</v>
      </c>
      <c r="AT80" s="85"/>
      <c r="AU80" s="85"/>
      <c r="AV80" s="59"/>
      <c r="AW80" s="93"/>
      <c r="AX80" s="94">
        <f t="shared" si="43"/>
        <v>0</v>
      </c>
      <c r="AY80" s="95">
        <f t="shared" si="44"/>
        <v>0</v>
      </c>
    </row>
    <row r="81" spans="1:51" ht="14.25" customHeight="1" thickBot="1">
      <c r="A81" s="1001"/>
      <c r="B81" s="1010"/>
      <c r="C81" s="1153"/>
      <c r="D81" s="1153"/>
      <c r="E81" s="1153"/>
      <c r="F81" s="1154"/>
      <c r="G81" s="1154"/>
      <c r="H81" s="1018"/>
      <c r="I81" s="1155"/>
      <c r="J81" s="1001"/>
      <c r="K81" s="1001"/>
      <c r="L81" s="1001"/>
      <c r="M81" s="1001"/>
      <c r="N81" s="1013"/>
      <c r="O81" s="1024"/>
      <c r="P81" s="1140"/>
      <c r="Q81" s="1014"/>
      <c r="R81" s="1001"/>
      <c r="S81" s="1014"/>
      <c r="T81" s="1013"/>
      <c r="U81" s="1156"/>
      <c r="V81" s="1140"/>
      <c r="W81" s="1014"/>
      <c r="X81" s="1001"/>
      <c r="Y81" s="1014"/>
      <c r="Z81" s="1013"/>
      <c r="AA81" s="1156"/>
      <c r="AB81" s="1156"/>
      <c r="AC81" s="1157"/>
      <c r="AD81" s="1157"/>
      <c r="AE81" s="1157"/>
      <c r="AF81" s="1157"/>
      <c r="AG81" s="1013"/>
      <c r="AH81" s="1156"/>
      <c r="AJ81" s="79" t="str">
        <f t="shared" si="38"/>
        <v/>
      </c>
      <c r="AK81" s="16" t="str">
        <f t="shared" si="39"/>
        <v/>
      </c>
      <c r="AL81" s="16" t="str">
        <f t="shared" si="40"/>
        <v/>
      </c>
      <c r="AM81" s="16" t="str">
        <f t="shared" si="41"/>
        <v/>
      </c>
      <c r="AN81" s="16" t="str">
        <f t="shared" si="42"/>
        <v/>
      </c>
      <c r="AO81" s="55"/>
      <c r="AP81" s="111"/>
      <c r="AQ81" s="112"/>
      <c r="AR81" s="113"/>
      <c r="AS81" s="104"/>
      <c r="AT81" s="58"/>
      <c r="AU81" s="85"/>
      <c r="AV81" s="59"/>
      <c r="AW81" s="93"/>
      <c r="AX81" s="94">
        <f t="shared" si="43"/>
        <v>0</v>
      </c>
      <c r="AY81" s="95">
        <f t="shared" si="44"/>
        <v>0</v>
      </c>
    </row>
    <row r="82" spans="1:51" ht="14.25" customHeight="1" thickBot="1">
      <c r="A82" s="1001"/>
      <c r="B82" s="1010"/>
      <c r="C82" s="1153"/>
      <c r="D82" s="1153"/>
      <c r="E82" s="1153"/>
      <c r="F82" s="1154"/>
      <c r="G82" s="1154"/>
      <c r="H82" s="1018"/>
      <c r="I82" s="1155"/>
      <c r="J82" s="1001"/>
      <c r="K82" s="1001"/>
      <c r="L82" s="1001"/>
      <c r="M82" s="1001"/>
      <c r="N82" s="1013"/>
      <c r="O82" s="1024"/>
      <c r="P82" s="1014"/>
      <c r="Q82" s="1014"/>
      <c r="R82" s="1001"/>
      <c r="S82" s="1014"/>
      <c r="T82" s="1013"/>
      <c r="U82" s="1156"/>
      <c r="V82" s="1014"/>
      <c r="W82" s="1014"/>
      <c r="X82" s="1001"/>
      <c r="Y82" s="1014"/>
      <c r="Z82" s="1013"/>
      <c r="AA82" s="1156"/>
      <c r="AB82" s="1156"/>
      <c r="AC82" s="1157"/>
      <c r="AD82" s="1157"/>
      <c r="AE82" s="1157"/>
      <c r="AF82" s="1157"/>
      <c r="AG82" s="1013"/>
      <c r="AH82" s="1156"/>
      <c r="AJ82" s="79" t="str">
        <f t="shared" si="38"/>
        <v/>
      </c>
      <c r="AK82" s="16" t="str">
        <f t="shared" si="39"/>
        <v/>
      </c>
      <c r="AL82" s="16" t="str">
        <f t="shared" si="40"/>
        <v/>
      </c>
      <c r="AM82" s="16" t="str">
        <f t="shared" si="41"/>
        <v/>
      </c>
      <c r="AN82" s="16" t="str">
        <f t="shared" si="42"/>
        <v/>
      </c>
      <c r="AO82" s="55"/>
      <c r="AP82" s="1250" t="s">
        <v>7</v>
      </c>
      <c r="AQ82" s="1250"/>
      <c r="AR82" s="1250"/>
      <c r="AS82" s="104"/>
      <c r="AT82" s="85"/>
      <c r="AU82" s="85"/>
      <c r="AV82" s="59"/>
      <c r="AW82" s="93"/>
      <c r="AX82" s="94">
        <f t="shared" si="43"/>
        <v>0</v>
      </c>
      <c r="AY82" s="95">
        <f t="shared" si="44"/>
        <v>0</v>
      </c>
    </row>
    <row r="83" spans="1:51" ht="15" customHeight="1" thickBot="1">
      <c r="A83" s="1001"/>
      <c r="B83" s="1010"/>
      <c r="C83" s="1153"/>
      <c r="D83" s="1153"/>
      <c r="E83" s="1153"/>
      <c r="F83" s="1154"/>
      <c r="G83" s="1154"/>
      <c r="H83" s="1018"/>
      <c r="I83" s="1155"/>
      <c r="J83" s="1001"/>
      <c r="K83" s="1001"/>
      <c r="L83" s="1001"/>
      <c r="M83" s="1001"/>
      <c r="N83" s="1013"/>
      <c r="O83" s="1024"/>
      <c r="P83" s="1014"/>
      <c r="Q83" s="1014"/>
      <c r="R83" s="1001"/>
      <c r="S83" s="1014"/>
      <c r="T83" s="1013"/>
      <c r="U83" s="1156"/>
      <c r="V83" s="1014"/>
      <c r="W83" s="1140"/>
      <c r="X83" s="1001"/>
      <c r="Y83" s="1014"/>
      <c r="Z83" s="1013"/>
      <c r="AA83" s="1156"/>
      <c r="AB83" s="1156"/>
      <c r="AC83" s="1157"/>
      <c r="AD83" s="1157"/>
      <c r="AE83" s="1157"/>
      <c r="AF83" s="1157"/>
      <c r="AG83" s="1013"/>
      <c r="AH83" s="1156"/>
      <c r="AJ83" s="79" t="str">
        <f t="shared" si="38"/>
        <v/>
      </c>
      <c r="AK83" s="16" t="str">
        <f t="shared" si="39"/>
        <v/>
      </c>
      <c r="AL83" s="16" t="str">
        <f t="shared" si="40"/>
        <v/>
      </c>
      <c r="AM83" s="16" t="str">
        <f t="shared" si="41"/>
        <v/>
      </c>
      <c r="AN83" s="16" t="str">
        <f t="shared" si="42"/>
        <v/>
      </c>
      <c r="AO83" s="73">
        <v>160</v>
      </c>
      <c r="AP83" s="1250"/>
      <c r="AQ83" s="1250"/>
      <c r="AR83" s="1250"/>
      <c r="AS83" s="55"/>
      <c r="AT83" s="85"/>
      <c r="AU83" s="58"/>
      <c r="AV83" s="59"/>
      <c r="AW83" s="93"/>
      <c r="AX83" s="94">
        <f t="shared" si="43"/>
        <v>0</v>
      </c>
      <c r="AY83" s="95">
        <f t="shared" si="44"/>
        <v>0</v>
      </c>
    </row>
    <row r="84" spans="1:51" ht="15" customHeight="1" thickBot="1">
      <c r="A84" s="1001"/>
      <c r="B84" s="1010"/>
      <c r="C84" s="1153"/>
      <c r="D84" s="1153"/>
      <c r="E84" s="1153"/>
      <c r="F84" s="1154"/>
      <c r="G84" s="1154"/>
      <c r="H84" s="1018"/>
      <c r="I84" s="1155"/>
      <c r="J84" s="1001"/>
      <c r="K84" s="1001"/>
      <c r="L84" s="1001"/>
      <c r="M84" s="1001"/>
      <c r="N84" s="1013"/>
      <c r="O84" s="1024"/>
      <c r="P84" s="1014"/>
      <c r="Q84" s="1140"/>
      <c r="R84" s="1018"/>
      <c r="S84" s="1014"/>
      <c r="T84" s="1013"/>
      <c r="U84" s="1156"/>
      <c r="V84" s="1014"/>
      <c r="W84" s="1140"/>
      <c r="X84" s="1001"/>
      <c r="Y84" s="1014"/>
      <c r="Z84" s="1013"/>
      <c r="AA84" s="1156"/>
      <c r="AB84" s="1156"/>
      <c r="AC84" s="1157"/>
      <c r="AD84" s="1157"/>
      <c r="AE84" s="1157"/>
      <c r="AF84" s="1157"/>
      <c r="AG84" s="1013"/>
      <c r="AH84" s="1156"/>
      <c r="AJ84" s="79" t="str">
        <f t="shared" si="38"/>
        <v/>
      </c>
      <c r="AK84" s="16" t="str">
        <f t="shared" si="39"/>
        <v/>
      </c>
      <c r="AL84" s="16" t="str">
        <f t="shared" si="40"/>
        <v/>
      </c>
      <c r="AM84" s="16" t="str">
        <f t="shared" si="41"/>
        <v/>
      </c>
      <c r="AN84" s="16" t="str">
        <f t="shared" si="42"/>
        <v/>
      </c>
      <c r="AO84" s="55"/>
      <c r="AP84" s="1250"/>
      <c r="AQ84" s="1250"/>
      <c r="AR84" s="1250"/>
      <c r="AS84" s="55"/>
      <c r="AT84" s="85"/>
      <c r="AU84" s="58"/>
      <c r="AV84" s="59"/>
      <c r="AW84" s="93"/>
      <c r="AX84" s="94">
        <f t="shared" si="43"/>
        <v>0</v>
      </c>
      <c r="AY84" s="95">
        <f t="shared" si="44"/>
        <v>0</v>
      </c>
    </row>
    <row r="85" spans="1:51" ht="16.5" customHeight="1">
      <c r="A85" s="1001"/>
      <c r="B85" s="1010"/>
      <c r="C85" s="1153"/>
      <c r="D85" s="1153"/>
      <c r="E85" s="1153"/>
      <c r="F85" s="1154"/>
      <c r="G85" s="1154"/>
      <c r="H85" s="1018"/>
      <c r="I85" s="1155"/>
      <c r="J85" s="1001"/>
      <c r="K85" s="1001"/>
      <c r="L85" s="1001"/>
      <c r="M85" s="1001"/>
      <c r="N85" s="1013"/>
      <c r="O85" s="1024"/>
      <c r="P85" s="1014"/>
      <c r="Q85" s="1140"/>
      <c r="R85" s="1014"/>
      <c r="S85" s="1014"/>
      <c r="T85" s="1013"/>
      <c r="U85" s="1156"/>
      <c r="V85" s="1014"/>
      <c r="W85" s="1140"/>
      <c r="X85" s="1001"/>
      <c r="Y85" s="1014"/>
      <c r="Z85" s="1013"/>
      <c r="AA85" s="1156"/>
      <c r="AB85" s="1156"/>
      <c r="AC85" s="1157"/>
      <c r="AD85" s="1157"/>
      <c r="AE85" s="1157"/>
      <c r="AF85" s="1157"/>
      <c r="AG85" s="1013"/>
      <c r="AH85" s="1156"/>
      <c r="AJ85" s="79" t="str">
        <f t="shared" si="38"/>
        <v/>
      </c>
      <c r="AK85" s="16" t="str">
        <f t="shared" si="39"/>
        <v/>
      </c>
      <c r="AL85" s="16" t="str">
        <f t="shared" si="40"/>
        <v/>
      </c>
      <c r="AM85" s="16" t="str">
        <f t="shared" si="41"/>
        <v/>
      </c>
      <c r="AN85" s="16" t="str">
        <f t="shared" si="42"/>
        <v/>
      </c>
      <c r="AO85" s="55"/>
      <c r="AP85" s="117">
        <v>6</v>
      </c>
      <c r="AQ85" s="118"/>
      <c r="AR85" s="100">
        <f>IFERROR(AP85*AQ85*AS88,0)</f>
        <v>0</v>
      </c>
      <c r="AS85" s="55"/>
      <c r="AT85" s="85"/>
      <c r="AU85" s="58"/>
      <c r="AV85" s="59"/>
      <c r="AW85" s="93"/>
      <c r="AX85" s="94">
        <f t="shared" si="43"/>
        <v>0</v>
      </c>
      <c r="AY85" s="95">
        <f t="shared" si="44"/>
        <v>0</v>
      </c>
    </row>
    <row r="86" spans="1:51" ht="16.5" customHeight="1">
      <c r="A86" s="1001"/>
      <c r="B86" s="1010"/>
      <c r="C86" s="1153"/>
      <c r="D86" s="1153"/>
      <c r="E86" s="1153"/>
      <c r="F86" s="1154"/>
      <c r="G86" s="1154"/>
      <c r="H86" s="1018"/>
      <c r="I86" s="1155"/>
      <c r="J86" s="1001"/>
      <c r="K86" s="1001"/>
      <c r="L86" s="1001"/>
      <c r="M86" s="1001"/>
      <c r="N86" s="1013"/>
      <c r="O86" s="1024"/>
      <c r="P86" s="1014"/>
      <c r="Q86" s="1018"/>
      <c r="R86" s="1018"/>
      <c r="S86" s="1019"/>
      <c r="T86" s="1013"/>
      <c r="U86" s="1156"/>
      <c r="V86" s="1014"/>
      <c r="W86" s="1140"/>
      <c r="X86" s="1001"/>
      <c r="Y86" s="1014"/>
      <c r="Z86" s="1013"/>
      <c r="AA86" s="1156"/>
      <c r="AB86" s="1156"/>
      <c r="AC86" s="1157"/>
      <c r="AD86" s="1157"/>
      <c r="AE86" s="1157"/>
      <c r="AF86" s="1157"/>
      <c r="AG86" s="1013"/>
      <c r="AH86" s="1156"/>
      <c r="AJ86" s="79" t="str">
        <f t="shared" si="38"/>
        <v/>
      </c>
      <c r="AK86" s="16" t="str">
        <f t="shared" si="39"/>
        <v/>
      </c>
      <c r="AL86" s="16" t="str">
        <f t="shared" si="40"/>
        <v/>
      </c>
      <c r="AM86" s="16" t="str">
        <f t="shared" si="41"/>
        <v/>
      </c>
      <c r="AN86" s="16" t="str">
        <f t="shared" si="42"/>
        <v/>
      </c>
      <c r="AO86" s="55"/>
      <c r="AP86" s="98">
        <v>5</v>
      </c>
      <c r="AQ86" s="99"/>
      <c r="AR86" s="100">
        <f>IFERROR(AP86*AQ86*AS88,0)</f>
        <v>0</v>
      </c>
      <c r="AS86" s="55"/>
      <c r="AT86" s="116"/>
      <c r="AU86" s="115"/>
      <c r="AV86" s="116"/>
      <c r="AW86" s="123"/>
      <c r="AX86" s="94">
        <f t="shared" si="43"/>
        <v>0</v>
      </c>
      <c r="AY86" s="95">
        <f t="shared" si="44"/>
        <v>0</v>
      </c>
    </row>
    <row r="87" spans="1:51" ht="15.75" customHeight="1">
      <c r="A87" s="1001"/>
      <c r="B87" s="1010"/>
      <c r="C87" s="1020"/>
      <c r="D87" s="1021"/>
      <c r="E87" s="1020"/>
      <c r="F87" s="1022"/>
      <c r="G87" s="1022"/>
      <c r="H87" s="1018"/>
      <c r="I87" s="1155"/>
      <c r="J87" s="1001"/>
      <c r="K87" s="1001"/>
      <c r="L87" s="1001"/>
      <c r="M87" s="1001"/>
      <c r="N87" s="1013"/>
      <c r="O87" s="1024"/>
      <c r="P87" s="1019"/>
      <c r="Q87" s="1018"/>
      <c r="R87" s="1018"/>
      <c r="S87" s="1019"/>
      <c r="T87" s="1013"/>
      <c r="U87" s="1156"/>
      <c r="V87" s="1014"/>
      <c r="W87" s="1140"/>
      <c r="X87" s="1001"/>
      <c r="Y87" s="1014"/>
      <c r="Z87" s="1013"/>
      <c r="AA87" s="1156"/>
      <c r="AB87" s="1156"/>
      <c r="AC87" s="1157"/>
      <c r="AD87" s="1157"/>
      <c r="AE87" s="1157"/>
      <c r="AF87" s="1157"/>
      <c r="AG87" s="1013"/>
      <c r="AH87" s="1156"/>
      <c r="AJ87" s="79" t="str">
        <f t="shared" si="38"/>
        <v/>
      </c>
      <c r="AK87" s="16" t="str">
        <f t="shared" si="39"/>
        <v/>
      </c>
      <c r="AL87" s="16" t="str">
        <f t="shared" si="40"/>
        <v/>
      </c>
      <c r="AM87" s="16" t="str">
        <f t="shared" si="41"/>
        <v/>
      </c>
      <c r="AN87" s="16" t="str">
        <f t="shared" si="42"/>
        <v/>
      </c>
      <c r="AO87" s="104"/>
      <c r="AP87" s="98">
        <v>4</v>
      </c>
      <c r="AQ87" s="99"/>
      <c r="AR87" s="100">
        <f>IFERROR(AP87*AQ87*AS88,0)</f>
        <v>0</v>
      </c>
      <c r="AS87" s="55"/>
      <c r="AT87" s="85"/>
      <c r="AU87" s="58"/>
      <c r="AV87" s="59"/>
      <c r="AW87" s="93"/>
      <c r="AX87" s="94">
        <f t="shared" si="43"/>
        <v>0</v>
      </c>
      <c r="AY87" s="95">
        <f t="shared" si="44"/>
        <v>0</v>
      </c>
    </row>
    <row r="88" spans="1:51" ht="15" customHeight="1">
      <c r="A88" s="1001"/>
      <c r="B88" s="1001"/>
      <c r="C88" s="1023"/>
      <c r="D88" s="1023"/>
      <c r="E88" s="1023"/>
      <c r="F88" s="1024"/>
      <c r="G88" s="1024"/>
      <c r="H88" s="1001"/>
      <c r="I88" s="1001"/>
      <c r="J88" s="1027"/>
      <c r="K88" s="1027"/>
      <c r="L88" s="1027"/>
      <c r="M88" s="1027"/>
      <c r="N88" s="1025"/>
      <c r="O88" s="1002"/>
      <c r="P88" s="1001"/>
      <c r="Q88" s="1001"/>
      <c r="R88" s="1001"/>
      <c r="S88" s="1003"/>
      <c r="T88" s="1001"/>
      <c r="U88" s="1004"/>
      <c r="V88" s="1001"/>
      <c r="W88" s="1001"/>
      <c r="X88" s="1001"/>
      <c r="Y88" s="1001"/>
      <c r="Z88" s="1001"/>
      <c r="AA88" s="1004"/>
      <c r="AB88" s="1001"/>
      <c r="AC88" s="1001"/>
      <c r="AD88" s="1001"/>
      <c r="AE88" s="1001"/>
      <c r="AF88" s="1001"/>
      <c r="AG88" s="54"/>
      <c r="AH88" s="54"/>
      <c r="AI88" s="54"/>
      <c r="AJ88" s="54"/>
      <c r="AK88" s="137"/>
      <c r="AL88" s="137"/>
      <c r="AM88" s="137"/>
      <c r="AN88" s="137"/>
      <c r="AO88" s="55"/>
      <c r="AP88" s="98">
        <v>3</v>
      </c>
      <c r="AQ88" s="109"/>
      <c r="AR88" s="100">
        <f>IFERROR(AP88*AQ88*AS88,0)</f>
        <v>0</v>
      </c>
      <c r="AS88" s="48">
        <f>IFERROR(AR89/((AP88*AQ88)+(AP87*AQ87)+(AP86*AQ86)+(AP85*AQ85)),0)</f>
        <v>0</v>
      </c>
      <c r="AT88" s="54"/>
      <c r="AU88" s="54"/>
      <c r="AV88" s="54"/>
      <c r="AW88" s="54"/>
      <c r="AX88" s="54"/>
      <c r="AY88" s="56"/>
    </row>
    <row r="89" spans="1:51" ht="15" customHeight="1" thickBot="1">
      <c r="A89" s="1001"/>
      <c r="B89" s="1001"/>
      <c r="C89" s="1023"/>
      <c r="D89" s="1023"/>
      <c r="E89" s="1023"/>
      <c r="F89" s="1024"/>
      <c r="G89" s="1024"/>
      <c r="H89" s="1018"/>
      <c r="I89" s="1155"/>
      <c r="J89" s="1026"/>
      <c r="K89" s="1026"/>
      <c r="L89" s="1026"/>
      <c r="M89" s="1026"/>
      <c r="N89" s="1013"/>
      <c r="O89" s="1024"/>
      <c r="P89" s="1027"/>
      <c r="Q89" s="1027"/>
      <c r="R89" s="1027"/>
      <c r="S89" s="1027"/>
      <c r="T89" s="1018"/>
      <c r="U89" s="1018"/>
      <c r="V89" s="1027"/>
      <c r="W89" s="1027"/>
      <c r="X89" s="1027"/>
      <c r="Y89" s="1027"/>
      <c r="Z89" s="1001"/>
      <c r="AA89" s="1001"/>
      <c r="AB89" s="1001"/>
      <c r="AC89" s="1027"/>
      <c r="AD89" s="1027"/>
      <c r="AE89" s="1027"/>
      <c r="AF89" s="1027"/>
      <c r="AG89" s="54"/>
      <c r="AH89" s="54"/>
      <c r="AI89" s="54"/>
      <c r="AJ89" s="54"/>
      <c r="AK89" s="154">
        <f>SUM(AK76:AK88)</f>
        <v>0</v>
      </c>
      <c r="AL89" s="154">
        <f>SUM(AL76:AL88)</f>
        <v>0</v>
      </c>
      <c r="AM89" s="154">
        <f>SUM(AM76:AM88)</f>
        <v>0</v>
      </c>
      <c r="AN89" s="154">
        <f>SUM(AN76:AN88)</f>
        <v>0</v>
      </c>
      <c r="AO89" s="55"/>
      <c r="AP89" s="111"/>
      <c r="AQ89" s="112"/>
      <c r="AR89" s="155"/>
      <c r="AS89" s="55"/>
      <c r="AT89" s="54"/>
      <c r="AU89" s="54"/>
      <c r="AV89" s="54"/>
      <c r="AW89" s="54"/>
      <c r="AX89" s="54"/>
      <c r="AY89" s="56"/>
    </row>
    <row r="90" spans="1:51" ht="15.75" customHeight="1">
      <c r="A90" s="1160"/>
      <c r="B90" s="1001"/>
      <c r="C90" s="1001"/>
      <c r="D90" s="1001"/>
      <c r="E90" s="1001"/>
      <c r="F90" s="1001"/>
      <c r="G90" s="1001"/>
      <c r="H90" s="1018"/>
      <c r="I90" s="1155"/>
      <c r="J90" s="1026"/>
      <c r="K90" s="1026"/>
      <c r="L90" s="1026"/>
      <c r="M90" s="1026"/>
      <c r="N90" s="1013"/>
      <c r="O90" s="1024"/>
      <c r="P90" s="1027"/>
      <c r="Q90" s="1027"/>
      <c r="R90" s="1027"/>
      <c r="S90" s="1027"/>
      <c r="T90" s="1161"/>
      <c r="U90" s="1030"/>
      <c r="V90" s="1027"/>
      <c r="W90" s="1027"/>
      <c r="X90" s="1027"/>
      <c r="Y90" s="1027"/>
      <c r="Z90" s="1031"/>
      <c r="AA90" s="1032"/>
      <c r="AB90" s="1033"/>
      <c r="AC90" s="1027"/>
      <c r="AD90" s="1027"/>
      <c r="AE90" s="1027"/>
      <c r="AF90" s="1027"/>
      <c r="AG90" s="54"/>
      <c r="AH90" s="1030"/>
      <c r="AI90" s="54"/>
      <c r="AJ90" s="54"/>
      <c r="AK90" s="55"/>
      <c r="AL90" s="55"/>
      <c r="AM90" s="55"/>
      <c r="AN90" s="55"/>
      <c r="AO90" s="55"/>
      <c r="AP90" s="55"/>
      <c r="AQ90" s="55"/>
      <c r="AR90" s="157">
        <f>AR81+AR89</f>
        <v>0</v>
      </c>
      <c r="AS90" s="55"/>
      <c r="AT90" s="54"/>
      <c r="AU90" s="54"/>
      <c r="AV90" s="54"/>
      <c r="AW90" s="54"/>
      <c r="AX90" s="54"/>
      <c r="AY90" s="56"/>
    </row>
    <row r="91" spans="1:51" ht="19.5" customHeight="1" thickBot="1">
      <c r="A91" s="1007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007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54"/>
      <c r="AH91" s="54"/>
      <c r="AI91" s="54"/>
      <c r="AJ91" s="54"/>
      <c r="AK91" s="55"/>
      <c r="AL91" s="55"/>
      <c r="AM91" s="55"/>
      <c r="AN91" s="55"/>
      <c r="AO91" s="55"/>
      <c r="AP91" s="55"/>
      <c r="AQ91" s="55"/>
      <c r="AR91" s="55"/>
      <c r="AS91" s="55"/>
      <c r="AT91" s="54"/>
      <c r="AU91" s="54"/>
      <c r="AV91" s="54"/>
      <c r="AW91" s="54"/>
      <c r="AX91" s="54"/>
      <c r="AY91" s="56"/>
    </row>
    <row r="92" spans="1:51" ht="14.25" customHeight="1" thickBot="1">
      <c r="A92" s="1252"/>
      <c r="B92" s="1253"/>
      <c r="C92" s="1254"/>
      <c r="D92" s="1254"/>
      <c r="E92" s="1254"/>
      <c r="F92" s="1254"/>
      <c r="G92" s="1254"/>
      <c r="H92" s="1253"/>
      <c r="I92" s="1254"/>
      <c r="J92" s="1253"/>
      <c r="K92" s="1253"/>
      <c r="L92" s="1253"/>
      <c r="M92" s="1253"/>
      <c r="N92" s="1255"/>
      <c r="O92" s="1258"/>
      <c r="P92" s="1254"/>
      <c r="Q92" s="1254"/>
      <c r="R92" s="1254"/>
      <c r="S92" s="1254"/>
      <c r="T92" s="1259"/>
      <c r="U92" s="1258"/>
      <c r="V92" s="1254"/>
      <c r="W92" s="1254"/>
      <c r="X92" s="1254"/>
      <c r="Y92" s="1254"/>
      <c r="Z92" s="1259"/>
      <c r="AA92" s="1258"/>
      <c r="AB92" s="1258"/>
      <c r="AC92" s="1260"/>
      <c r="AD92" s="1260"/>
      <c r="AE92" s="1260"/>
      <c r="AF92" s="1260"/>
      <c r="AG92" s="1259"/>
      <c r="AH92" s="1258"/>
      <c r="AI92" s="54"/>
      <c r="AJ92" s="54"/>
      <c r="AK92" s="1262" t="s">
        <v>37</v>
      </c>
      <c r="AL92" s="1262"/>
      <c r="AM92" s="1262"/>
      <c r="AN92" s="1262"/>
      <c r="AO92" s="55"/>
      <c r="AP92" s="1250" t="s">
        <v>7</v>
      </c>
      <c r="AQ92" s="1250"/>
      <c r="AR92" s="1250"/>
      <c r="AS92" s="55"/>
      <c r="AT92" s="1261" t="s">
        <v>38</v>
      </c>
      <c r="AU92" s="1261"/>
      <c r="AV92" s="1261"/>
      <c r="AW92" s="1261"/>
      <c r="AX92" s="61" t="s">
        <v>39</v>
      </c>
      <c r="AY92" s="62" t="s">
        <v>12</v>
      </c>
    </row>
    <row r="93" spans="1:51" ht="18" customHeight="1" thickBot="1">
      <c r="A93" s="1252"/>
      <c r="B93" s="1252"/>
      <c r="C93" s="186"/>
      <c r="D93" s="186"/>
      <c r="E93" s="186"/>
      <c r="F93" s="186"/>
      <c r="G93" s="186"/>
      <c r="H93" s="1253"/>
      <c r="I93" s="1254"/>
      <c r="J93" s="185"/>
      <c r="K93" s="185"/>
      <c r="L93" s="185"/>
      <c r="M93" s="185"/>
      <c r="N93" s="1255"/>
      <c r="O93" s="1258"/>
      <c r="P93" s="186"/>
      <c r="Q93" s="185"/>
      <c r="R93" s="1008"/>
      <c r="S93" s="185"/>
      <c r="T93" s="1259"/>
      <c r="U93" s="1259"/>
      <c r="V93" s="186"/>
      <c r="W93" s="185"/>
      <c r="X93" s="1008"/>
      <c r="Y93" s="185"/>
      <c r="Z93" s="1259"/>
      <c r="AA93" s="1259"/>
      <c r="AB93" s="1258"/>
      <c r="AC93" s="186"/>
      <c r="AD93" s="185"/>
      <c r="AE93" s="1008"/>
      <c r="AF93" s="185"/>
      <c r="AG93" s="1259"/>
      <c r="AH93" s="1258"/>
      <c r="AI93" s="54"/>
      <c r="AJ93" s="54"/>
      <c r="AK93" s="72" t="s">
        <v>49</v>
      </c>
      <c r="AL93" s="72" t="s">
        <v>50</v>
      </c>
      <c r="AM93" s="72" t="s">
        <v>51</v>
      </c>
      <c r="AN93" s="72" t="s">
        <v>52</v>
      </c>
      <c r="AO93" s="73">
        <v>130</v>
      </c>
      <c r="AP93" s="1250"/>
      <c r="AQ93" s="1250"/>
      <c r="AR93" s="1250"/>
      <c r="AS93" s="55"/>
      <c r="AT93" s="65" t="s">
        <v>45</v>
      </c>
      <c r="AU93" s="58" t="s">
        <v>46</v>
      </c>
      <c r="AV93" s="68" t="s">
        <v>47</v>
      </c>
      <c r="AW93" s="60" t="s">
        <v>48</v>
      </c>
      <c r="AX93" s="61"/>
      <c r="AY93" s="62"/>
    </row>
    <row r="94" spans="1:51" ht="15" customHeight="1" thickBot="1">
      <c r="A94" s="1009"/>
      <c r="B94" s="1010"/>
      <c r="C94" s="1011"/>
      <c r="D94" s="1011"/>
      <c r="E94" s="1011"/>
      <c r="F94" s="1012"/>
      <c r="G94" s="1012"/>
      <c r="H94" s="184"/>
      <c r="I94" s="190"/>
      <c r="J94" s="1001"/>
      <c r="K94" s="1001"/>
      <c r="L94" s="186"/>
      <c r="M94" s="1001"/>
      <c r="N94" s="1013"/>
      <c r="O94" s="192"/>
      <c r="P94" s="1014"/>
      <c r="Q94" s="1014"/>
      <c r="R94" s="1001"/>
      <c r="S94" s="1014"/>
      <c r="T94" s="1013"/>
      <c r="U94" s="1015"/>
      <c r="V94" s="1014"/>
      <c r="W94" s="1014"/>
      <c r="X94" s="1001"/>
      <c r="Y94" s="1014"/>
      <c r="Z94" s="1013"/>
      <c r="AA94" s="1015"/>
      <c r="AB94" s="1015"/>
      <c r="AC94" s="194"/>
      <c r="AD94" s="194"/>
      <c r="AE94" s="194"/>
      <c r="AF94" s="194"/>
      <c r="AG94" s="1013"/>
      <c r="AH94" s="1015"/>
      <c r="AJ94" s="79" t="str">
        <f t="shared" ref="AJ94:AJ105" si="45">IF(H94=130,0.132335,IF(H94=100,0.0785,IF(H94=110,0.095,IF(H94=160,0.198005,""))))</f>
        <v/>
      </c>
      <c r="AK94" s="16" t="str">
        <f t="shared" ref="AK94:AK105" si="46">IFERROR(P94*3*AJ94,"")</f>
        <v/>
      </c>
      <c r="AL94" s="16" t="str">
        <f t="shared" ref="AL94:AL105" si="47">IFERROR(Q94*4*AJ94,"")</f>
        <v/>
      </c>
      <c r="AM94" s="16" t="str">
        <f t="shared" ref="AM94:AM105" si="48">IFERROR(R94*5*AJ94,"")</f>
        <v/>
      </c>
      <c r="AN94" s="16" t="str">
        <f t="shared" ref="AN94:AN105" si="49">IFERROR(S94*6*AJ94,"")</f>
        <v/>
      </c>
      <c r="AO94" s="55"/>
      <c r="AP94" s="1250"/>
      <c r="AQ94" s="1250"/>
      <c r="AR94" s="1250"/>
      <c r="AS94" s="55"/>
      <c r="AT94" s="85"/>
      <c r="AU94" s="85"/>
      <c r="AV94" s="59"/>
      <c r="AW94" s="93"/>
      <c r="AX94" s="94">
        <f t="shared" ref="AX94:AX105" si="50">AT94*3+AU94*4+AV94*5+AW94*6</f>
        <v>0</v>
      </c>
      <c r="AY94" s="95">
        <f t="shared" ref="AY94:AY105" si="51">AX94*I94</f>
        <v>0</v>
      </c>
    </row>
    <row r="95" spans="1:51" ht="15" customHeight="1">
      <c r="A95" s="1001"/>
      <c r="B95" s="1010"/>
      <c r="C95" s="1011"/>
      <c r="D95" s="1011"/>
      <c r="E95" s="1011"/>
      <c r="F95" s="1012"/>
      <c r="G95" s="1012"/>
      <c r="H95" s="184"/>
      <c r="I95" s="190"/>
      <c r="J95" s="1001"/>
      <c r="K95" s="1001"/>
      <c r="L95" s="186"/>
      <c r="M95" s="1001"/>
      <c r="N95" s="1013"/>
      <c r="O95" s="192"/>
      <c r="P95" s="1014"/>
      <c r="Q95" s="1014"/>
      <c r="R95" s="1001"/>
      <c r="S95" s="1014"/>
      <c r="T95" s="1013"/>
      <c r="U95" s="1015"/>
      <c r="V95" s="1014"/>
      <c r="W95" s="1014"/>
      <c r="X95" s="186"/>
      <c r="Y95" s="1014"/>
      <c r="Z95" s="1013"/>
      <c r="AA95" s="1015"/>
      <c r="AB95" s="1015"/>
      <c r="AC95" s="194"/>
      <c r="AD95" s="194"/>
      <c r="AE95" s="194"/>
      <c r="AF95" s="194"/>
      <c r="AG95" s="1013"/>
      <c r="AH95" s="1015"/>
      <c r="AJ95" s="79" t="str">
        <f t="shared" si="45"/>
        <v/>
      </c>
      <c r="AK95" s="16" t="str">
        <f t="shared" si="46"/>
        <v/>
      </c>
      <c r="AL95" s="16" t="str">
        <f t="shared" si="47"/>
        <v/>
      </c>
      <c r="AM95" s="16" t="str">
        <f t="shared" si="48"/>
        <v/>
      </c>
      <c r="AN95" s="16" t="str">
        <f t="shared" si="49"/>
        <v/>
      </c>
      <c r="AO95" s="55"/>
      <c r="AP95" s="98">
        <v>6</v>
      </c>
      <c r="AQ95" s="99"/>
      <c r="AR95" s="100">
        <f>IFERROR(AP95*AQ95*AS98,0)</f>
        <v>0</v>
      </c>
      <c r="AS95" s="55"/>
      <c r="AT95" s="85"/>
      <c r="AU95" s="85"/>
      <c r="AV95" s="65"/>
      <c r="AW95" s="93"/>
      <c r="AX95" s="94">
        <f t="shared" si="50"/>
        <v>0</v>
      </c>
      <c r="AY95" s="95">
        <f t="shared" si="51"/>
        <v>0</v>
      </c>
    </row>
    <row r="96" spans="1:51" ht="15" customHeight="1">
      <c r="A96" s="1001"/>
      <c r="B96" s="1010"/>
      <c r="C96" s="1016"/>
      <c r="D96" s="1016"/>
      <c r="E96" s="1016"/>
      <c r="F96" s="1017"/>
      <c r="G96" s="1017"/>
      <c r="H96" s="184"/>
      <c r="I96" s="190"/>
      <c r="J96" s="1001"/>
      <c r="K96" s="1001"/>
      <c r="L96" s="186"/>
      <c r="M96" s="1001"/>
      <c r="N96" s="1013"/>
      <c r="O96" s="192"/>
      <c r="P96" s="1014"/>
      <c r="Q96" s="1014"/>
      <c r="R96" s="1001"/>
      <c r="S96" s="1014"/>
      <c r="T96" s="1013"/>
      <c r="U96" s="1015"/>
      <c r="V96" s="1014"/>
      <c r="W96" s="1014"/>
      <c r="X96" s="1001"/>
      <c r="Y96" s="1014"/>
      <c r="Z96" s="1013"/>
      <c r="AA96" s="1015"/>
      <c r="AB96" s="1015"/>
      <c r="AC96" s="194"/>
      <c r="AD96" s="194"/>
      <c r="AE96" s="194"/>
      <c r="AF96" s="194"/>
      <c r="AG96" s="1013"/>
      <c r="AH96" s="1015"/>
      <c r="AJ96" s="79" t="str">
        <f t="shared" si="45"/>
        <v/>
      </c>
      <c r="AK96" s="16" t="str">
        <f t="shared" si="46"/>
        <v/>
      </c>
      <c r="AL96" s="16" t="str">
        <f t="shared" si="47"/>
        <v/>
      </c>
      <c r="AM96" s="16" t="str">
        <f t="shared" si="48"/>
        <v/>
      </c>
      <c r="AN96" s="16" t="str">
        <f t="shared" si="49"/>
        <v/>
      </c>
      <c r="AO96" s="55"/>
      <c r="AP96" s="98">
        <v>5</v>
      </c>
      <c r="AQ96" s="99"/>
      <c r="AR96" s="100">
        <f>IFERROR(AP96*AQ96*AS98,0)</f>
        <v>0</v>
      </c>
      <c r="AS96" s="104"/>
      <c r="AT96" s="58"/>
      <c r="AU96" s="85"/>
      <c r="AV96" s="59"/>
      <c r="AW96" s="93"/>
      <c r="AX96" s="94">
        <f t="shared" si="50"/>
        <v>0</v>
      </c>
      <c r="AY96" s="95">
        <f t="shared" si="51"/>
        <v>0</v>
      </c>
    </row>
    <row r="97" spans="1:51" ht="15" customHeight="1">
      <c r="A97" s="1001"/>
      <c r="B97" s="1010"/>
      <c r="C97" s="1011"/>
      <c r="D97" s="1011"/>
      <c r="E97" s="1011"/>
      <c r="F97" s="1012"/>
      <c r="G97" s="1012"/>
      <c r="H97" s="184"/>
      <c r="I97" s="190"/>
      <c r="J97" s="1001"/>
      <c r="K97" s="1001"/>
      <c r="L97" s="186"/>
      <c r="M97" s="1001"/>
      <c r="N97" s="1013"/>
      <c r="O97" s="192"/>
      <c r="P97" s="1014"/>
      <c r="Q97" s="1014"/>
      <c r="R97" s="1001"/>
      <c r="S97" s="1014"/>
      <c r="T97" s="1013"/>
      <c r="U97" s="1015"/>
      <c r="V97" s="1014"/>
      <c r="W97" s="1014"/>
      <c r="X97" s="1001"/>
      <c r="Y97" s="1014"/>
      <c r="Z97" s="1013"/>
      <c r="AA97" s="1015"/>
      <c r="AB97" s="1015"/>
      <c r="AC97" s="194"/>
      <c r="AD97" s="194"/>
      <c r="AE97" s="194"/>
      <c r="AF97" s="194"/>
      <c r="AG97" s="1013"/>
      <c r="AH97" s="1015"/>
      <c r="AJ97" s="79" t="str">
        <f t="shared" si="45"/>
        <v/>
      </c>
      <c r="AK97" s="16" t="str">
        <f t="shared" si="46"/>
        <v/>
      </c>
      <c r="AL97" s="16" t="str">
        <f t="shared" si="47"/>
        <v/>
      </c>
      <c r="AM97" s="16" t="str">
        <f t="shared" si="48"/>
        <v/>
      </c>
      <c r="AN97" s="16" t="str">
        <f t="shared" si="49"/>
        <v/>
      </c>
      <c r="AO97" s="55"/>
      <c r="AP97" s="98">
        <v>4</v>
      </c>
      <c r="AQ97" s="99"/>
      <c r="AR97" s="100">
        <f>IFERROR(AP97*AQ97*AS98,0)</f>
        <v>0</v>
      </c>
      <c r="AS97" s="104"/>
      <c r="AT97" s="85"/>
      <c r="AU97" s="85"/>
      <c r="AV97" s="59"/>
      <c r="AW97" s="93"/>
      <c r="AX97" s="94">
        <f t="shared" si="50"/>
        <v>0</v>
      </c>
      <c r="AY97" s="95">
        <f t="shared" si="51"/>
        <v>0</v>
      </c>
    </row>
    <row r="98" spans="1:51" ht="15" customHeight="1">
      <c r="A98" s="1001"/>
      <c r="B98" s="1010"/>
      <c r="C98" s="1011"/>
      <c r="D98" s="188"/>
      <c r="E98" s="1011"/>
      <c r="F98" s="1012"/>
      <c r="G98" s="1012"/>
      <c r="H98" s="184"/>
      <c r="I98" s="190"/>
      <c r="J98" s="1001"/>
      <c r="K98" s="1001"/>
      <c r="L98" s="186"/>
      <c r="M98" s="1001"/>
      <c r="N98" s="1013"/>
      <c r="O98" s="192"/>
      <c r="P98" s="1014"/>
      <c r="Q98" s="1014"/>
      <c r="R98" s="1001"/>
      <c r="S98" s="1014"/>
      <c r="T98" s="1013"/>
      <c r="U98" s="1015"/>
      <c r="V98" s="1014"/>
      <c r="W98" s="1014"/>
      <c r="X98" s="1001"/>
      <c r="Y98" s="1014"/>
      <c r="Z98" s="1013"/>
      <c r="AA98" s="1015"/>
      <c r="AB98" s="1015"/>
      <c r="AC98" s="194"/>
      <c r="AD98" s="194"/>
      <c r="AE98" s="194"/>
      <c r="AF98" s="194"/>
      <c r="AG98" s="1013"/>
      <c r="AH98" s="1015"/>
      <c r="AJ98" s="79" t="str">
        <f t="shared" si="45"/>
        <v/>
      </c>
      <c r="AK98" s="16" t="str">
        <f t="shared" si="46"/>
        <v/>
      </c>
      <c r="AL98" s="16" t="str">
        <f t="shared" si="47"/>
        <v/>
      </c>
      <c r="AM98" s="16" t="str">
        <f t="shared" si="48"/>
        <v/>
      </c>
      <c r="AN98" s="16" t="str">
        <f t="shared" si="49"/>
        <v/>
      </c>
      <c r="AO98" s="55"/>
      <c r="AP98" s="98">
        <v>3</v>
      </c>
      <c r="AQ98" s="109"/>
      <c r="AR98" s="100">
        <f>IFERROR(AP98*AQ98*AS98,0)</f>
        <v>0</v>
      </c>
      <c r="AS98" s="48">
        <f>IFERROR(AR99/((AP98*AQ98)+(AP97*AQ97)+(AP96*AQ96)+(AP95*AQ95)),0)</f>
        <v>0</v>
      </c>
      <c r="AT98" s="85"/>
      <c r="AU98" s="85"/>
      <c r="AV98" s="59"/>
      <c r="AW98" s="93"/>
      <c r="AX98" s="94">
        <f t="shared" si="50"/>
        <v>0</v>
      </c>
      <c r="AY98" s="95">
        <f t="shared" si="51"/>
        <v>0</v>
      </c>
    </row>
    <row r="99" spans="1:51" ht="14.25" customHeight="1" thickBot="1">
      <c r="A99" s="1001"/>
      <c r="B99" s="1010"/>
      <c r="C99" s="1011"/>
      <c r="D99" s="1011"/>
      <c r="E99" s="1011"/>
      <c r="F99" s="1012"/>
      <c r="G99" s="1012"/>
      <c r="H99" s="184"/>
      <c r="I99" s="190"/>
      <c r="J99" s="1001"/>
      <c r="K99" s="1001"/>
      <c r="L99" s="186"/>
      <c r="M99" s="1001"/>
      <c r="N99" s="1013"/>
      <c r="O99" s="192"/>
      <c r="P99" s="185"/>
      <c r="Q99" s="1014"/>
      <c r="R99" s="1001"/>
      <c r="S99" s="1014"/>
      <c r="T99" s="1013"/>
      <c r="U99" s="1015"/>
      <c r="V99" s="185"/>
      <c r="W99" s="1014"/>
      <c r="X99" s="1001"/>
      <c r="Y99" s="1014"/>
      <c r="Z99" s="1013"/>
      <c r="AA99" s="1015"/>
      <c r="AB99" s="1015"/>
      <c r="AC99" s="194"/>
      <c r="AD99" s="194"/>
      <c r="AE99" s="194"/>
      <c r="AF99" s="194"/>
      <c r="AG99" s="1013"/>
      <c r="AH99" s="1015"/>
      <c r="AJ99" s="79" t="str">
        <f t="shared" si="45"/>
        <v/>
      </c>
      <c r="AK99" s="16" t="str">
        <f t="shared" si="46"/>
        <v/>
      </c>
      <c r="AL99" s="16" t="str">
        <f t="shared" si="47"/>
        <v/>
      </c>
      <c r="AM99" s="16" t="str">
        <f t="shared" si="48"/>
        <v/>
      </c>
      <c r="AN99" s="16" t="str">
        <f t="shared" si="49"/>
        <v/>
      </c>
      <c r="AO99" s="55"/>
      <c r="AP99" s="111"/>
      <c r="AQ99" s="112"/>
      <c r="AR99" s="113"/>
      <c r="AS99" s="104"/>
      <c r="AT99" s="58"/>
      <c r="AU99" s="85"/>
      <c r="AV99" s="59"/>
      <c r="AW99" s="93"/>
      <c r="AX99" s="94">
        <f t="shared" si="50"/>
        <v>0</v>
      </c>
      <c r="AY99" s="95">
        <f t="shared" si="51"/>
        <v>0</v>
      </c>
    </row>
    <row r="100" spans="1:51" ht="14.25" customHeight="1" thickBot="1">
      <c r="A100" s="1001"/>
      <c r="B100" s="1010"/>
      <c r="C100" s="1011"/>
      <c r="D100" s="1011"/>
      <c r="E100" s="1011"/>
      <c r="F100" s="1012"/>
      <c r="G100" s="1012"/>
      <c r="H100" s="184"/>
      <c r="I100" s="190"/>
      <c r="J100" s="1001"/>
      <c r="K100" s="1001"/>
      <c r="L100" s="186"/>
      <c r="M100" s="1001"/>
      <c r="N100" s="1013"/>
      <c r="O100" s="192"/>
      <c r="P100" s="1014"/>
      <c r="Q100" s="1014"/>
      <c r="R100" s="1001"/>
      <c r="S100" s="1014"/>
      <c r="T100" s="1013"/>
      <c r="U100" s="1015"/>
      <c r="V100" s="1014"/>
      <c r="W100" s="1014"/>
      <c r="X100" s="1001"/>
      <c r="Y100" s="1014"/>
      <c r="Z100" s="1013"/>
      <c r="AA100" s="1015"/>
      <c r="AB100" s="1015"/>
      <c r="AC100" s="194"/>
      <c r="AD100" s="194"/>
      <c r="AE100" s="194"/>
      <c r="AF100" s="194"/>
      <c r="AG100" s="1013"/>
      <c r="AH100" s="1015"/>
      <c r="AJ100" s="79" t="str">
        <f t="shared" si="45"/>
        <v/>
      </c>
      <c r="AK100" s="16" t="str">
        <f t="shared" si="46"/>
        <v/>
      </c>
      <c r="AL100" s="16" t="str">
        <f t="shared" si="47"/>
        <v/>
      </c>
      <c r="AM100" s="16" t="str">
        <f t="shared" si="48"/>
        <v/>
      </c>
      <c r="AN100" s="16" t="str">
        <f t="shared" si="49"/>
        <v/>
      </c>
      <c r="AO100" s="55"/>
      <c r="AP100" s="1250" t="s">
        <v>7</v>
      </c>
      <c r="AQ100" s="1250"/>
      <c r="AR100" s="1250"/>
      <c r="AS100" s="104"/>
      <c r="AT100" s="85"/>
      <c r="AU100" s="85"/>
      <c r="AV100" s="59"/>
      <c r="AW100" s="93"/>
      <c r="AX100" s="94">
        <f t="shared" si="50"/>
        <v>0</v>
      </c>
      <c r="AY100" s="95">
        <f t="shared" si="51"/>
        <v>0</v>
      </c>
    </row>
    <row r="101" spans="1:51" ht="15" customHeight="1" thickBot="1">
      <c r="A101" s="1001"/>
      <c r="B101" s="1010"/>
      <c r="C101" s="1011"/>
      <c r="D101" s="1011"/>
      <c r="E101" s="1011"/>
      <c r="F101" s="1012"/>
      <c r="G101" s="1012"/>
      <c r="H101" s="184"/>
      <c r="I101" s="190"/>
      <c r="J101" s="1001"/>
      <c r="K101" s="1001"/>
      <c r="L101" s="186"/>
      <c r="M101" s="1001"/>
      <c r="N101" s="1013"/>
      <c r="O101" s="192"/>
      <c r="P101" s="1014"/>
      <c r="Q101" s="1014"/>
      <c r="R101" s="1001"/>
      <c r="S101" s="1014"/>
      <c r="T101" s="1013"/>
      <c r="U101" s="1015"/>
      <c r="V101" s="1014"/>
      <c r="W101" s="185"/>
      <c r="X101" s="1001"/>
      <c r="Y101" s="1014"/>
      <c r="Z101" s="1013"/>
      <c r="AA101" s="1015"/>
      <c r="AB101" s="1015"/>
      <c r="AC101" s="194"/>
      <c r="AD101" s="194"/>
      <c r="AE101" s="194"/>
      <c r="AF101" s="194"/>
      <c r="AG101" s="1013"/>
      <c r="AH101" s="1015"/>
      <c r="AJ101" s="79" t="str">
        <f t="shared" si="45"/>
        <v/>
      </c>
      <c r="AK101" s="16" t="str">
        <f t="shared" si="46"/>
        <v/>
      </c>
      <c r="AL101" s="16" t="str">
        <f t="shared" si="47"/>
        <v/>
      </c>
      <c r="AM101" s="16" t="str">
        <f t="shared" si="48"/>
        <v/>
      </c>
      <c r="AN101" s="16" t="str">
        <f t="shared" si="49"/>
        <v/>
      </c>
      <c r="AO101" s="73">
        <v>160</v>
      </c>
      <c r="AP101" s="1250"/>
      <c r="AQ101" s="1250"/>
      <c r="AR101" s="1250"/>
      <c r="AS101" s="55"/>
      <c r="AT101" s="85"/>
      <c r="AU101" s="58"/>
      <c r="AV101" s="59"/>
      <c r="AW101" s="93"/>
      <c r="AX101" s="94">
        <f t="shared" si="50"/>
        <v>0</v>
      </c>
      <c r="AY101" s="95">
        <f t="shared" si="51"/>
        <v>0</v>
      </c>
    </row>
    <row r="102" spans="1:51" ht="15" customHeight="1" thickBot="1">
      <c r="A102" s="1001"/>
      <c r="B102" s="1010"/>
      <c r="C102" s="1011"/>
      <c r="D102" s="1011"/>
      <c r="E102" s="1011"/>
      <c r="F102" s="1012"/>
      <c r="G102" s="1012"/>
      <c r="H102" s="184"/>
      <c r="I102" s="190"/>
      <c r="J102" s="1001"/>
      <c r="K102" s="1001"/>
      <c r="L102" s="186"/>
      <c r="M102" s="1001"/>
      <c r="N102" s="1013"/>
      <c r="O102" s="192"/>
      <c r="P102" s="1014"/>
      <c r="Q102" s="185"/>
      <c r="R102" s="1018"/>
      <c r="S102" s="1014"/>
      <c r="T102" s="1013"/>
      <c r="U102" s="1015"/>
      <c r="V102" s="1014"/>
      <c r="W102" s="185"/>
      <c r="X102" s="1001"/>
      <c r="Y102" s="1014"/>
      <c r="Z102" s="1013"/>
      <c r="AA102" s="1015"/>
      <c r="AB102" s="1015"/>
      <c r="AC102" s="194"/>
      <c r="AD102" s="194"/>
      <c r="AE102" s="194"/>
      <c r="AF102" s="194"/>
      <c r="AG102" s="1013"/>
      <c r="AH102" s="1015"/>
      <c r="AJ102" s="79" t="str">
        <f t="shared" si="45"/>
        <v/>
      </c>
      <c r="AK102" s="16" t="str">
        <f t="shared" si="46"/>
        <v/>
      </c>
      <c r="AL102" s="16" t="str">
        <f t="shared" si="47"/>
        <v/>
      </c>
      <c r="AM102" s="16" t="str">
        <f t="shared" si="48"/>
        <v/>
      </c>
      <c r="AN102" s="16" t="str">
        <f t="shared" si="49"/>
        <v/>
      </c>
      <c r="AO102" s="55"/>
      <c r="AP102" s="1250"/>
      <c r="AQ102" s="1250"/>
      <c r="AR102" s="1250"/>
      <c r="AS102" s="55"/>
      <c r="AT102" s="85"/>
      <c r="AU102" s="58"/>
      <c r="AV102" s="59"/>
      <c r="AW102" s="93"/>
      <c r="AX102" s="94">
        <f t="shared" si="50"/>
        <v>0</v>
      </c>
      <c r="AY102" s="95">
        <f t="shared" si="51"/>
        <v>0</v>
      </c>
    </row>
    <row r="103" spans="1:51" ht="16.5" customHeight="1">
      <c r="A103" s="1001"/>
      <c r="B103" s="1010"/>
      <c r="C103" s="1011"/>
      <c r="D103" s="1011"/>
      <c r="E103" s="1011"/>
      <c r="F103" s="1012"/>
      <c r="G103" s="1012"/>
      <c r="H103" s="184"/>
      <c r="I103" s="190"/>
      <c r="J103" s="1001"/>
      <c r="K103" s="1001"/>
      <c r="L103" s="186"/>
      <c r="M103" s="1001"/>
      <c r="N103" s="1013"/>
      <c r="O103" s="192"/>
      <c r="P103" s="1014"/>
      <c r="Q103" s="185"/>
      <c r="R103" s="1014"/>
      <c r="S103" s="1014"/>
      <c r="T103" s="1013"/>
      <c r="U103" s="1015"/>
      <c r="V103" s="1014"/>
      <c r="W103" s="185"/>
      <c r="X103" s="1001"/>
      <c r="Y103" s="1014"/>
      <c r="Z103" s="1013"/>
      <c r="AA103" s="1015"/>
      <c r="AB103" s="1015"/>
      <c r="AC103" s="194"/>
      <c r="AD103" s="194"/>
      <c r="AE103" s="194"/>
      <c r="AF103" s="194"/>
      <c r="AG103" s="1013"/>
      <c r="AH103" s="1015"/>
      <c r="AJ103" s="79" t="str">
        <f t="shared" si="45"/>
        <v/>
      </c>
      <c r="AK103" s="16" t="str">
        <f t="shared" si="46"/>
        <v/>
      </c>
      <c r="AL103" s="16" t="str">
        <f t="shared" si="47"/>
        <v/>
      </c>
      <c r="AM103" s="16" t="str">
        <f t="shared" si="48"/>
        <v/>
      </c>
      <c r="AN103" s="16" t="str">
        <f t="shared" si="49"/>
        <v/>
      </c>
      <c r="AO103" s="55"/>
      <c r="AP103" s="117">
        <v>6</v>
      </c>
      <c r="AQ103" s="118"/>
      <c r="AR103" s="100">
        <f>IFERROR(AP103*AQ103*AS106,0)</f>
        <v>0</v>
      </c>
      <c r="AS103" s="55"/>
      <c r="AT103" s="85"/>
      <c r="AU103" s="58"/>
      <c r="AV103" s="59"/>
      <c r="AW103" s="93"/>
      <c r="AX103" s="94">
        <f t="shared" si="50"/>
        <v>0</v>
      </c>
      <c r="AY103" s="95">
        <f t="shared" si="51"/>
        <v>0</v>
      </c>
    </row>
    <row r="104" spans="1:51" ht="16.5" customHeight="1">
      <c r="A104" s="1001"/>
      <c r="B104" s="1010"/>
      <c r="C104" s="1011"/>
      <c r="D104" s="1011"/>
      <c r="E104" s="1011"/>
      <c r="F104" s="1012"/>
      <c r="G104" s="1012"/>
      <c r="H104" s="184"/>
      <c r="I104" s="190"/>
      <c r="J104" s="1001"/>
      <c r="K104" s="1001"/>
      <c r="L104" s="186"/>
      <c r="M104" s="1001"/>
      <c r="N104" s="1013"/>
      <c r="O104" s="192"/>
      <c r="P104" s="1014"/>
      <c r="Q104" s="184"/>
      <c r="R104" s="1018"/>
      <c r="S104" s="1019"/>
      <c r="T104" s="1013"/>
      <c r="U104" s="1015"/>
      <c r="V104" s="1014"/>
      <c r="W104" s="185"/>
      <c r="X104" s="1001"/>
      <c r="Y104" s="1014"/>
      <c r="Z104" s="1013"/>
      <c r="AA104" s="1015"/>
      <c r="AB104" s="1015"/>
      <c r="AC104" s="194"/>
      <c r="AD104" s="194"/>
      <c r="AE104" s="194"/>
      <c r="AF104" s="194"/>
      <c r="AG104" s="1013"/>
      <c r="AH104" s="1015"/>
      <c r="AJ104" s="79" t="str">
        <f t="shared" si="45"/>
        <v/>
      </c>
      <c r="AK104" s="16" t="str">
        <f t="shared" si="46"/>
        <v/>
      </c>
      <c r="AL104" s="16" t="str">
        <f t="shared" si="47"/>
        <v/>
      </c>
      <c r="AM104" s="16" t="str">
        <f t="shared" si="48"/>
        <v/>
      </c>
      <c r="AN104" s="16" t="str">
        <f t="shared" si="49"/>
        <v/>
      </c>
      <c r="AO104" s="55"/>
      <c r="AP104" s="98">
        <v>5</v>
      </c>
      <c r="AQ104" s="99"/>
      <c r="AR104" s="100">
        <f>IFERROR(AP104*AQ104*AS106,0)</f>
        <v>0</v>
      </c>
      <c r="AS104" s="55"/>
      <c r="AT104" s="116"/>
      <c r="AU104" s="115"/>
      <c r="AV104" s="116"/>
      <c r="AW104" s="123"/>
      <c r="AX104" s="94">
        <f t="shared" si="50"/>
        <v>0</v>
      </c>
      <c r="AY104" s="95">
        <f t="shared" si="51"/>
        <v>0</v>
      </c>
    </row>
    <row r="105" spans="1:51" ht="15.75" customHeight="1">
      <c r="A105" s="1001"/>
      <c r="B105" s="1010"/>
      <c r="C105" s="1020"/>
      <c r="D105" s="1021"/>
      <c r="E105" s="1020"/>
      <c r="F105" s="1022"/>
      <c r="G105" s="1022"/>
      <c r="H105" s="184"/>
      <c r="I105" s="190"/>
      <c r="J105" s="1001"/>
      <c r="K105" s="1001"/>
      <c r="L105" s="186"/>
      <c r="M105" s="1001"/>
      <c r="N105" s="1013"/>
      <c r="O105" s="192"/>
      <c r="P105" s="1019"/>
      <c r="Q105" s="184"/>
      <c r="R105" s="1018"/>
      <c r="S105" s="1019"/>
      <c r="T105" s="1013"/>
      <c r="U105" s="1015"/>
      <c r="V105" s="1014"/>
      <c r="W105" s="185"/>
      <c r="X105" s="1001"/>
      <c r="Y105" s="1014"/>
      <c r="Z105" s="1013"/>
      <c r="AA105" s="1015"/>
      <c r="AB105" s="1015"/>
      <c r="AC105" s="194"/>
      <c r="AD105" s="194"/>
      <c r="AE105" s="194"/>
      <c r="AF105" s="194"/>
      <c r="AG105" s="1013"/>
      <c r="AH105" s="1015"/>
      <c r="AJ105" s="79" t="str">
        <f t="shared" si="45"/>
        <v/>
      </c>
      <c r="AK105" s="16" t="str">
        <f t="shared" si="46"/>
        <v/>
      </c>
      <c r="AL105" s="16" t="str">
        <f t="shared" si="47"/>
        <v/>
      </c>
      <c r="AM105" s="16" t="str">
        <f t="shared" si="48"/>
        <v/>
      </c>
      <c r="AN105" s="16" t="str">
        <f t="shared" si="49"/>
        <v/>
      </c>
      <c r="AO105" s="104"/>
      <c r="AP105" s="98">
        <v>4</v>
      </c>
      <c r="AQ105" s="99"/>
      <c r="AR105" s="100">
        <f>IFERROR(AP105*AQ105*AS106,0)</f>
        <v>0</v>
      </c>
      <c r="AS105" s="55"/>
      <c r="AT105" s="85"/>
      <c r="AU105" s="58"/>
      <c r="AV105" s="59"/>
      <c r="AW105" s="93"/>
      <c r="AX105" s="94">
        <f t="shared" si="50"/>
        <v>0</v>
      </c>
      <c r="AY105" s="95">
        <f t="shared" si="51"/>
        <v>0</v>
      </c>
    </row>
    <row r="106" spans="1:51" ht="15" customHeight="1">
      <c r="A106" s="1001"/>
      <c r="B106" s="1001"/>
      <c r="C106" s="1023"/>
      <c r="D106" s="1023"/>
      <c r="E106" s="1023"/>
      <c r="F106" s="1024"/>
      <c r="G106" s="1024"/>
      <c r="H106" s="1001"/>
      <c r="I106" s="1001"/>
      <c r="J106" s="201"/>
      <c r="K106" s="201"/>
      <c r="L106" s="201"/>
      <c r="M106" s="201"/>
      <c r="N106" s="1025"/>
      <c r="O106" s="1002"/>
      <c r="P106" s="1001"/>
      <c r="Q106" s="1001"/>
      <c r="R106" s="1001"/>
      <c r="S106" s="1003"/>
      <c r="T106" s="1001"/>
      <c r="U106" s="1004"/>
      <c r="V106" s="1001"/>
      <c r="W106" s="1001"/>
      <c r="X106" s="1001"/>
      <c r="Y106" s="1001"/>
      <c r="Z106" s="1001"/>
      <c r="AA106" s="1004"/>
      <c r="AB106" s="1001"/>
      <c r="AC106" s="1001"/>
      <c r="AD106" s="1001"/>
      <c r="AE106" s="1001"/>
      <c r="AF106" s="1001"/>
      <c r="AG106" s="54"/>
      <c r="AH106" s="54"/>
      <c r="AI106" s="54"/>
      <c r="AJ106" s="54"/>
      <c r="AK106" s="137"/>
      <c r="AL106" s="137"/>
      <c r="AM106" s="137"/>
      <c r="AN106" s="137"/>
      <c r="AO106" s="55"/>
      <c r="AP106" s="98">
        <v>3</v>
      </c>
      <c r="AQ106" s="109"/>
      <c r="AR106" s="100">
        <f>IFERROR(AP106*AQ106*AS106,0)</f>
        <v>0</v>
      </c>
      <c r="AS106" s="48">
        <f>IFERROR(AR107/((AP106*AQ106)+(AP105*AQ105)+(AP104*AQ104)+(AP103*AQ103)),0)</f>
        <v>0</v>
      </c>
      <c r="AT106" s="54"/>
      <c r="AU106" s="54"/>
      <c r="AV106" s="54"/>
      <c r="AW106" s="54"/>
      <c r="AX106" s="54"/>
      <c r="AY106" s="56"/>
    </row>
    <row r="107" spans="1:51" ht="15.75" customHeight="1" thickBot="1">
      <c r="A107" s="1001"/>
      <c r="B107" s="1001"/>
      <c r="C107" s="1023"/>
      <c r="D107" s="1023"/>
      <c r="E107" s="1023"/>
      <c r="F107" s="1024"/>
      <c r="G107" s="1024"/>
      <c r="H107" s="184"/>
      <c r="I107" s="190"/>
      <c r="J107" s="1026"/>
      <c r="K107" s="1026"/>
      <c r="L107" s="1026"/>
      <c r="M107" s="1026"/>
      <c r="N107" s="1013"/>
      <c r="O107" s="192"/>
      <c r="P107" s="1027"/>
      <c r="Q107" s="1027"/>
      <c r="R107" s="1027"/>
      <c r="S107" s="1027"/>
      <c r="T107" s="1018"/>
      <c r="U107" s="1018"/>
      <c r="V107" s="1027"/>
      <c r="W107" s="1027"/>
      <c r="X107" s="1027"/>
      <c r="Y107" s="1027"/>
      <c r="Z107" s="1001"/>
      <c r="AA107" s="1001"/>
      <c r="AB107" s="1001"/>
      <c r="AC107" s="1027"/>
      <c r="AD107" s="1027"/>
      <c r="AE107" s="1027"/>
      <c r="AF107" s="1027"/>
      <c r="AG107" s="54"/>
      <c r="AH107" s="54"/>
      <c r="AI107" s="54"/>
      <c r="AJ107" s="54"/>
      <c r="AK107" s="154">
        <f>SUM(AK94:AK106)</f>
        <v>0</v>
      </c>
      <c r="AL107" s="154">
        <f>SUM(AL94:AL106)</f>
        <v>0</v>
      </c>
      <c r="AM107" s="154">
        <f>SUM(AM94:AM106)</f>
        <v>0</v>
      </c>
      <c r="AN107" s="154">
        <f>SUM(AN94:AN106)</f>
        <v>0</v>
      </c>
      <c r="AO107" s="55"/>
      <c r="AP107" s="111"/>
      <c r="AQ107" s="112"/>
      <c r="AR107" s="155"/>
      <c r="AS107" s="55"/>
      <c r="AT107" s="54"/>
      <c r="AU107" s="54"/>
      <c r="AV107" s="54"/>
      <c r="AW107" s="54"/>
      <c r="AX107" s="54"/>
      <c r="AY107" s="56"/>
    </row>
    <row r="108" spans="1:51" ht="15.75" customHeight="1">
      <c r="A108" s="1028"/>
      <c r="B108" s="1001"/>
      <c r="C108" s="1001"/>
      <c r="D108" s="1001"/>
      <c r="E108" s="1001"/>
      <c r="F108" s="1001"/>
      <c r="G108" s="1001"/>
      <c r="H108" s="1018"/>
      <c r="I108" s="190"/>
      <c r="J108" s="1026"/>
      <c r="K108" s="1026"/>
      <c r="L108" s="1026"/>
      <c r="M108" s="1026"/>
      <c r="N108" s="1013"/>
      <c r="O108" s="192"/>
      <c r="P108" s="1027"/>
      <c r="Q108" s="1027"/>
      <c r="R108" s="1027"/>
      <c r="S108" s="1027"/>
      <c r="T108" s="1029"/>
      <c r="U108" s="1030"/>
      <c r="V108" s="1027"/>
      <c r="W108" s="1027"/>
      <c r="X108" s="1027"/>
      <c r="Y108" s="1027"/>
      <c r="Z108" s="1031"/>
      <c r="AA108" s="1032"/>
      <c r="AB108" s="1033"/>
      <c r="AC108" s="1027"/>
      <c r="AD108" s="1027"/>
      <c r="AE108" s="1027"/>
      <c r="AF108" s="1027"/>
      <c r="AG108" s="54"/>
      <c r="AH108" s="1030"/>
      <c r="AI108" s="54"/>
      <c r="AJ108" s="54"/>
      <c r="AK108" s="55"/>
      <c r="AL108" s="55"/>
      <c r="AM108" s="55"/>
      <c r="AN108" s="55"/>
      <c r="AO108" s="55"/>
      <c r="AP108" s="55"/>
      <c r="AQ108" s="55"/>
      <c r="AR108" s="157">
        <f>AR99+AR107</f>
        <v>0</v>
      </c>
      <c r="AS108" s="55"/>
      <c r="AT108" s="54"/>
      <c r="AU108" s="54"/>
      <c r="AV108" s="54"/>
      <c r="AW108" s="54"/>
      <c r="AX108" s="54"/>
      <c r="AY108" s="56"/>
    </row>
    <row r="109" spans="1:51" ht="19.5" customHeight="1" thickBot="1">
      <c r="A109" s="1007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007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54"/>
      <c r="AH109" s="54"/>
      <c r="AI109" s="54"/>
      <c r="AJ109" s="54"/>
      <c r="AK109" s="55"/>
      <c r="AL109" s="55"/>
      <c r="AM109" s="55"/>
      <c r="AN109" s="55"/>
      <c r="AO109" s="55"/>
      <c r="AP109" s="55"/>
      <c r="AQ109" s="55"/>
      <c r="AR109" s="55"/>
      <c r="AS109" s="55"/>
      <c r="AT109" s="54"/>
      <c r="AU109" s="54"/>
      <c r="AV109" s="54"/>
      <c r="AW109" s="54"/>
      <c r="AX109" s="54"/>
      <c r="AY109" s="56"/>
    </row>
    <row r="110" spans="1:51" ht="14.25" customHeight="1" thickBot="1">
      <c r="A110" s="1252"/>
      <c r="B110" s="1253"/>
      <c r="C110" s="1254"/>
      <c r="D110" s="1254"/>
      <c r="E110" s="1254"/>
      <c r="F110" s="1254"/>
      <c r="G110" s="1254"/>
      <c r="H110" s="1253"/>
      <c r="I110" s="1254"/>
      <c r="J110" s="1253"/>
      <c r="K110" s="1253"/>
      <c r="L110" s="1253"/>
      <c r="M110" s="1253"/>
      <c r="N110" s="1255"/>
      <c r="O110" s="1258"/>
      <c r="P110" s="1254"/>
      <c r="Q110" s="1254"/>
      <c r="R110" s="1254"/>
      <c r="S110" s="1254"/>
      <c r="T110" s="1259"/>
      <c r="U110" s="1258"/>
      <c r="V110" s="1254"/>
      <c r="W110" s="1254"/>
      <c r="X110" s="1254"/>
      <c r="Y110" s="1254"/>
      <c r="Z110" s="1259"/>
      <c r="AA110" s="1258"/>
      <c r="AB110" s="1258"/>
      <c r="AC110" s="1260"/>
      <c r="AD110" s="1260"/>
      <c r="AE110" s="1260"/>
      <c r="AF110" s="1260"/>
      <c r="AG110" s="1259"/>
      <c r="AH110" s="1258"/>
      <c r="AI110" s="54"/>
      <c r="AJ110" s="54"/>
      <c r="AK110" s="1262" t="s">
        <v>37</v>
      </c>
      <c r="AL110" s="1262"/>
      <c r="AM110" s="1262"/>
      <c r="AN110" s="1262"/>
      <c r="AO110" s="55"/>
      <c r="AP110" s="1250" t="s">
        <v>7</v>
      </c>
      <c r="AQ110" s="1250"/>
      <c r="AR110" s="1250"/>
      <c r="AS110" s="55"/>
      <c r="AT110" s="1261" t="s">
        <v>38</v>
      </c>
      <c r="AU110" s="1261"/>
      <c r="AV110" s="1261"/>
      <c r="AW110" s="1261"/>
      <c r="AX110" s="61" t="s">
        <v>39</v>
      </c>
      <c r="AY110" s="62" t="s">
        <v>12</v>
      </c>
    </row>
    <row r="111" spans="1:51" ht="18" customHeight="1" thickBot="1">
      <c r="A111" s="1252"/>
      <c r="B111" s="1252"/>
      <c r="C111" s="186"/>
      <c r="D111" s="186"/>
      <c r="E111" s="186"/>
      <c r="F111" s="186"/>
      <c r="G111" s="186"/>
      <c r="H111" s="1253"/>
      <c r="I111" s="1254"/>
      <c r="J111" s="185"/>
      <c r="K111" s="185"/>
      <c r="L111" s="185"/>
      <c r="M111" s="185"/>
      <c r="N111" s="1255"/>
      <c r="O111" s="1258"/>
      <c r="P111" s="186"/>
      <c r="Q111" s="185"/>
      <c r="R111" s="1008"/>
      <c r="S111" s="185"/>
      <c r="T111" s="1259"/>
      <c r="U111" s="1259"/>
      <c r="V111" s="186"/>
      <c r="W111" s="185"/>
      <c r="X111" s="1008"/>
      <c r="Y111" s="185"/>
      <c r="Z111" s="1259"/>
      <c r="AA111" s="1259"/>
      <c r="AB111" s="1258"/>
      <c r="AC111" s="186"/>
      <c r="AD111" s="185"/>
      <c r="AE111" s="1008"/>
      <c r="AF111" s="185"/>
      <c r="AG111" s="1259"/>
      <c r="AH111" s="1258"/>
      <c r="AI111" s="54"/>
      <c r="AJ111" s="54"/>
      <c r="AK111" s="72" t="s">
        <v>49</v>
      </c>
      <c r="AL111" s="72" t="s">
        <v>50</v>
      </c>
      <c r="AM111" s="72" t="s">
        <v>51</v>
      </c>
      <c r="AN111" s="72" t="s">
        <v>52</v>
      </c>
      <c r="AO111" s="73">
        <v>130</v>
      </c>
      <c r="AP111" s="1250"/>
      <c r="AQ111" s="1250"/>
      <c r="AR111" s="1250"/>
      <c r="AS111" s="55"/>
      <c r="AT111" s="65" t="s">
        <v>45</v>
      </c>
      <c r="AU111" s="58" t="s">
        <v>46</v>
      </c>
      <c r="AV111" s="68" t="s">
        <v>47</v>
      </c>
      <c r="AW111" s="60" t="s">
        <v>48</v>
      </c>
      <c r="AX111" s="61"/>
      <c r="AY111" s="62"/>
    </row>
    <row r="112" spans="1:51" ht="15" customHeight="1" thickBot="1">
      <c r="A112" s="1009"/>
      <c r="B112" s="1010"/>
      <c r="C112" s="1011"/>
      <c r="D112" s="1011"/>
      <c r="E112" s="1011"/>
      <c r="F112" s="1012"/>
      <c r="G112" s="1012"/>
      <c r="H112" s="184"/>
      <c r="I112" s="190"/>
      <c r="J112" s="1001"/>
      <c r="K112" s="1001"/>
      <c r="L112" s="186"/>
      <c r="M112" s="1001"/>
      <c r="N112" s="1013"/>
      <c r="O112" s="192"/>
      <c r="P112" s="1014"/>
      <c r="Q112" s="1014"/>
      <c r="R112" s="1001"/>
      <c r="S112" s="1014"/>
      <c r="T112" s="1013"/>
      <c r="U112" s="1015"/>
      <c r="V112" s="1014"/>
      <c r="W112" s="1014"/>
      <c r="X112" s="1001"/>
      <c r="Y112" s="1014"/>
      <c r="Z112" s="1013"/>
      <c r="AA112" s="1015"/>
      <c r="AB112" s="1015"/>
      <c r="AC112" s="194"/>
      <c r="AD112" s="194"/>
      <c r="AE112" s="194"/>
      <c r="AF112" s="194"/>
      <c r="AG112" s="1013"/>
      <c r="AH112" s="1015"/>
      <c r="AJ112" s="79" t="str">
        <f t="shared" ref="AJ112:AJ123" si="52">IF(H112=130,0.132335,IF(H112=100,0.0785,IF(H112=110,0.095,IF(H112=160,0.198005,""))))</f>
        <v/>
      </c>
      <c r="AK112" s="16" t="str">
        <f t="shared" ref="AK112:AK123" si="53">IFERROR(P112*3*AJ112,"")</f>
        <v/>
      </c>
      <c r="AL112" s="16" t="str">
        <f t="shared" ref="AL112:AL123" si="54">IFERROR(Q112*4*AJ112,"")</f>
        <v/>
      </c>
      <c r="AM112" s="16" t="str">
        <f t="shared" ref="AM112:AM123" si="55">IFERROR(R112*5*AJ112,"")</f>
        <v/>
      </c>
      <c r="AN112" s="16" t="str">
        <f t="shared" ref="AN112:AN123" si="56">IFERROR(S112*6*AJ112,"")</f>
        <v/>
      </c>
      <c r="AO112" s="55"/>
      <c r="AP112" s="1250"/>
      <c r="AQ112" s="1250"/>
      <c r="AR112" s="1250"/>
      <c r="AS112" s="55"/>
      <c r="AT112" s="85"/>
      <c r="AU112" s="85"/>
      <c r="AV112" s="59"/>
      <c r="AW112" s="93"/>
      <c r="AX112" s="94">
        <f t="shared" ref="AX112:AX123" si="57">AT112*3+AU112*4+AV112*5+AW112*6</f>
        <v>0</v>
      </c>
      <c r="AY112" s="95">
        <f t="shared" ref="AY112:AY123" si="58">AX112*I112</f>
        <v>0</v>
      </c>
    </row>
    <row r="113" spans="1:51" ht="15" customHeight="1">
      <c r="A113" s="1001"/>
      <c r="B113" s="1010"/>
      <c r="C113" s="1011"/>
      <c r="D113" s="1011"/>
      <c r="E113" s="1011"/>
      <c r="F113" s="1012"/>
      <c r="G113" s="1012"/>
      <c r="H113" s="184"/>
      <c r="I113" s="190"/>
      <c r="J113" s="1001"/>
      <c r="K113" s="1001"/>
      <c r="L113" s="186"/>
      <c r="M113" s="1001"/>
      <c r="N113" s="1013"/>
      <c r="O113" s="192"/>
      <c r="P113" s="1014"/>
      <c r="Q113" s="1014"/>
      <c r="R113" s="1001"/>
      <c r="S113" s="1014"/>
      <c r="T113" s="1013"/>
      <c r="U113" s="1015"/>
      <c r="V113" s="1014"/>
      <c r="W113" s="1014"/>
      <c r="X113" s="186"/>
      <c r="Y113" s="1014"/>
      <c r="Z113" s="1013"/>
      <c r="AA113" s="1015"/>
      <c r="AB113" s="1015"/>
      <c r="AC113" s="194"/>
      <c r="AD113" s="194"/>
      <c r="AE113" s="194"/>
      <c r="AF113" s="194"/>
      <c r="AG113" s="1013"/>
      <c r="AH113" s="1015"/>
      <c r="AJ113" s="79" t="str">
        <f t="shared" si="52"/>
        <v/>
      </c>
      <c r="AK113" s="16" t="str">
        <f t="shared" si="53"/>
        <v/>
      </c>
      <c r="AL113" s="16" t="str">
        <f t="shared" si="54"/>
        <v/>
      </c>
      <c r="AM113" s="16" t="str">
        <f t="shared" si="55"/>
        <v/>
      </c>
      <c r="AN113" s="16" t="str">
        <f t="shared" si="56"/>
        <v/>
      </c>
      <c r="AO113" s="55"/>
      <c r="AP113" s="98">
        <v>6</v>
      </c>
      <c r="AQ113" s="99"/>
      <c r="AR113" s="100">
        <f>IFERROR(AP113*AQ113*AS116,0)</f>
        <v>0</v>
      </c>
      <c r="AS113" s="55"/>
      <c r="AT113" s="85"/>
      <c r="AU113" s="85"/>
      <c r="AV113" s="65"/>
      <c r="AW113" s="93"/>
      <c r="AX113" s="94">
        <f t="shared" si="57"/>
        <v>0</v>
      </c>
      <c r="AY113" s="95">
        <f t="shared" si="58"/>
        <v>0</v>
      </c>
    </row>
    <row r="114" spans="1:51" ht="15" customHeight="1">
      <c r="A114" s="1001"/>
      <c r="B114" s="1010"/>
      <c r="C114" s="1016"/>
      <c r="D114" s="1016"/>
      <c r="E114" s="1016"/>
      <c r="F114" s="1017"/>
      <c r="G114" s="1017"/>
      <c r="H114" s="184"/>
      <c r="I114" s="190"/>
      <c r="J114" s="1001"/>
      <c r="K114" s="1001"/>
      <c r="L114" s="186"/>
      <c r="M114" s="1001"/>
      <c r="N114" s="1013"/>
      <c r="O114" s="192"/>
      <c r="P114" s="1014"/>
      <c r="Q114" s="1014"/>
      <c r="R114" s="1001"/>
      <c r="S114" s="1014"/>
      <c r="T114" s="1013"/>
      <c r="U114" s="1015"/>
      <c r="V114" s="1014"/>
      <c r="W114" s="1014"/>
      <c r="X114" s="1001"/>
      <c r="Y114" s="1014"/>
      <c r="Z114" s="1013"/>
      <c r="AA114" s="1015"/>
      <c r="AB114" s="1015"/>
      <c r="AC114" s="194"/>
      <c r="AD114" s="194"/>
      <c r="AE114" s="194"/>
      <c r="AF114" s="194"/>
      <c r="AG114" s="1013"/>
      <c r="AH114" s="1015"/>
      <c r="AJ114" s="79" t="str">
        <f t="shared" si="52"/>
        <v/>
      </c>
      <c r="AK114" s="16" t="str">
        <f t="shared" si="53"/>
        <v/>
      </c>
      <c r="AL114" s="16" t="str">
        <f t="shared" si="54"/>
        <v/>
      </c>
      <c r="AM114" s="16" t="str">
        <f t="shared" si="55"/>
        <v/>
      </c>
      <c r="AN114" s="16" t="str">
        <f t="shared" si="56"/>
        <v/>
      </c>
      <c r="AO114" s="55"/>
      <c r="AP114" s="98">
        <v>5</v>
      </c>
      <c r="AQ114" s="99"/>
      <c r="AR114" s="100">
        <f>IFERROR(AP114*AQ114*AS116,0)</f>
        <v>0</v>
      </c>
      <c r="AS114" s="104"/>
      <c r="AT114" s="58"/>
      <c r="AU114" s="85"/>
      <c r="AV114" s="59"/>
      <c r="AW114" s="93"/>
      <c r="AX114" s="94">
        <f t="shared" si="57"/>
        <v>0</v>
      </c>
      <c r="AY114" s="95">
        <f t="shared" si="58"/>
        <v>0</v>
      </c>
    </row>
    <row r="115" spans="1:51" ht="15" customHeight="1">
      <c r="A115" s="1001"/>
      <c r="B115" s="1010"/>
      <c r="C115" s="1011"/>
      <c r="D115" s="1011"/>
      <c r="E115" s="1011"/>
      <c r="F115" s="1012"/>
      <c r="G115" s="1012"/>
      <c r="H115" s="184"/>
      <c r="I115" s="190"/>
      <c r="J115" s="1001"/>
      <c r="K115" s="1001"/>
      <c r="L115" s="186"/>
      <c r="M115" s="1001"/>
      <c r="N115" s="1013"/>
      <c r="O115" s="192"/>
      <c r="P115" s="1014"/>
      <c r="Q115" s="1014"/>
      <c r="R115" s="1001"/>
      <c r="S115" s="1014"/>
      <c r="T115" s="1013"/>
      <c r="U115" s="1015"/>
      <c r="V115" s="1014"/>
      <c r="W115" s="1014"/>
      <c r="X115" s="1001"/>
      <c r="Y115" s="1014"/>
      <c r="Z115" s="1013"/>
      <c r="AA115" s="1015"/>
      <c r="AB115" s="1015"/>
      <c r="AC115" s="194"/>
      <c r="AD115" s="194"/>
      <c r="AE115" s="194"/>
      <c r="AF115" s="194"/>
      <c r="AG115" s="1013"/>
      <c r="AH115" s="1015"/>
      <c r="AJ115" s="79" t="str">
        <f t="shared" si="52"/>
        <v/>
      </c>
      <c r="AK115" s="16" t="str">
        <f t="shared" si="53"/>
        <v/>
      </c>
      <c r="AL115" s="16" t="str">
        <f t="shared" si="54"/>
        <v/>
      </c>
      <c r="AM115" s="16" t="str">
        <f t="shared" si="55"/>
        <v/>
      </c>
      <c r="AN115" s="16" t="str">
        <f t="shared" si="56"/>
        <v/>
      </c>
      <c r="AO115" s="55"/>
      <c r="AP115" s="98">
        <v>4</v>
      </c>
      <c r="AQ115" s="99"/>
      <c r="AR115" s="100">
        <f>IFERROR(AP115*AQ115*AS116,0)</f>
        <v>0</v>
      </c>
      <c r="AS115" s="104"/>
      <c r="AT115" s="85"/>
      <c r="AU115" s="85"/>
      <c r="AV115" s="59"/>
      <c r="AW115" s="93"/>
      <c r="AX115" s="94">
        <f t="shared" si="57"/>
        <v>0</v>
      </c>
      <c r="AY115" s="95">
        <f t="shared" si="58"/>
        <v>0</v>
      </c>
    </row>
    <row r="116" spans="1:51" ht="15" customHeight="1">
      <c r="A116" s="1001"/>
      <c r="B116" s="1010"/>
      <c r="C116" s="1011"/>
      <c r="D116" s="188"/>
      <c r="E116" s="1011"/>
      <c r="F116" s="1012"/>
      <c r="G116" s="1012"/>
      <c r="H116" s="184"/>
      <c r="I116" s="190"/>
      <c r="J116" s="1001"/>
      <c r="K116" s="1001"/>
      <c r="L116" s="186"/>
      <c r="M116" s="1001"/>
      <c r="N116" s="1013"/>
      <c r="O116" s="192"/>
      <c r="P116" s="1014"/>
      <c r="Q116" s="1014"/>
      <c r="R116" s="1001"/>
      <c r="S116" s="1014"/>
      <c r="T116" s="1013"/>
      <c r="U116" s="1015"/>
      <c r="V116" s="1014"/>
      <c r="W116" s="1014"/>
      <c r="X116" s="1001"/>
      <c r="Y116" s="1014"/>
      <c r="Z116" s="1013"/>
      <c r="AA116" s="1015"/>
      <c r="AB116" s="1015"/>
      <c r="AC116" s="194"/>
      <c r="AD116" s="194"/>
      <c r="AE116" s="194"/>
      <c r="AF116" s="194"/>
      <c r="AG116" s="1013"/>
      <c r="AH116" s="1015"/>
      <c r="AJ116" s="79" t="str">
        <f t="shared" si="52"/>
        <v/>
      </c>
      <c r="AK116" s="16" t="str">
        <f t="shared" si="53"/>
        <v/>
      </c>
      <c r="AL116" s="16" t="str">
        <f t="shared" si="54"/>
        <v/>
      </c>
      <c r="AM116" s="16" t="str">
        <f t="shared" si="55"/>
        <v/>
      </c>
      <c r="AN116" s="16" t="str">
        <f t="shared" si="56"/>
        <v/>
      </c>
      <c r="AO116" s="55"/>
      <c r="AP116" s="98">
        <v>3</v>
      </c>
      <c r="AQ116" s="109"/>
      <c r="AR116" s="100">
        <f>IFERROR(AP116*AQ116*AS116,0)</f>
        <v>0</v>
      </c>
      <c r="AS116" s="48">
        <f>IFERROR(AR117/((AP116*AQ116)+(AP115*AQ115)+(AP114*AQ114)+(AP113*AQ113)),0)</f>
        <v>0</v>
      </c>
      <c r="AT116" s="85"/>
      <c r="AU116" s="85"/>
      <c r="AV116" s="59"/>
      <c r="AW116" s="93"/>
      <c r="AX116" s="94">
        <f t="shared" si="57"/>
        <v>0</v>
      </c>
      <c r="AY116" s="95">
        <f t="shared" si="58"/>
        <v>0</v>
      </c>
    </row>
    <row r="117" spans="1:51" ht="14.25" customHeight="1" thickBot="1">
      <c r="A117" s="1001"/>
      <c r="B117" s="1010"/>
      <c r="C117" s="1011"/>
      <c r="D117" s="1011"/>
      <c r="E117" s="1011"/>
      <c r="F117" s="1012"/>
      <c r="G117" s="1012"/>
      <c r="H117" s="184"/>
      <c r="I117" s="190"/>
      <c r="J117" s="1001"/>
      <c r="K117" s="1001"/>
      <c r="L117" s="186"/>
      <c r="M117" s="1001"/>
      <c r="N117" s="1013"/>
      <c r="O117" s="192"/>
      <c r="P117" s="185"/>
      <c r="Q117" s="1014"/>
      <c r="R117" s="1001"/>
      <c r="S117" s="1014"/>
      <c r="T117" s="1013"/>
      <c r="U117" s="1015"/>
      <c r="V117" s="185"/>
      <c r="W117" s="1014"/>
      <c r="X117" s="1001"/>
      <c r="Y117" s="1014"/>
      <c r="Z117" s="1013"/>
      <c r="AA117" s="1015"/>
      <c r="AB117" s="1015"/>
      <c r="AC117" s="194"/>
      <c r="AD117" s="194"/>
      <c r="AE117" s="194"/>
      <c r="AF117" s="194"/>
      <c r="AG117" s="1013"/>
      <c r="AH117" s="1015"/>
      <c r="AJ117" s="79" t="str">
        <f t="shared" si="52"/>
        <v/>
      </c>
      <c r="AK117" s="16" t="str">
        <f t="shared" si="53"/>
        <v/>
      </c>
      <c r="AL117" s="16" t="str">
        <f t="shared" si="54"/>
        <v/>
      </c>
      <c r="AM117" s="16" t="str">
        <f t="shared" si="55"/>
        <v/>
      </c>
      <c r="AN117" s="16" t="str">
        <f t="shared" si="56"/>
        <v/>
      </c>
      <c r="AO117" s="55"/>
      <c r="AP117" s="111"/>
      <c r="AQ117" s="112"/>
      <c r="AR117" s="113"/>
      <c r="AS117" s="104"/>
      <c r="AT117" s="58"/>
      <c r="AU117" s="85"/>
      <c r="AV117" s="59"/>
      <c r="AW117" s="93"/>
      <c r="AX117" s="94">
        <f t="shared" si="57"/>
        <v>0</v>
      </c>
      <c r="AY117" s="95">
        <f t="shared" si="58"/>
        <v>0</v>
      </c>
    </row>
    <row r="118" spans="1:51" ht="14.25" customHeight="1" thickBot="1">
      <c r="A118" s="1001"/>
      <c r="B118" s="1010"/>
      <c r="C118" s="1011"/>
      <c r="D118" s="1011"/>
      <c r="E118" s="1011"/>
      <c r="F118" s="1012"/>
      <c r="G118" s="1012"/>
      <c r="H118" s="184"/>
      <c r="I118" s="190"/>
      <c r="J118" s="1001"/>
      <c r="K118" s="1001"/>
      <c r="L118" s="186"/>
      <c r="M118" s="1001"/>
      <c r="N118" s="1013"/>
      <c r="O118" s="192"/>
      <c r="P118" s="1014"/>
      <c r="Q118" s="1014"/>
      <c r="R118" s="1001"/>
      <c r="S118" s="1014"/>
      <c r="T118" s="1013"/>
      <c r="U118" s="1015"/>
      <c r="V118" s="1014"/>
      <c r="W118" s="1014"/>
      <c r="X118" s="1001"/>
      <c r="Y118" s="1014"/>
      <c r="Z118" s="1013"/>
      <c r="AA118" s="1015"/>
      <c r="AB118" s="1015"/>
      <c r="AC118" s="194"/>
      <c r="AD118" s="194"/>
      <c r="AE118" s="194"/>
      <c r="AF118" s="194"/>
      <c r="AG118" s="1013"/>
      <c r="AH118" s="1015"/>
      <c r="AJ118" s="79" t="str">
        <f t="shared" si="52"/>
        <v/>
      </c>
      <c r="AK118" s="16" t="str">
        <f t="shared" si="53"/>
        <v/>
      </c>
      <c r="AL118" s="16" t="str">
        <f t="shared" si="54"/>
        <v/>
      </c>
      <c r="AM118" s="16" t="str">
        <f t="shared" si="55"/>
        <v/>
      </c>
      <c r="AN118" s="16" t="str">
        <f t="shared" si="56"/>
        <v/>
      </c>
      <c r="AO118" s="55"/>
      <c r="AP118" s="1250" t="s">
        <v>7</v>
      </c>
      <c r="AQ118" s="1250"/>
      <c r="AR118" s="1250"/>
      <c r="AS118" s="104"/>
      <c r="AT118" s="85"/>
      <c r="AU118" s="85"/>
      <c r="AV118" s="59"/>
      <c r="AW118" s="93"/>
      <c r="AX118" s="94">
        <f t="shared" si="57"/>
        <v>0</v>
      </c>
      <c r="AY118" s="95">
        <f t="shared" si="58"/>
        <v>0</v>
      </c>
    </row>
    <row r="119" spans="1:51" ht="15" customHeight="1" thickBot="1">
      <c r="A119" s="1001"/>
      <c r="B119" s="1010"/>
      <c r="C119" s="1011"/>
      <c r="D119" s="1011"/>
      <c r="E119" s="1011"/>
      <c r="F119" s="1012"/>
      <c r="G119" s="1012"/>
      <c r="H119" s="184"/>
      <c r="I119" s="190"/>
      <c r="J119" s="1001"/>
      <c r="K119" s="1001"/>
      <c r="L119" s="186"/>
      <c r="M119" s="1001"/>
      <c r="N119" s="1013"/>
      <c r="O119" s="192"/>
      <c r="P119" s="1014"/>
      <c r="Q119" s="1014"/>
      <c r="R119" s="1001"/>
      <c r="S119" s="1014"/>
      <c r="T119" s="1013"/>
      <c r="U119" s="1015"/>
      <c r="V119" s="1014"/>
      <c r="W119" s="185"/>
      <c r="X119" s="1001"/>
      <c r="Y119" s="1014"/>
      <c r="Z119" s="1013"/>
      <c r="AA119" s="1015"/>
      <c r="AB119" s="1015"/>
      <c r="AC119" s="194"/>
      <c r="AD119" s="194"/>
      <c r="AE119" s="194"/>
      <c r="AF119" s="194"/>
      <c r="AG119" s="1013"/>
      <c r="AH119" s="1015"/>
      <c r="AJ119" s="79" t="str">
        <f t="shared" si="52"/>
        <v/>
      </c>
      <c r="AK119" s="16" t="str">
        <f t="shared" si="53"/>
        <v/>
      </c>
      <c r="AL119" s="16" t="str">
        <f t="shared" si="54"/>
        <v/>
      </c>
      <c r="AM119" s="16" t="str">
        <f t="shared" si="55"/>
        <v/>
      </c>
      <c r="AN119" s="16" t="str">
        <f t="shared" si="56"/>
        <v/>
      </c>
      <c r="AO119" s="73">
        <v>160</v>
      </c>
      <c r="AP119" s="1250"/>
      <c r="AQ119" s="1250"/>
      <c r="AR119" s="1250"/>
      <c r="AS119" s="55"/>
      <c r="AT119" s="85"/>
      <c r="AU119" s="58"/>
      <c r="AV119" s="59"/>
      <c r="AW119" s="93"/>
      <c r="AX119" s="94">
        <f t="shared" si="57"/>
        <v>0</v>
      </c>
      <c r="AY119" s="95">
        <f t="shared" si="58"/>
        <v>0</v>
      </c>
    </row>
    <row r="120" spans="1:51" ht="15" customHeight="1" thickBot="1">
      <c r="A120" s="1001"/>
      <c r="B120" s="1010"/>
      <c r="C120" s="1011"/>
      <c r="D120" s="1011"/>
      <c r="E120" s="1011"/>
      <c r="F120" s="1012"/>
      <c r="G120" s="1012"/>
      <c r="H120" s="184"/>
      <c r="I120" s="190"/>
      <c r="J120" s="1001"/>
      <c r="K120" s="1001"/>
      <c r="L120" s="186"/>
      <c r="M120" s="1001"/>
      <c r="N120" s="1013"/>
      <c r="O120" s="192"/>
      <c r="P120" s="1014"/>
      <c r="Q120" s="185"/>
      <c r="R120" s="1018"/>
      <c r="S120" s="1014"/>
      <c r="T120" s="1013"/>
      <c r="U120" s="1015"/>
      <c r="V120" s="1014"/>
      <c r="W120" s="185"/>
      <c r="X120" s="1001"/>
      <c r="Y120" s="1014"/>
      <c r="Z120" s="1013"/>
      <c r="AA120" s="1015"/>
      <c r="AB120" s="1015"/>
      <c r="AC120" s="194"/>
      <c r="AD120" s="194"/>
      <c r="AE120" s="194"/>
      <c r="AF120" s="194"/>
      <c r="AG120" s="1013"/>
      <c r="AH120" s="1015"/>
      <c r="AJ120" s="79" t="str">
        <f t="shared" si="52"/>
        <v/>
      </c>
      <c r="AK120" s="16" t="str">
        <f t="shared" si="53"/>
        <v/>
      </c>
      <c r="AL120" s="16" t="str">
        <f t="shared" si="54"/>
        <v/>
      </c>
      <c r="AM120" s="16" t="str">
        <f t="shared" si="55"/>
        <v/>
      </c>
      <c r="AN120" s="16" t="str">
        <f t="shared" si="56"/>
        <v/>
      </c>
      <c r="AO120" s="55"/>
      <c r="AP120" s="1250"/>
      <c r="AQ120" s="1250"/>
      <c r="AR120" s="1250"/>
      <c r="AS120" s="55"/>
      <c r="AT120" s="85"/>
      <c r="AU120" s="58"/>
      <c r="AV120" s="59"/>
      <c r="AW120" s="93"/>
      <c r="AX120" s="94">
        <f t="shared" si="57"/>
        <v>0</v>
      </c>
      <c r="AY120" s="95">
        <f t="shared" si="58"/>
        <v>0</v>
      </c>
    </row>
    <row r="121" spans="1:51" ht="16.5" customHeight="1">
      <c r="A121" s="1001"/>
      <c r="B121" s="1010"/>
      <c r="C121" s="1011"/>
      <c r="D121" s="1011"/>
      <c r="E121" s="1011"/>
      <c r="F121" s="1012"/>
      <c r="G121" s="1012"/>
      <c r="H121" s="184"/>
      <c r="I121" s="190"/>
      <c r="J121" s="1001"/>
      <c r="K121" s="1001"/>
      <c r="L121" s="186"/>
      <c r="M121" s="1001"/>
      <c r="N121" s="1013"/>
      <c r="O121" s="192"/>
      <c r="P121" s="1014"/>
      <c r="Q121" s="185"/>
      <c r="R121" s="1014"/>
      <c r="S121" s="1014"/>
      <c r="T121" s="1013"/>
      <c r="U121" s="1015"/>
      <c r="V121" s="1014"/>
      <c r="W121" s="185"/>
      <c r="X121" s="1001"/>
      <c r="Y121" s="1014"/>
      <c r="Z121" s="1013"/>
      <c r="AA121" s="1015"/>
      <c r="AB121" s="1015"/>
      <c r="AC121" s="194"/>
      <c r="AD121" s="194"/>
      <c r="AE121" s="194"/>
      <c r="AF121" s="194"/>
      <c r="AG121" s="1013"/>
      <c r="AH121" s="1015"/>
      <c r="AJ121" s="79" t="str">
        <f t="shared" si="52"/>
        <v/>
      </c>
      <c r="AK121" s="16" t="str">
        <f t="shared" si="53"/>
        <v/>
      </c>
      <c r="AL121" s="16" t="str">
        <f t="shared" si="54"/>
        <v/>
      </c>
      <c r="AM121" s="16" t="str">
        <f t="shared" si="55"/>
        <v/>
      </c>
      <c r="AN121" s="16" t="str">
        <f t="shared" si="56"/>
        <v/>
      </c>
      <c r="AO121" s="55"/>
      <c r="AP121" s="117">
        <v>6</v>
      </c>
      <c r="AQ121" s="118"/>
      <c r="AR121" s="100">
        <f>IFERROR(AP121*AQ121*AS124,0)</f>
        <v>0</v>
      </c>
      <c r="AS121" s="55"/>
      <c r="AT121" s="85"/>
      <c r="AU121" s="58"/>
      <c r="AV121" s="59"/>
      <c r="AW121" s="93"/>
      <c r="AX121" s="94">
        <f t="shared" si="57"/>
        <v>0</v>
      </c>
      <c r="AY121" s="95">
        <f t="shared" si="58"/>
        <v>0</v>
      </c>
    </row>
    <row r="122" spans="1:51" ht="16.5" customHeight="1">
      <c r="A122" s="1001"/>
      <c r="B122" s="1010"/>
      <c r="C122" s="1011"/>
      <c r="D122" s="1011"/>
      <c r="E122" s="1011"/>
      <c r="F122" s="1012"/>
      <c r="G122" s="1012"/>
      <c r="H122" s="184"/>
      <c r="I122" s="190"/>
      <c r="J122" s="1001"/>
      <c r="K122" s="1001"/>
      <c r="L122" s="186"/>
      <c r="M122" s="1001"/>
      <c r="N122" s="1013"/>
      <c r="O122" s="192"/>
      <c r="P122" s="1014"/>
      <c r="Q122" s="184"/>
      <c r="R122" s="1018"/>
      <c r="S122" s="1019"/>
      <c r="T122" s="1013"/>
      <c r="U122" s="1015"/>
      <c r="V122" s="1014"/>
      <c r="W122" s="185"/>
      <c r="X122" s="1001"/>
      <c r="Y122" s="1014"/>
      <c r="Z122" s="1013"/>
      <c r="AA122" s="1015"/>
      <c r="AB122" s="1015"/>
      <c r="AC122" s="194"/>
      <c r="AD122" s="194"/>
      <c r="AE122" s="194"/>
      <c r="AF122" s="194"/>
      <c r="AG122" s="1013"/>
      <c r="AH122" s="1015"/>
      <c r="AJ122" s="79" t="str">
        <f t="shared" si="52"/>
        <v/>
      </c>
      <c r="AK122" s="16" t="str">
        <f t="shared" si="53"/>
        <v/>
      </c>
      <c r="AL122" s="16" t="str">
        <f t="shared" si="54"/>
        <v/>
      </c>
      <c r="AM122" s="16" t="str">
        <f t="shared" si="55"/>
        <v/>
      </c>
      <c r="AN122" s="16" t="str">
        <f t="shared" si="56"/>
        <v/>
      </c>
      <c r="AO122" s="55"/>
      <c r="AP122" s="98">
        <v>5</v>
      </c>
      <c r="AQ122" s="99"/>
      <c r="AR122" s="100">
        <f>IFERROR(AP122*AQ122*AS124,0)</f>
        <v>0</v>
      </c>
      <c r="AS122" s="55"/>
      <c r="AT122" s="116"/>
      <c r="AU122" s="115"/>
      <c r="AV122" s="116"/>
      <c r="AW122" s="123"/>
      <c r="AX122" s="94">
        <f t="shared" si="57"/>
        <v>0</v>
      </c>
      <c r="AY122" s="95">
        <f t="shared" si="58"/>
        <v>0</v>
      </c>
    </row>
    <row r="123" spans="1:51" ht="15.75" customHeight="1">
      <c r="A123" s="1001"/>
      <c r="B123" s="1010"/>
      <c r="C123" s="1020"/>
      <c r="D123" s="1021"/>
      <c r="E123" s="1020"/>
      <c r="F123" s="1022"/>
      <c r="G123" s="1022"/>
      <c r="H123" s="184"/>
      <c r="I123" s="190"/>
      <c r="J123" s="1001"/>
      <c r="K123" s="1001"/>
      <c r="L123" s="186"/>
      <c r="M123" s="1001"/>
      <c r="N123" s="1013"/>
      <c r="O123" s="192"/>
      <c r="P123" s="1019"/>
      <c r="Q123" s="184"/>
      <c r="R123" s="1018"/>
      <c r="S123" s="1019"/>
      <c r="T123" s="1013"/>
      <c r="U123" s="1015"/>
      <c r="V123" s="1014"/>
      <c r="W123" s="185"/>
      <c r="X123" s="1001"/>
      <c r="Y123" s="1014"/>
      <c r="Z123" s="1013"/>
      <c r="AA123" s="1015"/>
      <c r="AB123" s="1015"/>
      <c r="AC123" s="194"/>
      <c r="AD123" s="194"/>
      <c r="AE123" s="194"/>
      <c r="AF123" s="194"/>
      <c r="AG123" s="1013"/>
      <c r="AH123" s="1015"/>
      <c r="AJ123" s="79" t="str">
        <f t="shared" si="52"/>
        <v/>
      </c>
      <c r="AK123" s="16" t="str">
        <f t="shared" si="53"/>
        <v/>
      </c>
      <c r="AL123" s="16" t="str">
        <f t="shared" si="54"/>
        <v/>
      </c>
      <c r="AM123" s="16" t="str">
        <f t="shared" si="55"/>
        <v/>
      </c>
      <c r="AN123" s="16" t="str">
        <f t="shared" si="56"/>
        <v/>
      </c>
      <c r="AO123" s="104"/>
      <c r="AP123" s="98">
        <v>4</v>
      </c>
      <c r="AQ123" s="99"/>
      <c r="AR123" s="100">
        <f>IFERROR(AP123*AQ123*AS124,0)</f>
        <v>0</v>
      </c>
      <c r="AS123" s="55"/>
      <c r="AT123" s="85"/>
      <c r="AU123" s="58"/>
      <c r="AV123" s="59"/>
      <c r="AW123" s="93"/>
      <c r="AX123" s="94">
        <f t="shared" si="57"/>
        <v>0</v>
      </c>
      <c r="AY123" s="95">
        <f t="shared" si="58"/>
        <v>0</v>
      </c>
    </row>
    <row r="124" spans="1:51" ht="15" customHeight="1">
      <c r="A124" s="1001"/>
      <c r="B124" s="1001"/>
      <c r="C124" s="1023"/>
      <c r="D124" s="1023"/>
      <c r="E124" s="1023"/>
      <c r="F124" s="1024"/>
      <c r="G124" s="1024"/>
      <c r="H124" s="1001"/>
      <c r="I124" s="1001"/>
      <c r="J124" s="201"/>
      <c r="K124" s="201"/>
      <c r="L124" s="201"/>
      <c r="M124" s="201"/>
      <c r="N124" s="1025"/>
      <c r="O124" s="1002"/>
      <c r="P124" s="1001"/>
      <c r="Q124" s="1001"/>
      <c r="R124" s="1001"/>
      <c r="S124" s="1003"/>
      <c r="T124" s="1001"/>
      <c r="U124" s="1004"/>
      <c r="V124" s="1001"/>
      <c r="W124" s="1001"/>
      <c r="X124" s="1001"/>
      <c r="Y124" s="1001"/>
      <c r="Z124" s="1001"/>
      <c r="AA124" s="1004"/>
      <c r="AB124" s="1001"/>
      <c r="AC124" s="1001"/>
      <c r="AD124" s="1001"/>
      <c r="AE124" s="1001"/>
      <c r="AF124" s="1001"/>
      <c r="AG124" s="54"/>
      <c r="AH124" s="54"/>
      <c r="AI124" s="54"/>
      <c r="AJ124" s="54"/>
      <c r="AK124" s="137"/>
      <c r="AL124" s="137"/>
      <c r="AM124" s="137"/>
      <c r="AN124" s="137"/>
      <c r="AO124" s="55"/>
      <c r="AP124" s="98">
        <v>3</v>
      </c>
      <c r="AQ124" s="109"/>
      <c r="AR124" s="100">
        <f>IFERROR(AP124*AQ124*AS124,0)</f>
        <v>0</v>
      </c>
      <c r="AS124" s="48">
        <f>IFERROR(AR125/((AP124*AQ124)+(AP123*AQ123)+(AP122*AQ122)+(AP121*AQ121)),0)</f>
        <v>0</v>
      </c>
      <c r="AT124" s="54"/>
      <c r="AU124" s="54"/>
      <c r="AV124" s="54"/>
      <c r="AW124" s="54"/>
      <c r="AX124" s="54"/>
      <c r="AY124" s="56"/>
    </row>
    <row r="125" spans="1:51" ht="15.75" customHeight="1" thickBot="1">
      <c r="A125" s="1001"/>
      <c r="B125" s="1001"/>
      <c r="C125" s="1023"/>
      <c r="D125" s="1023"/>
      <c r="E125" s="1023"/>
      <c r="F125" s="1024"/>
      <c r="G125" s="1024"/>
      <c r="H125" s="184"/>
      <c r="I125" s="190"/>
      <c r="J125" s="1026"/>
      <c r="K125" s="1026"/>
      <c r="L125" s="1026"/>
      <c r="M125" s="1026"/>
      <c r="N125" s="1013"/>
      <c r="O125" s="192"/>
      <c r="P125" s="1027"/>
      <c r="Q125" s="1027"/>
      <c r="R125" s="1027"/>
      <c r="S125" s="1027"/>
      <c r="T125" s="1018"/>
      <c r="U125" s="1018"/>
      <c r="V125" s="1027"/>
      <c r="W125" s="1027"/>
      <c r="X125" s="1027"/>
      <c r="Y125" s="1027"/>
      <c r="Z125" s="1001"/>
      <c r="AA125" s="1001"/>
      <c r="AB125" s="1001"/>
      <c r="AC125" s="1027"/>
      <c r="AD125" s="1027"/>
      <c r="AE125" s="1027"/>
      <c r="AF125" s="1027"/>
      <c r="AG125" s="54"/>
      <c r="AH125" s="54"/>
      <c r="AI125" s="54"/>
      <c r="AJ125" s="54"/>
      <c r="AK125" s="154">
        <f>SUM(AK112:AK124)</f>
        <v>0</v>
      </c>
      <c r="AL125" s="154">
        <f>SUM(AL112:AL124)</f>
        <v>0</v>
      </c>
      <c r="AM125" s="154">
        <f>SUM(AM112:AM124)</f>
        <v>0</v>
      </c>
      <c r="AN125" s="154">
        <f>SUM(AN112:AN124)</f>
        <v>0</v>
      </c>
      <c r="AO125" s="55"/>
      <c r="AP125" s="111"/>
      <c r="AQ125" s="112"/>
      <c r="AR125" s="155"/>
      <c r="AS125" s="55"/>
      <c r="AT125" s="54"/>
      <c r="AU125" s="54"/>
      <c r="AV125" s="54"/>
      <c r="AW125" s="54"/>
      <c r="AX125" s="54"/>
      <c r="AY125" s="56"/>
    </row>
    <row r="126" spans="1:51" ht="15.75" customHeight="1">
      <c r="A126" s="1028"/>
      <c r="B126" s="1001"/>
      <c r="C126" s="1001"/>
      <c r="D126" s="1001"/>
      <c r="E126" s="1001"/>
      <c r="F126" s="1001"/>
      <c r="G126" s="1001"/>
      <c r="H126" s="1018"/>
      <c r="I126" s="190"/>
      <c r="J126" s="1026"/>
      <c r="K126" s="1026"/>
      <c r="L126" s="1026"/>
      <c r="M126" s="1026"/>
      <c r="N126" s="1013"/>
      <c r="O126" s="192"/>
      <c r="P126" s="1027"/>
      <c r="Q126" s="1027"/>
      <c r="R126" s="1027"/>
      <c r="S126" s="1027"/>
      <c r="T126" s="1029"/>
      <c r="U126" s="1030"/>
      <c r="V126" s="1027"/>
      <c r="W126" s="1027"/>
      <c r="X126" s="1027"/>
      <c r="Y126" s="1027"/>
      <c r="Z126" s="1031"/>
      <c r="AA126" s="1032"/>
      <c r="AB126" s="1033"/>
      <c r="AC126" s="1027"/>
      <c r="AD126" s="1027"/>
      <c r="AE126" s="1027"/>
      <c r="AF126" s="1027"/>
      <c r="AG126" s="54"/>
      <c r="AH126" s="1030"/>
      <c r="AI126" s="54"/>
      <c r="AJ126" s="54"/>
      <c r="AK126" s="55"/>
      <c r="AL126" s="55"/>
      <c r="AM126" s="55"/>
      <c r="AN126" s="55"/>
      <c r="AO126" s="55"/>
      <c r="AP126" s="55"/>
      <c r="AQ126" s="55"/>
      <c r="AR126" s="157">
        <f>AR117+AR125</f>
        <v>0</v>
      </c>
      <c r="AS126" s="55"/>
      <c r="AT126" s="54"/>
      <c r="AU126" s="54"/>
      <c r="AV126" s="54"/>
      <c r="AW126" s="54"/>
      <c r="AX126" s="54"/>
      <c r="AY126" s="56"/>
    </row>
    <row r="127" spans="1:51" ht="19.5" customHeight="1" thickBot="1">
      <c r="A127" s="1007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007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54"/>
      <c r="AH127" s="54"/>
      <c r="AI127" s="54"/>
      <c r="AJ127" s="54"/>
      <c r="AK127" s="55"/>
      <c r="AL127" s="55"/>
      <c r="AM127" s="55"/>
      <c r="AN127" s="55"/>
      <c r="AO127" s="55"/>
      <c r="AP127" s="55"/>
      <c r="AQ127" s="55"/>
      <c r="AR127" s="55"/>
      <c r="AS127" s="55"/>
      <c r="AT127" s="54"/>
      <c r="AU127" s="54"/>
      <c r="AV127" s="54"/>
      <c r="AW127" s="54"/>
      <c r="AX127" s="54"/>
      <c r="AY127" s="56"/>
    </row>
    <row r="128" spans="1:51" ht="14.25" customHeight="1" thickBot="1">
      <c r="A128" s="1252"/>
      <c r="B128" s="1253"/>
      <c r="C128" s="1254"/>
      <c r="D128" s="1254"/>
      <c r="E128" s="1254"/>
      <c r="F128" s="1254"/>
      <c r="G128" s="1254"/>
      <c r="H128" s="1253"/>
      <c r="I128" s="1254"/>
      <c r="J128" s="1253"/>
      <c r="K128" s="1253"/>
      <c r="L128" s="1253"/>
      <c r="M128" s="1253"/>
      <c r="N128" s="1255"/>
      <c r="O128" s="1258"/>
      <c r="P128" s="1254"/>
      <c r="Q128" s="1254"/>
      <c r="R128" s="1254"/>
      <c r="S128" s="1254"/>
      <c r="T128" s="1259"/>
      <c r="U128" s="1258"/>
      <c r="V128" s="1254"/>
      <c r="W128" s="1254"/>
      <c r="X128" s="1254"/>
      <c r="Y128" s="1254"/>
      <c r="Z128" s="1259"/>
      <c r="AA128" s="1258"/>
      <c r="AB128" s="1258"/>
      <c r="AC128" s="1260"/>
      <c r="AD128" s="1260"/>
      <c r="AE128" s="1260"/>
      <c r="AF128" s="1260"/>
      <c r="AG128" s="1259"/>
      <c r="AH128" s="1258"/>
      <c r="AI128" s="54"/>
      <c r="AJ128" s="54"/>
      <c r="AK128" s="1262" t="s">
        <v>37</v>
      </c>
      <c r="AL128" s="1262"/>
      <c r="AM128" s="1262"/>
      <c r="AN128" s="1262"/>
      <c r="AO128" s="55"/>
      <c r="AP128" s="1250" t="s">
        <v>7</v>
      </c>
      <c r="AQ128" s="1250"/>
      <c r="AR128" s="1250"/>
      <c r="AS128" s="55"/>
      <c r="AT128" s="1261" t="s">
        <v>38</v>
      </c>
      <c r="AU128" s="1261"/>
      <c r="AV128" s="1261"/>
      <c r="AW128" s="1261"/>
      <c r="AX128" s="61" t="s">
        <v>39</v>
      </c>
      <c r="AY128" s="62" t="s">
        <v>12</v>
      </c>
    </row>
    <row r="129" spans="1:51" ht="18" customHeight="1" thickBot="1">
      <c r="A129" s="1252"/>
      <c r="B129" s="1252"/>
      <c r="C129" s="186"/>
      <c r="D129" s="186"/>
      <c r="E129" s="186"/>
      <c r="F129" s="186"/>
      <c r="G129" s="186"/>
      <c r="H129" s="1253"/>
      <c r="I129" s="1254"/>
      <c r="J129" s="185"/>
      <c r="K129" s="185"/>
      <c r="L129" s="185"/>
      <c r="M129" s="185"/>
      <c r="N129" s="1255"/>
      <c r="O129" s="1258"/>
      <c r="P129" s="186"/>
      <c r="Q129" s="185"/>
      <c r="R129" s="1008"/>
      <c r="S129" s="185"/>
      <c r="T129" s="1259"/>
      <c r="U129" s="1259"/>
      <c r="V129" s="186"/>
      <c r="W129" s="185"/>
      <c r="X129" s="1008"/>
      <c r="Y129" s="185"/>
      <c r="Z129" s="1259"/>
      <c r="AA129" s="1259"/>
      <c r="AB129" s="1258"/>
      <c r="AC129" s="186"/>
      <c r="AD129" s="185"/>
      <c r="AE129" s="1008"/>
      <c r="AF129" s="185"/>
      <c r="AG129" s="1259"/>
      <c r="AH129" s="1258"/>
      <c r="AI129" s="54"/>
      <c r="AJ129" s="54"/>
      <c r="AK129" s="72" t="s">
        <v>49</v>
      </c>
      <c r="AL129" s="72" t="s">
        <v>50</v>
      </c>
      <c r="AM129" s="72" t="s">
        <v>51</v>
      </c>
      <c r="AN129" s="72" t="s">
        <v>52</v>
      </c>
      <c r="AO129" s="73">
        <v>130</v>
      </c>
      <c r="AP129" s="1250"/>
      <c r="AQ129" s="1250"/>
      <c r="AR129" s="1250"/>
      <c r="AS129" s="55"/>
      <c r="AT129" s="65" t="s">
        <v>45</v>
      </c>
      <c r="AU129" s="58" t="s">
        <v>46</v>
      </c>
      <c r="AV129" s="68" t="s">
        <v>47</v>
      </c>
      <c r="AW129" s="60" t="s">
        <v>48</v>
      </c>
      <c r="AX129" s="61"/>
      <c r="AY129" s="62"/>
    </row>
    <row r="130" spans="1:51" ht="15" customHeight="1" thickBot="1">
      <c r="A130" s="1009"/>
      <c r="B130" s="1010"/>
      <c r="C130" s="1011"/>
      <c r="D130" s="1011"/>
      <c r="E130" s="1011"/>
      <c r="F130" s="1012"/>
      <c r="G130" s="1012"/>
      <c r="H130" s="184"/>
      <c r="I130" s="190"/>
      <c r="J130" s="1001"/>
      <c r="K130" s="1001"/>
      <c r="L130" s="186"/>
      <c r="M130" s="1001"/>
      <c r="N130" s="1013"/>
      <c r="O130" s="192"/>
      <c r="P130" s="1014"/>
      <c r="Q130" s="1014"/>
      <c r="R130" s="1001"/>
      <c r="S130" s="1014"/>
      <c r="T130" s="1013"/>
      <c r="U130" s="1015"/>
      <c r="V130" s="1014"/>
      <c r="W130" s="1014"/>
      <c r="X130" s="1001"/>
      <c r="Y130" s="1014"/>
      <c r="Z130" s="1013"/>
      <c r="AA130" s="1015"/>
      <c r="AB130" s="1015"/>
      <c r="AC130" s="194"/>
      <c r="AD130" s="194"/>
      <c r="AE130" s="194"/>
      <c r="AF130" s="194"/>
      <c r="AG130" s="1013"/>
      <c r="AH130" s="1015"/>
      <c r="AJ130" s="79" t="str">
        <f t="shared" ref="AJ130:AJ141" si="59">IF(H130=130,0.132335,IF(H130=100,0.0785,IF(H130=110,0.095,IF(H130=160,0.198005,""))))</f>
        <v/>
      </c>
      <c r="AK130" s="16" t="str">
        <f t="shared" ref="AK130:AK141" si="60">IFERROR(P130*3*AJ130,"")</f>
        <v/>
      </c>
      <c r="AL130" s="16" t="str">
        <f t="shared" ref="AL130:AL141" si="61">IFERROR(Q130*4*AJ130,"")</f>
        <v/>
      </c>
      <c r="AM130" s="16" t="str">
        <f t="shared" ref="AM130:AM141" si="62">IFERROR(R130*5*AJ130,"")</f>
        <v/>
      </c>
      <c r="AN130" s="16" t="str">
        <f t="shared" ref="AN130:AN141" si="63">IFERROR(S130*6*AJ130,"")</f>
        <v/>
      </c>
      <c r="AO130" s="55"/>
      <c r="AP130" s="1250"/>
      <c r="AQ130" s="1250"/>
      <c r="AR130" s="1250"/>
      <c r="AS130" s="55"/>
      <c r="AT130" s="85"/>
      <c r="AU130" s="85"/>
      <c r="AV130" s="59"/>
      <c r="AW130" s="93"/>
      <c r="AX130" s="94">
        <f t="shared" ref="AX130:AX141" si="64">AT130*3+AU130*4+AV130*5+AW130*6</f>
        <v>0</v>
      </c>
      <c r="AY130" s="95">
        <f t="shared" ref="AY130:AY141" si="65">AX130*I130</f>
        <v>0</v>
      </c>
    </row>
    <row r="131" spans="1:51" ht="15" customHeight="1">
      <c r="A131" s="1001"/>
      <c r="B131" s="1010"/>
      <c r="C131" s="1011"/>
      <c r="D131" s="1011"/>
      <c r="E131" s="1011"/>
      <c r="F131" s="1012"/>
      <c r="G131" s="1012"/>
      <c r="H131" s="184"/>
      <c r="I131" s="190"/>
      <c r="J131" s="1001"/>
      <c r="K131" s="1001"/>
      <c r="L131" s="186"/>
      <c r="M131" s="1001"/>
      <c r="N131" s="1013"/>
      <c r="O131" s="192"/>
      <c r="P131" s="1014"/>
      <c r="Q131" s="1014"/>
      <c r="R131" s="1001"/>
      <c r="S131" s="1014"/>
      <c r="T131" s="1013"/>
      <c r="U131" s="1015"/>
      <c r="V131" s="1014"/>
      <c r="W131" s="1014"/>
      <c r="X131" s="186"/>
      <c r="Y131" s="1014"/>
      <c r="Z131" s="1013"/>
      <c r="AA131" s="1015"/>
      <c r="AB131" s="1015"/>
      <c r="AC131" s="194"/>
      <c r="AD131" s="194"/>
      <c r="AE131" s="194"/>
      <c r="AF131" s="194"/>
      <c r="AG131" s="1013"/>
      <c r="AH131" s="1015"/>
      <c r="AJ131" s="79" t="str">
        <f t="shared" si="59"/>
        <v/>
      </c>
      <c r="AK131" s="16" t="str">
        <f t="shared" si="60"/>
        <v/>
      </c>
      <c r="AL131" s="16" t="str">
        <f t="shared" si="61"/>
        <v/>
      </c>
      <c r="AM131" s="16" t="str">
        <f t="shared" si="62"/>
        <v/>
      </c>
      <c r="AN131" s="16" t="str">
        <f t="shared" si="63"/>
        <v/>
      </c>
      <c r="AO131" s="55"/>
      <c r="AP131" s="98">
        <v>6</v>
      </c>
      <c r="AQ131" s="99"/>
      <c r="AR131" s="100">
        <f>IFERROR(AP131*AQ131*AS134,0)</f>
        <v>0</v>
      </c>
      <c r="AS131" s="55"/>
      <c r="AT131" s="85"/>
      <c r="AU131" s="85"/>
      <c r="AV131" s="65"/>
      <c r="AW131" s="93"/>
      <c r="AX131" s="94">
        <f t="shared" si="64"/>
        <v>0</v>
      </c>
      <c r="AY131" s="95">
        <f t="shared" si="65"/>
        <v>0</v>
      </c>
    </row>
    <row r="132" spans="1:51" ht="15" customHeight="1">
      <c r="A132" s="1001"/>
      <c r="B132" s="1010"/>
      <c r="C132" s="1016"/>
      <c r="D132" s="1016"/>
      <c r="E132" s="1016"/>
      <c r="F132" s="1017"/>
      <c r="G132" s="1017"/>
      <c r="H132" s="184"/>
      <c r="I132" s="190"/>
      <c r="J132" s="1001"/>
      <c r="K132" s="1001"/>
      <c r="L132" s="186"/>
      <c r="M132" s="1001"/>
      <c r="N132" s="1013"/>
      <c r="O132" s="192"/>
      <c r="P132" s="1014"/>
      <c r="Q132" s="1014"/>
      <c r="R132" s="1001"/>
      <c r="S132" s="1014"/>
      <c r="T132" s="1013"/>
      <c r="U132" s="1015"/>
      <c r="V132" s="1014"/>
      <c r="W132" s="1014"/>
      <c r="X132" s="1001"/>
      <c r="Y132" s="1014"/>
      <c r="Z132" s="1013"/>
      <c r="AA132" s="1015"/>
      <c r="AB132" s="1015"/>
      <c r="AC132" s="194"/>
      <c r="AD132" s="194"/>
      <c r="AE132" s="194"/>
      <c r="AF132" s="194"/>
      <c r="AG132" s="1013"/>
      <c r="AH132" s="1015"/>
      <c r="AJ132" s="79" t="str">
        <f t="shared" si="59"/>
        <v/>
      </c>
      <c r="AK132" s="16" t="str">
        <f t="shared" si="60"/>
        <v/>
      </c>
      <c r="AL132" s="16" t="str">
        <f t="shared" si="61"/>
        <v/>
      </c>
      <c r="AM132" s="16" t="str">
        <f t="shared" si="62"/>
        <v/>
      </c>
      <c r="AN132" s="16" t="str">
        <f t="shared" si="63"/>
        <v/>
      </c>
      <c r="AO132" s="55"/>
      <c r="AP132" s="98">
        <v>5</v>
      </c>
      <c r="AQ132" s="99"/>
      <c r="AR132" s="100">
        <f>IFERROR(AP132*AQ132*AS134,0)</f>
        <v>0</v>
      </c>
      <c r="AS132" s="104"/>
      <c r="AT132" s="58"/>
      <c r="AU132" s="85"/>
      <c r="AV132" s="59"/>
      <c r="AW132" s="93"/>
      <c r="AX132" s="94">
        <f t="shared" si="64"/>
        <v>0</v>
      </c>
      <c r="AY132" s="95">
        <f t="shared" si="65"/>
        <v>0</v>
      </c>
    </row>
    <row r="133" spans="1:51" ht="15" customHeight="1">
      <c r="A133" s="1001"/>
      <c r="B133" s="1010"/>
      <c r="C133" s="1011"/>
      <c r="D133" s="1011"/>
      <c r="E133" s="1011"/>
      <c r="F133" s="1012"/>
      <c r="G133" s="1012"/>
      <c r="H133" s="184"/>
      <c r="I133" s="190"/>
      <c r="J133" s="1001"/>
      <c r="K133" s="1001"/>
      <c r="L133" s="186"/>
      <c r="M133" s="1001"/>
      <c r="N133" s="1013"/>
      <c r="O133" s="192"/>
      <c r="P133" s="1014"/>
      <c r="Q133" s="1014"/>
      <c r="R133" s="1001"/>
      <c r="S133" s="1014"/>
      <c r="T133" s="1013"/>
      <c r="U133" s="1015"/>
      <c r="V133" s="1014"/>
      <c r="W133" s="1014"/>
      <c r="X133" s="1001"/>
      <c r="Y133" s="1014"/>
      <c r="Z133" s="1013"/>
      <c r="AA133" s="1015"/>
      <c r="AB133" s="1015"/>
      <c r="AC133" s="194"/>
      <c r="AD133" s="194"/>
      <c r="AE133" s="194"/>
      <c r="AF133" s="194"/>
      <c r="AG133" s="1013"/>
      <c r="AH133" s="1015"/>
      <c r="AJ133" s="79" t="str">
        <f t="shared" si="59"/>
        <v/>
      </c>
      <c r="AK133" s="16" t="str">
        <f t="shared" si="60"/>
        <v/>
      </c>
      <c r="AL133" s="16" t="str">
        <f t="shared" si="61"/>
        <v/>
      </c>
      <c r="AM133" s="16" t="str">
        <f t="shared" si="62"/>
        <v/>
      </c>
      <c r="AN133" s="16" t="str">
        <f t="shared" si="63"/>
        <v/>
      </c>
      <c r="AO133" s="55"/>
      <c r="AP133" s="98">
        <v>4</v>
      </c>
      <c r="AQ133" s="99"/>
      <c r="AR133" s="100">
        <f>IFERROR(AP133*AQ133*AS134,0)</f>
        <v>0</v>
      </c>
      <c r="AS133" s="104"/>
      <c r="AT133" s="85"/>
      <c r="AU133" s="85"/>
      <c r="AV133" s="59"/>
      <c r="AW133" s="93"/>
      <c r="AX133" s="94">
        <f t="shared" si="64"/>
        <v>0</v>
      </c>
      <c r="AY133" s="95">
        <f t="shared" si="65"/>
        <v>0</v>
      </c>
    </row>
    <row r="134" spans="1:51" ht="15" customHeight="1">
      <c r="A134" s="1001"/>
      <c r="B134" s="1010"/>
      <c r="C134" s="1011"/>
      <c r="D134" s="188"/>
      <c r="E134" s="1011"/>
      <c r="F134" s="1012"/>
      <c r="G134" s="1012"/>
      <c r="H134" s="184"/>
      <c r="I134" s="190"/>
      <c r="J134" s="1001"/>
      <c r="K134" s="1001"/>
      <c r="L134" s="186"/>
      <c r="M134" s="1001"/>
      <c r="N134" s="1013"/>
      <c r="O134" s="192"/>
      <c r="P134" s="1014"/>
      <c r="Q134" s="1014"/>
      <c r="R134" s="1001"/>
      <c r="S134" s="1014"/>
      <c r="T134" s="1013"/>
      <c r="U134" s="1015"/>
      <c r="V134" s="1014"/>
      <c r="W134" s="1014"/>
      <c r="X134" s="1001"/>
      <c r="Y134" s="1014"/>
      <c r="Z134" s="1013"/>
      <c r="AA134" s="1015"/>
      <c r="AB134" s="1015"/>
      <c r="AC134" s="194"/>
      <c r="AD134" s="194"/>
      <c r="AE134" s="194"/>
      <c r="AF134" s="194"/>
      <c r="AG134" s="1013"/>
      <c r="AH134" s="1015"/>
      <c r="AJ134" s="79" t="str">
        <f t="shared" si="59"/>
        <v/>
      </c>
      <c r="AK134" s="16" t="str">
        <f t="shared" si="60"/>
        <v/>
      </c>
      <c r="AL134" s="16" t="str">
        <f t="shared" si="61"/>
        <v/>
      </c>
      <c r="AM134" s="16" t="str">
        <f t="shared" si="62"/>
        <v/>
      </c>
      <c r="AN134" s="16" t="str">
        <f t="shared" si="63"/>
        <v/>
      </c>
      <c r="AO134" s="55"/>
      <c r="AP134" s="98">
        <v>3</v>
      </c>
      <c r="AQ134" s="109"/>
      <c r="AR134" s="100">
        <f>IFERROR(AP134*AQ134*AS134,0)</f>
        <v>0</v>
      </c>
      <c r="AS134" s="48">
        <f>IFERROR(AR135/((AP134*AQ134)+(AP133*AQ133)+(AP132*AQ132)+(AP131*AQ131)),0)</f>
        <v>0</v>
      </c>
      <c r="AT134" s="85"/>
      <c r="AU134" s="85"/>
      <c r="AV134" s="59"/>
      <c r="AW134" s="93"/>
      <c r="AX134" s="94">
        <f t="shared" si="64"/>
        <v>0</v>
      </c>
      <c r="AY134" s="95">
        <f t="shared" si="65"/>
        <v>0</v>
      </c>
    </row>
    <row r="135" spans="1:51" ht="14.25" customHeight="1" thickBot="1">
      <c r="A135" s="1001"/>
      <c r="B135" s="1010"/>
      <c r="C135" s="1011"/>
      <c r="D135" s="1011"/>
      <c r="E135" s="1011"/>
      <c r="F135" s="1012"/>
      <c r="G135" s="1012"/>
      <c r="H135" s="184"/>
      <c r="I135" s="190"/>
      <c r="J135" s="1001"/>
      <c r="K135" s="1001"/>
      <c r="L135" s="186"/>
      <c r="M135" s="1001"/>
      <c r="N135" s="1013"/>
      <c r="O135" s="192"/>
      <c r="P135" s="185"/>
      <c r="Q135" s="1014"/>
      <c r="R135" s="1001"/>
      <c r="S135" s="1014"/>
      <c r="T135" s="1013"/>
      <c r="U135" s="1015"/>
      <c r="V135" s="185"/>
      <c r="W135" s="1014"/>
      <c r="X135" s="1001"/>
      <c r="Y135" s="1014"/>
      <c r="Z135" s="1013"/>
      <c r="AA135" s="1015"/>
      <c r="AB135" s="1015"/>
      <c r="AC135" s="194"/>
      <c r="AD135" s="194"/>
      <c r="AE135" s="194"/>
      <c r="AF135" s="194"/>
      <c r="AG135" s="1013"/>
      <c r="AH135" s="1015"/>
      <c r="AJ135" s="79" t="str">
        <f t="shared" si="59"/>
        <v/>
      </c>
      <c r="AK135" s="16" t="str">
        <f t="shared" si="60"/>
        <v/>
      </c>
      <c r="AL135" s="16" t="str">
        <f t="shared" si="61"/>
        <v/>
      </c>
      <c r="AM135" s="16" t="str">
        <f t="shared" si="62"/>
        <v/>
      </c>
      <c r="AN135" s="16" t="str">
        <f t="shared" si="63"/>
        <v/>
      </c>
      <c r="AO135" s="55"/>
      <c r="AP135" s="111"/>
      <c r="AQ135" s="112"/>
      <c r="AR135" s="113"/>
      <c r="AS135" s="104"/>
      <c r="AT135" s="58"/>
      <c r="AU135" s="85"/>
      <c r="AV135" s="59"/>
      <c r="AW135" s="93"/>
      <c r="AX135" s="94">
        <f t="shared" si="64"/>
        <v>0</v>
      </c>
      <c r="AY135" s="95">
        <f t="shared" si="65"/>
        <v>0</v>
      </c>
    </row>
    <row r="136" spans="1:51" ht="14.25" customHeight="1" thickBot="1">
      <c r="A136" s="1001"/>
      <c r="B136" s="1010"/>
      <c r="C136" s="1011"/>
      <c r="D136" s="1011"/>
      <c r="E136" s="1011"/>
      <c r="F136" s="1012"/>
      <c r="G136" s="1012"/>
      <c r="H136" s="184"/>
      <c r="I136" s="190"/>
      <c r="J136" s="1001"/>
      <c r="K136" s="1001"/>
      <c r="L136" s="186"/>
      <c r="M136" s="1001"/>
      <c r="N136" s="1013"/>
      <c r="O136" s="192"/>
      <c r="P136" s="1014"/>
      <c r="Q136" s="1014"/>
      <c r="R136" s="1001"/>
      <c r="S136" s="1014"/>
      <c r="T136" s="1013"/>
      <c r="U136" s="1015"/>
      <c r="V136" s="1014"/>
      <c r="W136" s="1014"/>
      <c r="X136" s="1001"/>
      <c r="Y136" s="1014"/>
      <c r="Z136" s="1013"/>
      <c r="AA136" s="1015"/>
      <c r="AB136" s="1015"/>
      <c r="AC136" s="194"/>
      <c r="AD136" s="194"/>
      <c r="AE136" s="194"/>
      <c r="AF136" s="194"/>
      <c r="AG136" s="1013"/>
      <c r="AH136" s="1015"/>
      <c r="AJ136" s="79" t="str">
        <f t="shared" si="59"/>
        <v/>
      </c>
      <c r="AK136" s="16" t="str">
        <f t="shared" si="60"/>
        <v/>
      </c>
      <c r="AL136" s="16" t="str">
        <f t="shared" si="61"/>
        <v/>
      </c>
      <c r="AM136" s="16" t="str">
        <f t="shared" si="62"/>
        <v/>
      </c>
      <c r="AN136" s="16" t="str">
        <f t="shared" si="63"/>
        <v/>
      </c>
      <c r="AO136" s="55"/>
      <c r="AP136" s="1250" t="s">
        <v>7</v>
      </c>
      <c r="AQ136" s="1250"/>
      <c r="AR136" s="1250"/>
      <c r="AS136" s="104"/>
      <c r="AT136" s="85"/>
      <c r="AU136" s="85"/>
      <c r="AV136" s="59"/>
      <c r="AW136" s="93"/>
      <c r="AX136" s="94">
        <f t="shared" si="64"/>
        <v>0</v>
      </c>
      <c r="AY136" s="95">
        <f t="shared" si="65"/>
        <v>0</v>
      </c>
    </row>
    <row r="137" spans="1:51" ht="15" customHeight="1" thickBot="1">
      <c r="A137" s="1001"/>
      <c r="B137" s="1010"/>
      <c r="C137" s="1011"/>
      <c r="D137" s="1011"/>
      <c r="E137" s="1011"/>
      <c r="F137" s="1012"/>
      <c r="G137" s="1012"/>
      <c r="H137" s="184"/>
      <c r="I137" s="190"/>
      <c r="J137" s="1001"/>
      <c r="K137" s="1001"/>
      <c r="L137" s="186"/>
      <c r="M137" s="1001"/>
      <c r="N137" s="1013"/>
      <c r="O137" s="192"/>
      <c r="P137" s="1014"/>
      <c r="Q137" s="1014"/>
      <c r="R137" s="1001"/>
      <c r="S137" s="1014"/>
      <c r="T137" s="1013"/>
      <c r="U137" s="1015"/>
      <c r="V137" s="1014"/>
      <c r="W137" s="185"/>
      <c r="X137" s="1001"/>
      <c r="Y137" s="1014"/>
      <c r="Z137" s="1013"/>
      <c r="AA137" s="1015"/>
      <c r="AB137" s="1015"/>
      <c r="AC137" s="194"/>
      <c r="AD137" s="194"/>
      <c r="AE137" s="194"/>
      <c r="AF137" s="194"/>
      <c r="AG137" s="1013"/>
      <c r="AH137" s="1015"/>
      <c r="AJ137" s="79" t="str">
        <f t="shared" si="59"/>
        <v/>
      </c>
      <c r="AK137" s="16" t="str">
        <f t="shared" si="60"/>
        <v/>
      </c>
      <c r="AL137" s="16" t="str">
        <f t="shared" si="61"/>
        <v/>
      </c>
      <c r="AM137" s="16" t="str">
        <f t="shared" si="62"/>
        <v/>
      </c>
      <c r="AN137" s="16" t="str">
        <f t="shared" si="63"/>
        <v/>
      </c>
      <c r="AO137" s="73">
        <v>160</v>
      </c>
      <c r="AP137" s="1250"/>
      <c r="AQ137" s="1250"/>
      <c r="AR137" s="1250"/>
      <c r="AS137" s="55"/>
      <c r="AT137" s="85"/>
      <c r="AU137" s="58"/>
      <c r="AV137" s="59"/>
      <c r="AW137" s="93"/>
      <c r="AX137" s="94">
        <f t="shared" si="64"/>
        <v>0</v>
      </c>
      <c r="AY137" s="95">
        <f t="shared" si="65"/>
        <v>0</v>
      </c>
    </row>
    <row r="138" spans="1:51" ht="15" customHeight="1" thickBot="1">
      <c r="A138" s="1001"/>
      <c r="B138" s="1010"/>
      <c r="C138" s="1011"/>
      <c r="D138" s="1011"/>
      <c r="E138" s="1011"/>
      <c r="F138" s="1012"/>
      <c r="G138" s="1012"/>
      <c r="H138" s="184"/>
      <c r="I138" s="190"/>
      <c r="J138" s="1001"/>
      <c r="K138" s="1001"/>
      <c r="L138" s="186"/>
      <c r="M138" s="1001"/>
      <c r="N138" s="1013"/>
      <c r="O138" s="192"/>
      <c r="P138" s="1014"/>
      <c r="Q138" s="185"/>
      <c r="R138" s="1018"/>
      <c r="S138" s="1014"/>
      <c r="T138" s="1013"/>
      <c r="U138" s="1015"/>
      <c r="V138" s="1014"/>
      <c r="W138" s="185"/>
      <c r="X138" s="1001"/>
      <c r="Y138" s="1014"/>
      <c r="Z138" s="1013"/>
      <c r="AA138" s="1015"/>
      <c r="AB138" s="1015"/>
      <c r="AC138" s="194"/>
      <c r="AD138" s="194"/>
      <c r="AE138" s="194"/>
      <c r="AF138" s="194"/>
      <c r="AG138" s="1013"/>
      <c r="AH138" s="1015"/>
      <c r="AJ138" s="79" t="str">
        <f t="shared" si="59"/>
        <v/>
      </c>
      <c r="AK138" s="16" t="str">
        <f t="shared" si="60"/>
        <v/>
      </c>
      <c r="AL138" s="16" t="str">
        <f t="shared" si="61"/>
        <v/>
      </c>
      <c r="AM138" s="16" t="str">
        <f t="shared" si="62"/>
        <v/>
      </c>
      <c r="AN138" s="16" t="str">
        <f t="shared" si="63"/>
        <v/>
      </c>
      <c r="AO138" s="55"/>
      <c r="AP138" s="1250"/>
      <c r="AQ138" s="1250"/>
      <c r="AR138" s="1250"/>
      <c r="AS138" s="55"/>
      <c r="AT138" s="85"/>
      <c r="AU138" s="58"/>
      <c r="AV138" s="59"/>
      <c r="AW138" s="93"/>
      <c r="AX138" s="94">
        <f t="shared" si="64"/>
        <v>0</v>
      </c>
      <c r="AY138" s="95">
        <f t="shared" si="65"/>
        <v>0</v>
      </c>
    </row>
    <row r="139" spans="1:51" ht="16.5" customHeight="1">
      <c r="A139" s="1001"/>
      <c r="B139" s="1010"/>
      <c r="C139" s="1011"/>
      <c r="D139" s="1011"/>
      <c r="E139" s="1011"/>
      <c r="F139" s="1012"/>
      <c r="G139" s="1012"/>
      <c r="H139" s="184"/>
      <c r="I139" s="190"/>
      <c r="J139" s="1001"/>
      <c r="K139" s="1001"/>
      <c r="L139" s="186"/>
      <c r="M139" s="1001"/>
      <c r="N139" s="1013"/>
      <c r="O139" s="192"/>
      <c r="P139" s="1014"/>
      <c r="Q139" s="185"/>
      <c r="R139" s="1014"/>
      <c r="S139" s="1014"/>
      <c r="T139" s="1013"/>
      <c r="U139" s="1015"/>
      <c r="V139" s="1014"/>
      <c r="W139" s="185"/>
      <c r="X139" s="1001"/>
      <c r="Y139" s="1014"/>
      <c r="Z139" s="1013"/>
      <c r="AA139" s="1015"/>
      <c r="AB139" s="1015"/>
      <c r="AC139" s="194"/>
      <c r="AD139" s="194"/>
      <c r="AE139" s="194"/>
      <c r="AF139" s="194"/>
      <c r="AG139" s="1013"/>
      <c r="AH139" s="1015"/>
      <c r="AJ139" s="79" t="str">
        <f t="shared" si="59"/>
        <v/>
      </c>
      <c r="AK139" s="16" t="str">
        <f t="shared" si="60"/>
        <v/>
      </c>
      <c r="AL139" s="16" t="str">
        <f t="shared" si="61"/>
        <v/>
      </c>
      <c r="AM139" s="16" t="str">
        <f t="shared" si="62"/>
        <v/>
      </c>
      <c r="AN139" s="16" t="str">
        <f t="shared" si="63"/>
        <v/>
      </c>
      <c r="AO139" s="55"/>
      <c r="AP139" s="117">
        <v>6</v>
      </c>
      <c r="AQ139" s="118"/>
      <c r="AR139" s="100">
        <f>IFERROR(AP139*AQ139*AS142,0)</f>
        <v>0</v>
      </c>
      <c r="AS139" s="55"/>
      <c r="AT139" s="85"/>
      <c r="AU139" s="58"/>
      <c r="AV139" s="59"/>
      <c r="AW139" s="93"/>
      <c r="AX139" s="94">
        <f t="shared" si="64"/>
        <v>0</v>
      </c>
      <c r="AY139" s="95">
        <f t="shared" si="65"/>
        <v>0</v>
      </c>
    </row>
    <row r="140" spans="1:51" ht="16.5" customHeight="1">
      <c r="A140" s="1001"/>
      <c r="B140" s="1010"/>
      <c r="C140" s="1011"/>
      <c r="D140" s="1011"/>
      <c r="E140" s="1011"/>
      <c r="F140" s="1012"/>
      <c r="G140" s="1012"/>
      <c r="H140" s="184"/>
      <c r="I140" s="190"/>
      <c r="J140" s="1001"/>
      <c r="K140" s="1001"/>
      <c r="L140" s="186"/>
      <c r="M140" s="1001"/>
      <c r="N140" s="1013"/>
      <c r="O140" s="192"/>
      <c r="P140" s="1014"/>
      <c r="Q140" s="184"/>
      <c r="R140" s="1018"/>
      <c r="S140" s="1019"/>
      <c r="T140" s="1013"/>
      <c r="U140" s="1015"/>
      <c r="V140" s="1014"/>
      <c r="W140" s="185"/>
      <c r="X140" s="1001"/>
      <c r="Y140" s="1014"/>
      <c r="Z140" s="1013"/>
      <c r="AA140" s="1015"/>
      <c r="AB140" s="1015"/>
      <c r="AC140" s="194"/>
      <c r="AD140" s="194"/>
      <c r="AE140" s="194"/>
      <c r="AF140" s="194"/>
      <c r="AG140" s="1013"/>
      <c r="AH140" s="1015"/>
      <c r="AJ140" s="79" t="str">
        <f t="shared" si="59"/>
        <v/>
      </c>
      <c r="AK140" s="16" t="str">
        <f t="shared" si="60"/>
        <v/>
      </c>
      <c r="AL140" s="16" t="str">
        <f t="shared" si="61"/>
        <v/>
      </c>
      <c r="AM140" s="16" t="str">
        <f t="shared" si="62"/>
        <v/>
      </c>
      <c r="AN140" s="16" t="str">
        <f t="shared" si="63"/>
        <v/>
      </c>
      <c r="AO140" s="55"/>
      <c r="AP140" s="98">
        <v>5</v>
      </c>
      <c r="AQ140" s="99"/>
      <c r="AR140" s="100">
        <f>IFERROR(AP140*AQ140*AS142,0)</f>
        <v>0</v>
      </c>
      <c r="AS140" s="55"/>
      <c r="AT140" s="116"/>
      <c r="AU140" s="115"/>
      <c r="AV140" s="116"/>
      <c r="AW140" s="123"/>
      <c r="AX140" s="94">
        <f t="shared" si="64"/>
        <v>0</v>
      </c>
      <c r="AY140" s="95">
        <f t="shared" si="65"/>
        <v>0</v>
      </c>
    </row>
    <row r="141" spans="1:51" ht="15.75" customHeight="1">
      <c r="A141" s="1001"/>
      <c r="B141" s="1010"/>
      <c r="C141" s="1020"/>
      <c r="D141" s="1021"/>
      <c r="E141" s="1020"/>
      <c r="F141" s="1022"/>
      <c r="G141" s="1022"/>
      <c r="H141" s="184"/>
      <c r="I141" s="190"/>
      <c r="J141" s="1001"/>
      <c r="K141" s="1001"/>
      <c r="L141" s="186"/>
      <c r="M141" s="1001"/>
      <c r="N141" s="1013"/>
      <c r="O141" s="192"/>
      <c r="P141" s="1019"/>
      <c r="Q141" s="184"/>
      <c r="R141" s="1018"/>
      <c r="S141" s="1019"/>
      <c r="T141" s="1013"/>
      <c r="U141" s="1015"/>
      <c r="V141" s="1014"/>
      <c r="W141" s="185"/>
      <c r="X141" s="1001"/>
      <c r="Y141" s="1014"/>
      <c r="Z141" s="1013"/>
      <c r="AA141" s="1015"/>
      <c r="AB141" s="1015"/>
      <c r="AC141" s="194"/>
      <c r="AD141" s="194"/>
      <c r="AE141" s="194"/>
      <c r="AF141" s="194"/>
      <c r="AG141" s="1013"/>
      <c r="AH141" s="1015"/>
      <c r="AJ141" s="79" t="str">
        <f t="shared" si="59"/>
        <v/>
      </c>
      <c r="AK141" s="16" t="str">
        <f t="shared" si="60"/>
        <v/>
      </c>
      <c r="AL141" s="16" t="str">
        <f t="shared" si="61"/>
        <v/>
      </c>
      <c r="AM141" s="16" t="str">
        <f t="shared" si="62"/>
        <v/>
      </c>
      <c r="AN141" s="16" t="str">
        <f t="shared" si="63"/>
        <v/>
      </c>
      <c r="AO141" s="104"/>
      <c r="AP141" s="98">
        <v>4</v>
      </c>
      <c r="AQ141" s="99"/>
      <c r="AR141" s="100">
        <f>IFERROR(AP141*AQ141*AS142,0)</f>
        <v>0</v>
      </c>
      <c r="AS141" s="55"/>
      <c r="AT141" s="85"/>
      <c r="AU141" s="58"/>
      <c r="AV141" s="59"/>
      <c r="AW141" s="93"/>
      <c r="AX141" s="94">
        <f t="shared" si="64"/>
        <v>0</v>
      </c>
      <c r="AY141" s="95">
        <f t="shared" si="65"/>
        <v>0</v>
      </c>
    </row>
    <row r="142" spans="1:51" ht="15" customHeight="1">
      <c r="A142" s="1001"/>
      <c r="B142" s="1001"/>
      <c r="C142" s="1023"/>
      <c r="D142" s="1023"/>
      <c r="E142" s="1023"/>
      <c r="F142" s="1024"/>
      <c r="G142" s="1024"/>
      <c r="H142" s="1001"/>
      <c r="I142" s="1001"/>
      <c r="J142" s="201"/>
      <c r="K142" s="201"/>
      <c r="L142" s="201"/>
      <c r="M142" s="201"/>
      <c r="N142" s="1025"/>
      <c r="O142" s="1002"/>
      <c r="P142" s="1001"/>
      <c r="Q142" s="1001"/>
      <c r="R142" s="1001"/>
      <c r="S142" s="1003"/>
      <c r="T142" s="1001"/>
      <c r="U142" s="1004"/>
      <c r="V142" s="1001"/>
      <c r="W142" s="1001"/>
      <c r="X142" s="1001"/>
      <c r="Y142" s="1001"/>
      <c r="Z142" s="1001"/>
      <c r="AA142" s="1004"/>
      <c r="AB142" s="1001"/>
      <c r="AC142" s="1001"/>
      <c r="AD142" s="1001"/>
      <c r="AE142" s="1001"/>
      <c r="AF142" s="1001"/>
      <c r="AG142" s="54"/>
      <c r="AH142" s="54"/>
      <c r="AI142" s="54"/>
      <c r="AJ142" s="54"/>
      <c r="AK142" s="137"/>
      <c r="AL142" s="137"/>
      <c r="AM142" s="137"/>
      <c r="AN142" s="137"/>
      <c r="AO142" s="55"/>
      <c r="AP142" s="98">
        <v>3</v>
      </c>
      <c r="AQ142" s="109"/>
      <c r="AR142" s="100">
        <f>IFERROR(AP142*AQ142*AS142,0)</f>
        <v>0</v>
      </c>
      <c r="AS142" s="48">
        <f>IFERROR(AR143/((AP142*AQ142)+(AP141*AQ141)+(AP140*AQ140)+(AP139*AQ139)),0)</f>
        <v>0</v>
      </c>
      <c r="AT142" s="54"/>
      <c r="AU142" s="54"/>
      <c r="AV142" s="54"/>
      <c r="AW142" s="54"/>
      <c r="AX142" s="54"/>
      <c r="AY142" s="56"/>
    </row>
    <row r="143" spans="1:51" ht="15.75" customHeight="1" thickBot="1">
      <c r="A143" s="1001"/>
      <c r="B143" s="1001"/>
      <c r="C143" s="1023"/>
      <c r="D143" s="1023"/>
      <c r="E143" s="1023"/>
      <c r="F143" s="1024"/>
      <c r="G143" s="1024"/>
      <c r="H143" s="184"/>
      <c r="I143" s="190"/>
      <c r="J143" s="1026"/>
      <c r="K143" s="1026"/>
      <c r="L143" s="1026"/>
      <c r="M143" s="1026"/>
      <c r="N143" s="1013"/>
      <c r="O143" s="192"/>
      <c r="P143" s="1027"/>
      <c r="Q143" s="1027"/>
      <c r="R143" s="1027"/>
      <c r="S143" s="1027"/>
      <c r="T143" s="1018"/>
      <c r="U143" s="1018"/>
      <c r="V143" s="1027"/>
      <c r="W143" s="1027"/>
      <c r="X143" s="1027"/>
      <c r="Y143" s="1027"/>
      <c r="Z143" s="1001"/>
      <c r="AA143" s="1001"/>
      <c r="AB143" s="1001"/>
      <c r="AC143" s="1027"/>
      <c r="AD143" s="1027"/>
      <c r="AE143" s="1027"/>
      <c r="AF143" s="1027"/>
      <c r="AG143" s="54"/>
      <c r="AH143" s="54"/>
      <c r="AI143" s="54"/>
      <c r="AJ143" s="54"/>
      <c r="AK143" s="154">
        <f>SUM(AK130:AK142)</f>
        <v>0</v>
      </c>
      <c r="AL143" s="154">
        <f>SUM(AL130:AL142)</f>
        <v>0</v>
      </c>
      <c r="AM143" s="154">
        <f>SUM(AM130:AM142)</f>
        <v>0</v>
      </c>
      <c r="AN143" s="154">
        <f>SUM(AN130:AN142)</f>
        <v>0</v>
      </c>
      <c r="AO143" s="55"/>
      <c r="AP143" s="111"/>
      <c r="AQ143" s="112"/>
      <c r="AR143" s="155"/>
      <c r="AS143" s="55"/>
      <c r="AT143" s="54"/>
      <c r="AU143" s="54"/>
      <c r="AV143" s="54"/>
      <c r="AW143" s="54"/>
      <c r="AX143" s="54"/>
      <c r="AY143" s="56"/>
    </row>
    <row r="144" spans="1:51" ht="15.75" customHeight="1">
      <c r="A144" s="1028"/>
      <c r="B144" s="1001"/>
      <c r="C144" s="1001"/>
      <c r="D144" s="1001"/>
      <c r="E144" s="1001"/>
      <c r="F144" s="1001"/>
      <c r="G144" s="1001"/>
      <c r="H144" s="1018"/>
      <c r="I144" s="190"/>
      <c r="J144" s="1026"/>
      <c r="K144" s="1026"/>
      <c r="L144" s="1026"/>
      <c r="M144" s="1026"/>
      <c r="N144" s="1013"/>
      <c r="O144" s="192"/>
      <c r="P144" s="1027"/>
      <c r="Q144" s="1027"/>
      <c r="R144" s="1027"/>
      <c r="S144" s="1027"/>
      <c r="T144" s="1029"/>
      <c r="U144" s="1030"/>
      <c r="V144" s="1027"/>
      <c r="W144" s="1027"/>
      <c r="X144" s="1027"/>
      <c r="Y144" s="1027"/>
      <c r="Z144" s="1031"/>
      <c r="AA144" s="1032"/>
      <c r="AB144" s="1033"/>
      <c r="AC144" s="1027"/>
      <c r="AD144" s="1027"/>
      <c r="AE144" s="1027"/>
      <c r="AF144" s="1027"/>
      <c r="AG144" s="54"/>
      <c r="AH144" s="1030"/>
      <c r="AI144" s="54"/>
      <c r="AJ144" s="54"/>
      <c r="AK144" s="55"/>
      <c r="AL144" s="55"/>
      <c r="AM144" s="55"/>
      <c r="AN144" s="55"/>
      <c r="AO144" s="55"/>
      <c r="AP144" s="55"/>
      <c r="AQ144" s="55"/>
      <c r="AR144" s="157">
        <f>AR135+AR143</f>
        <v>0</v>
      </c>
      <c r="AS144" s="55"/>
      <c r="AT144" s="54"/>
      <c r="AU144" s="54"/>
      <c r="AV144" s="54"/>
      <c r="AW144" s="54"/>
      <c r="AX144" s="54"/>
      <c r="AY144" s="56"/>
    </row>
    <row r="145" spans="1:51" ht="19.5" customHeight="1" thickBot="1">
      <c r="A145" s="1007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007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54"/>
      <c r="AH145" s="54"/>
      <c r="AI145" s="54"/>
      <c r="AJ145" s="54"/>
      <c r="AK145" s="55"/>
      <c r="AL145" s="55"/>
      <c r="AM145" s="55"/>
      <c r="AN145" s="55"/>
      <c r="AO145" s="55"/>
      <c r="AP145" s="55"/>
      <c r="AQ145" s="55"/>
      <c r="AR145" s="55"/>
      <c r="AS145" s="55"/>
      <c r="AT145" s="54"/>
      <c r="AU145" s="54"/>
      <c r="AV145" s="54"/>
      <c r="AW145" s="54"/>
      <c r="AX145" s="54"/>
      <c r="AY145" s="56"/>
    </row>
    <row r="146" spans="1:51" ht="14.25" customHeight="1" thickBot="1">
      <c r="A146" s="1252"/>
      <c r="B146" s="1253"/>
      <c r="C146" s="1254"/>
      <c r="D146" s="1254"/>
      <c r="E146" s="1254"/>
      <c r="F146" s="1254"/>
      <c r="G146" s="1254"/>
      <c r="H146" s="1253"/>
      <c r="I146" s="1254"/>
      <c r="J146" s="1253"/>
      <c r="K146" s="1253"/>
      <c r="L146" s="1253"/>
      <c r="M146" s="1253"/>
      <c r="N146" s="1255"/>
      <c r="O146" s="1258"/>
      <c r="P146" s="1254"/>
      <c r="Q146" s="1254"/>
      <c r="R146" s="1254"/>
      <c r="S146" s="1254"/>
      <c r="T146" s="1259"/>
      <c r="U146" s="1258"/>
      <c r="V146" s="1254"/>
      <c r="W146" s="1254"/>
      <c r="X146" s="1254"/>
      <c r="Y146" s="1254"/>
      <c r="Z146" s="1259"/>
      <c r="AA146" s="1258"/>
      <c r="AB146" s="1258"/>
      <c r="AC146" s="1260"/>
      <c r="AD146" s="1260"/>
      <c r="AE146" s="1260"/>
      <c r="AF146" s="1260"/>
      <c r="AG146" s="1259"/>
      <c r="AH146" s="1258"/>
      <c r="AI146" s="54"/>
      <c r="AJ146" s="54"/>
      <c r="AK146" s="1262" t="s">
        <v>37</v>
      </c>
      <c r="AL146" s="1262"/>
      <c r="AM146" s="1262"/>
      <c r="AN146" s="1262"/>
      <c r="AO146" s="55"/>
      <c r="AP146" s="1250" t="s">
        <v>7</v>
      </c>
      <c r="AQ146" s="1250"/>
      <c r="AR146" s="1250"/>
      <c r="AS146" s="55"/>
      <c r="AT146" s="1261" t="s">
        <v>38</v>
      </c>
      <c r="AU146" s="1261"/>
      <c r="AV146" s="1261"/>
      <c r="AW146" s="1261"/>
      <c r="AX146" s="61" t="s">
        <v>39</v>
      </c>
      <c r="AY146" s="62" t="s">
        <v>12</v>
      </c>
    </row>
    <row r="147" spans="1:51" ht="18" customHeight="1" thickBot="1">
      <c r="A147" s="1252"/>
      <c r="B147" s="1252"/>
      <c r="C147" s="186"/>
      <c r="D147" s="186"/>
      <c r="E147" s="186"/>
      <c r="F147" s="186"/>
      <c r="G147" s="186"/>
      <c r="H147" s="1253"/>
      <c r="I147" s="1254"/>
      <c r="J147" s="185"/>
      <c r="K147" s="185"/>
      <c r="L147" s="185"/>
      <c r="M147" s="185"/>
      <c r="N147" s="1255"/>
      <c r="O147" s="1258"/>
      <c r="P147" s="186"/>
      <c r="Q147" s="185"/>
      <c r="R147" s="1008"/>
      <c r="S147" s="185"/>
      <c r="T147" s="1259"/>
      <c r="U147" s="1259"/>
      <c r="V147" s="186"/>
      <c r="W147" s="185"/>
      <c r="X147" s="1008"/>
      <c r="Y147" s="185"/>
      <c r="Z147" s="1259"/>
      <c r="AA147" s="1259"/>
      <c r="AB147" s="1258"/>
      <c r="AC147" s="186"/>
      <c r="AD147" s="185"/>
      <c r="AE147" s="1008"/>
      <c r="AF147" s="185"/>
      <c r="AG147" s="1259"/>
      <c r="AH147" s="1258"/>
      <c r="AI147" s="54"/>
      <c r="AJ147" s="54"/>
      <c r="AK147" s="72" t="s">
        <v>49</v>
      </c>
      <c r="AL147" s="72" t="s">
        <v>50</v>
      </c>
      <c r="AM147" s="72" t="s">
        <v>51</v>
      </c>
      <c r="AN147" s="72" t="s">
        <v>52</v>
      </c>
      <c r="AO147" s="73">
        <v>130</v>
      </c>
      <c r="AP147" s="1250"/>
      <c r="AQ147" s="1250"/>
      <c r="AR147" s="1250"/>
      <c r="AS147" s="55"/>
      <c r="AT147" s="65" t="s">
        <v>45</v>
      </c>
      <c r="AU147" s="58" t="s">
        <v>46</v>
      </c>
      <c r="AV147" s="68" t="s">
        <v>47</v>
      </c>
      <c r="AW147" s="60" t="s">
        <v>48</v>
      </c>
      <c r="AX147" s="61"/>
      <c r="AY147" s="62"/>
    </row>
    <row r="148" spans="1:51" ht="15" customHeight="1" thickBot="1">
      <c r="A148" s="1009"/>
      <c r="B148" s="1010"/>
      <c r="C148" s="1011"/>
      <c r="D148" s="1011"/>
      <c r="E148" s="1011"/>
      <c r="F148" s="1012"/>
      <c r="G148" s="1012"/>
      <c r="H148" s="184"/>
      <c r="I148" s="190"/>
      <c r="J148" s="1001"/>
      <c r="K148" s="1001"/>
      <c r="L148" s="186"/>
      <c r="M148" s="1001"/>
      <c r="N148" s="1013"/>
      <c r="O148" s="192"/>
      <c r="P148" s="1014"/>
      <c r="Q148" s="1014"/>
      <c r="R148" s="1001"/>
      <c r="S148" s="1014"/>
      <c r="T148" s="1013"/>
      <c r="U148" s="1015"/>
      <c r="V148" s="1014"/>
      <c r="W148" s="1014"/>
      <c r="X148" s="1001"/>
      <c r="Y148" s="1014"/>
      <c r="Z148" s="1013"/>
      <c r="AA148" s="1015"/>
      <c r="AB148" s="1015"/>
      <c r="AC148" s="194"/>
      <c r="AD148" s="194"/>
      <c r="AE148" s="194"/>
      <c r="AF148" s="194"/>
      <c r="AG148" s="1013"/>
      <c r="AH148" s="1015"/>
      <c r="AJ148" s="79" t="str">
        <f t="shared" ref="AJ148:AJ159" si="66">IF(H148=130,0.132335,IF(H148=100,0.0785,IF(H148=110,0.095,IF(H148=160,0.198005,""))))</f>
        <v/>
      </c>
      <c r="AK148" s="16" t="str">
        <f t="shared" ref="AK148:AK159" si="67">IFERROR(P148*3*AJ148,"")</f>
        <v/>
      </c>
      <c r="AL148" s="16" t="str">
        <f t="shared" ref="AL148:AL159" si="68">IFERROR(Q148*4*AJ148,"")</f>
        <v/>
      </c>
      <c r="AM148" s="16" t="str">
        <f t="shared" ref="AM148:AM159" si="69">IFERROR(R148*5*AJ148,"")</f>
        <v/>
      </c>
      <c r="AN148" s="16" t="str">
        <f t="shared" ref="AN148:AN159" si="70">IFERROR(S148*6*AJ148,"")</f>
        <v/>
      </c>
      <c r="AO148" s="55"/>
      <c r="AP148" s="1250"/>
      <c r="AQ148" s="1250"/>
      <c r="AR148" s="1250"/>
      <c r="AS148" s="55"/>
      <c r="AT148" s="85"/>
      <c r="AU148" s="85"/>
      <c r="AV148" s="59"/>
      <c r="AW148" s="93"/>
      <c r="AX148" s="94">
        <f t="shared" ref="AX148:AX159" si="71">AT148*3+AU148*4+AV148*5+AW148*6</f>
        <v>0</v>
      </c>
      <c r="AY148" s="95">
        <f t="shared" ref="AY148:AY159" si="72">AX148*I148</f>
        <v>0</v>
      </c>
    </row>
    <row r="149" spans="1:51" ht="15" customHeight="1">
      <c r="A149" s="1001"/>
      <c r="B149" s="1010"/>
      <c r="C149" s="1011"/>
      <c r="D149" s="1011"/>
      <c r="E149" s="1011"/>
      <c r="F149" s="1012"/>
      <c r="G149" s="1012"/>
      <c r="H149" s="184"/>
      <c r="I149" s="190"/>
      <c r="J149" s="1001"/>
      <c r="K149" s="1001"/>
      <c r="L149" s="186"/>
      <c r="M149" s="1001"/>
      <c r="N149" s="1013"/>
      <c r="O149" s="192"/>
      <c r="P149" s="1014"/>
      <c r="Q149" s="1014"/>
      <c r="R149" s="1001"/>
      <c r="S149" s="1014"/>
      <c r="T149" s="1013"/>
      <c r="U149" s="1015"/>
      <c r="V149" s="1014"/>
      <c r="W149" s="1014"/>
      <c r="X149" s="186"/>
      <c r="Y149" s="1014"/>
      <c r="Z149" s="1013"/>
      <c r="AA149" s="1015"/>
      <c r="AB149" s="1015"/>
      <c r="AC149" s="194"/>
      <c r="AD149" s="194"/>
      <c r="AE149" s="194"/>
      <c r="AF149" s="194"/>
      <c r="AG149" s="1013"/>
      <c r="AH149" s="1015"/>
      <c r="AJ149" s="79" t="str">
        <f t="shared" si="66"/>
        <v/>
      </c>
      <c r="AK149" s="16" t="str">
        <f t="shared" si="67"/>
        <v/>
      </c>
      <c r="AL149" s="16" t="str">
        <f t="shared" si="68"/>
        <v/>
      </c>
      <c r="AM149" s="16" t="str">
        <f t="shared" si="69"/>
        <v/>
      </c>
      <c r="AN149" s="16" t="str">
        <f t="shared" si="70"/>
        <v/>
      </c>
      <c r="AO149" s="55"/>
      <c r="AP149" s="98">
        <v>6</v>
      </c>
      <c r="AQ149" s="99"/>
      <c r="AR149" s="100">
        <f>IFERROR(AP149*AQ149*AS152,0)</f>
        <v>0</v>
      </c>
      <c r="AS149" s="55"/>
      <c r="AT149" s="85"/>
      <c r="AU149" s="85"/>
      <c r="AV149" s="65"/>
      <c r="AW149" s="93"/>
      <c r="AX149" s="94">
        <f t="shared" si="71"/>
        <v>0</v>
      </c>
      <c r="AY149" s="95">
        <f t="shared" si="72"/>
        <v>0</v>
      </c>
    </row>
    <row r="150" spans="1:51" ht="15" customHeight="1">
      <c r="A150" s="1001"/>
      <c r="B150" s="1010"/>
      <c r="C150" s="1016"/>
      <c r="D150" s="1016"/>
      <c r="E150" s="1016"/>
      <c r="F150" s="1017"/>
      <c r="G150" s="1017"/>
      <c r="H150" s="184"/>
      <c r="I150" s="190"/>
      <c r="J150" s="1001"/>
      <c r="K150" s="1001"/>
      <c r="L150" s="186"/>
      <c r="M150" s="1001"/>
      <c r="N150" s="1013"/>
      <c r="O150" s="192"/>
      <c r="P150" s="1014"/>
      <c r="Q150" s="1014"/>
      <c r="R150" s="1001"/>
      <c r="S150" s="1014"/>
      <c r="T150" s="1013"/>
      <c r="U150" s="1015"/>
      <c r="V150" s="1014"/>
      <c r="W150" s="1014"/>
      <c r="X150" s="1001"/>
      <c r="Y150" s="1014"/>
      <c r="Z150" s="1013"/>
      <c r="AA150" s="1015"/>
      <c r="AB150" s="1015"/>
      <c r="AC150" s="194"/>
      <c r="AD150" s="194"/>
      <c r="AE150" s="194"/>
      <c r="AF150" s="194"/>
      <c r="AG150" s="1013"/>
      <c r="AH150" s="1015"/>
      <c r="AJ150" s="79" t="str">
        <f t="shared" si="66"/>
        <v/>
      </c>
      <c r="AK150" s="16" t="str">
        <f t="shared" si="67"/>
        <v/>
      </c>
      <c r="AL150" s="16" t="str">
        <f t="shared" si="68"/>
        <v/>
      </c>
      <c r="AM150" s="16" t="str">
        <f t="shared" si="69"/>
        <v/>
      </c>
      <c r="AN150" s="16" t="str">
        <f t="shared" si="70"/>
        <v/>
      </c>
      <c r="AO150" s="55"/>
      <c r="AP150" s="98">
        <v>5</v>
      </c>
      <c r="AQ150" s="99"/>
      <c r="AR150" s="100">
        <f>IFERROR(AP150*AQ150*AS152,0)</f>
        <v>0</v>
      </c>
      <c r="AS150" s="104"/>
      <c r="AT150" s="58"/>
      <c r="AU150" s="85"/>
      <c r="AV150" s="59"/>
      <c r="AW150" s="93"/>
      <c r="AX150" s="94">
        <f t="shared" si="71"/>
        <v>0</v>
      </c>
      <c r="AY150" s="95">
        <f t="shared" si="72"/>
        <v>0</v>
      </c>
    </row>
    <row r="151" spans="1:51" ht="15" customHeight="1">
      <c r="A151" s="1001"/>
      <c r="B151" s="1010"/>
      <c r="C151" s="1011"/>
      <c r="D151" s="1011"/>
      <c r="E151" s="1011"/>
      <c r="F151" s="1012"/>
      <c r="G151" s="1012"/>
      <c r="H151" s="184"/>
      <c r="I151" s="190"/>
      <c r="J151" s="1001"/>
      <c r="K151" s="1001"/>
      <c r="L151" s="186"/>
      <c r="M151" s="1001"/>
      <c r="N151" s="1013"/>
      <c r="O151" s="192"/>
      <c r="P151" s="1014"/>
      <c r="Q151" s="1014"/>
      <c r="R151" s="1001"/>
      <c r="S151" s="1014"/>
      <c r="T151" s="1013"/>
      <c r="U151" s="1015"/>
      <c r="V151" s="1014"/>
      <c r="W151" s="1014"/>
      <c r="X151" s="1001"/>
      <c r="Y151" s="1014"/>
      <c r="Z151" s="1013"/>
      <c r="AA151" s="1015"/>
      <c r="AB151" s="1015"/>
      <c r="AC151" s="194"/>
      <c r="AD151" s="194"/>
      <c r="AE151" s="194"/>
      <c r="AF151" s="194"/>
      <c r="AG151" s="1013"/>
      <c r="AH151" s="1015"/>
      <c r="AJ151" s="79" t="str">
        <f t="shared" si="66"/>
        <v/>
      </c>
      <c r="AK151" s="16" t="str">
        <f t="shared" si="67"/>
        <v/>
      </c>
      <c r="AL151" s="16" t="str">
        <f t="shared" si="68"/>
        <v/>
      </c>
      <c r="AM151" s="16" t="str">
        <f t="shared" si="69"/>
        <v/>
      </c>
      <c r="AN151" s="16" t="str">
        <f t="shared" si="70"/>
        <v/>
      </c>
      <c r="AO151" s="55"/>
      <c r="AP151" s="98">
        <v>4</v>
      </c>
      <c r="AQ151" s="99"/>
      <c r="AR151" s="100">
        <f>IFERROR(AP151*AQ151*AS152,0)</f>
        <v>0</v>
      </c>
      <c r="AS151" s="104"/>
      <c r="AT151" s="85"/>
      <c r="AU151" s="85"/>
      <c r="AV151" s="59"/>
      <c r="AW151" s="93"/>
      <c r="AX151" s="94">
        <f t="shared" si="71"/>
        <v>0</v>
      </c>
      <c r="AY151" s="95">
        <f t="shared" si="72"/>
        <v>0</v>
      </c>
    </row>
    <row r="152" spans="1:51" ht="15" customHeight="1">
      <c r="A152" s="1001"/>
      <c r="B152" s="1010"/>
      <c r="C152" s="1011"/>
      <c r="D152" s="188"/>
      <c r="E152" s="1011"/>
      <c r="F152" s="1012"/>
      <c r="G152" s="1012"/>
      <c r="H152" s="184"/>
      <c r="I152" s="190"/>
      <c r="J152" s="1001"/>
      <c r="K152" s="1001"/>
      <c r="L152" s="186"/>
      <c r="M152" s="1001"/>
      <c r="N152" s="1013"/>
      <c r="O152" s="192"/>
      <c r="P152" s="1014"/>
      <c r="Q152" s="1014"/>
      <c r="R152" s="1001"/>
      <c r="S152" s="1014"/>
      <c r="T152" s="1013"/>
      <c r="U152" s="1015"/>
      <c r="V152" s="1014"/>
      <c r="W152" s="1014"/>
      <c r="X152" s="1001"/>
      <c r="Y152" s="1014"/>
      <c r="Z152" s="1013"/>
      <c r="AA152" s="1015"/>
      <c r="AB152" s="1015"/>
      <c r="AC152" s="194"/>
      <c r="AD152" s="194"/>
      <c r="AE152" s="194"/>
      <c r="AF152" s="194"/>
      <c r="AG152" s="1013"/>
      <c r="AH152" s="1015"/>
      <c r="AJ152" s="79" t="str">
        <f t="shared" si="66"/>
        <v/>
      </c>
      <c r="AK152" s="16" t="str">
        <f t="shared" si="67"/>
        <v/>
      </c>
      <c r="AL152" s="16" t="str">
        <f t="shared" si="68"/>
        <v/>
      </c>
      <c r="AM152" s="16" t="str">
        <f t="shared" si="69"/>
        <v/>
      </c>
      <c r="AN152" s="16" t="str">
        <f t="shared" si="70"/>
        <v/>
      </c>
      <c r="AO152" s="55"/>
      <c r="AP152" s="98">
        <v>3</v>
      </c>
      <c r="AQ152" s="109"/>
      <c r="AR152" s="100">
        <f>IFERROR(AP152*AQ152*AS152,0)</f>
        <v>0</v>
      </c>
      <c r="AS152" s="48">
        <f>IFERROR(AR153/((AP152*AQ152)+(AP151*AQ151)+(AP150*AQ150)+(AP149*AQ149)),0)</f>
        <v>0</v>
      </c>
      <c r="AT152" s="85"/>
      <c r="AU152" s="85"/>
      <c r="AV152" s="59"/>
      <c r="AW152" s="93"/>
      <c r="AX152" s="94">
        <f t="shared" si="71"/>
        <v>0</v>
      </c>
      <c r="AY152" s="95">
        <f t="shared" si="72"/>
        <v>0</v>
      </c>
    </row>
    <row r="153" spans="1:51" ht="14.25" customHeight="1" thickBot="1">
      <c r="A153" s="1001"/>
      <c r="B153" s="1010"/>
      <c r="C153" s="1011"/>
      <c r="D153" s="1011"/>
      <c r="E153" s="1011"/>
      <c r="F153" s="1012"/>
      <c r="G153" s="1012"/>
      <c r="H153" s="184"/>
      <c r="I153" s="190"/>
      <c r="J153" s="1001"/>
      <c r="K153" s="1001"/>
      <c r="L153" s="186"/>
      <c r="M153" s="1001"/>
      <c r="N153" s="1013"/>
      <c r="O153" s="192"/>
      <c r="P153" s="185"/>
      <c r="Q153" s="1014"/>
      <c r="R153" s="1001"/>
      <c r="S153" s="1014"/>
      <c r="T153" s="1013"/>
      <c r="U153" s="1015"/>
      <c r="V153" s="185"/>
      <c r="W153" s="1014"/>
      <c r="X153" s="1001"/>
      <c r="Y153" s="1014"/>
      <c r="Z153" s="1013"/>
      <c r="AA153" s="1015"/>
      <c r="AB153" s="1015"/>
      <c r="AC153" s="194"/>
      <c r="AD153" s="194"/>
      <c r="AE153" s="194"/>
      <c r="AF153" s="194"/>
      <c r="AG153" s="1013"/>
      <c r="AH153" s="1015"/>
      <c r="AJ153" s="79" t="str">
        <f t="shared" si="66"/>
        <v/>
      </c>
      <c r="AK153" s="16" t="str">
        <f t="shared" si="67"/>
        <v/>
      </c>
      <c r="AL153" s="16" t="str">
        <f t="shared" si="68"/>
        <v/>
      </c>
      <c r="AM153" s="16" t="str">
        <f t="shared" si="69"/>
        <v/>
      </c>
      <c r="AN153" s="16" t="str">
        <f t="shared" si="70"/>
        <v/>
      </c>
      <c r="AO153" s="55"/>
      <c r="AP153" s="111"/>
      <c r="AQ153" s="112"/>
      <c r="AR153" s="113"/>
      <c r="AS153" s="104"/>
      <c r="AT153" s="58"/>
      <c r="AU153" s="85"/>
      <c r="AV153" s="59"/>
      <c r="AW153" s="93"/>
      <c r="AX153" s="94">
        <f t="shared" si="71"/>
        <v>0</v>
      </c>
      <c r="AY153" s="95">
        <f t="shared" si="72"/>
        <v>0</v>
      </c>
    </row>
    <row r="154" spans="1:51" ht="14.25" customHeight="1" thickBot="1">
      <c r="A154" s="1001"/>
      <c r="B154" s="1010"/>
      <c r="C154" s="1011"/>
      <c r="D154" s="1011"/>
      <c r="E154" s="1011"/>
      <c r="F154" s="1012"/>
      <c r="G154" s="1012"/>
      <c r="H154" s="184"/>
      <c r="I154" s="190"/>
      <c r="J154" s="1001"/>
      <c r="K154" s="1001"/>
      <c r="L154" s="186"/>
      <c r="M154" s="1001"/>
      <c r="N154" s="1013"/>
      <c r="O154" s="192"/>
      <c r="P154" s="1014"/>
      <c r="Q154" s="1014"/>
      <c r="R154" s="1001"/>
      <c r="S154" s="1014"/>
      <c r="T154" s="1013"/>
      <c r="U154" s="1015"/>
      <c r="V154" s="1014"/>
      <c r="W154" s="1014"/>
      <c r="X154" s="1001"/>
      <c r="Y154" s="1014"/>
      <c r="Z154" s="1013"/>
      <c r="AA154" s="1015"/>
      <c r="AB154" s="1015"/>
      <c r="AC154" s="194"/>
      <c r="AD154" s="194"/>
      <c r="AE154" s="194"/>
      <c r="AF154" s="194"/>
      <c r="AG154" s="1013"/>
      <c r="AH154" s="1015"/>
      <c r="AJ154" s="79" t="str">
        <f t="shared" si="66"/>
        <v/>
      </c>
      <c r="AK154" s="16" t="str">
        <f t="shared" si="67"/>
        <v/>
      </c>
      <c r="AL154" s="16" t="str">
        <f t="shared" si="68"/>
        <v/>
      </c>
      <c r="AM154" s="16" t="str">
        <f t="shared" si="69"/>
        <v/>
      </c>
      <c r="AN154" s="16" t="str">
        <f t="shared" si="70"/>
        <v/>
      </c>
      <c r="AO154" s="55"/>
      <c r="AP154" s="1250" t="s">
        <v>7</v>
      </c>
      <c r="AQ154" s="1250"/>
      <c r="AR154" s="1250"/>
      <c r="AS154" s="104"/>
      <c r="AT154" s="85"/>
      <c r="AU154" s="85"/>
      <c r="AV154" s="59"/>
      <c r="AW154" s="93"/>
      <c r="AX154" s="94">
        <f t="shared" si="71"/>
        <v>0</v>
      </c>
      <c r="AY154" s="95">
        <f t="shared" si="72"/>
        <v>0</v>
      </c>
    </row>
    <row r="155" spans="1:51" ht="15" customHeight="1" thickBot="1">
      <c r="A155" s="1001"/>
      <c r="B155" s="1010"/>
      <c r="C155" s="1011"/>
      <c r="D155" s="1011"/>
      <c r="E155" s="1011"/>
      <c r="F155" s="1012"/>
      <c r="G155" s="1012"/>
      <c r="H155" s="184"/>
      <c r="I155" s="190"/>
      <c r="J155" s="1001"/>
      <c r="K155" s="1001"/>
      <c r="L155" s="186"/>
      <c r="M155" s="1001"/>
      <c r="N155" s="1013"/>
      <c r="O155" s="192"/>
      <c r="P155" s="1014"/>
      <c r="Q155" s="1014"/>
      <c r="R155" s="1001"/>
      <c r="S155" s="1014"/>
      <c r="T155" s="1013"/>
      <c r="U155" s="1015"/>
      <c r="V155" s="1014"/>
      <c r="W155" s="185"/>
      <c r="X155" s="1001"/>
      <c r="Y155" s="1014"/>
      <c r="Z155" s="1013"/>
      <c r="AA155" s="1015"/>
      <c r="AB155" s="1015"/>
      <c r="AC155" s="194"/>
      <c r="AD155" s="194"/>
      <c r="AE155" s="194"/>
      <c r="AF155" s="194"/>
      <c r="AG155" s="1013"/>
      <c r="AH155" s="1015"/>
      <c r="AJ155" s="79" t="str">
        <f t="shared" si="66"/>
        <v/>
      </c>
      <c r="AK155" s="16" t="str">
        <f t="shared" si="67"/>
        <v/>
      </c>
      <c r="AL155" s="16" t="str">
        <f t="shared" si="68"/>
        <v/>
      </c>
      <c r="AM155" s="16" t="str">
        <f t="shared" si="69"/>
        <v/>
      </c>
      <c r="AN155" s="16" t="str">
        <f t="shared" si="70"/>
        <v/>
      </c>
      <c r="AO155" s="73">
        <v>160</v>
      </c>
      <c r="AP155" s="1250"/>
      <c r="AQ155" s="1250"/>
      <c r="AR155" s="1250"/>
      <c r="AS155" s="55"/>
      <c r="AT155" s="85"/>
      <c r="AU155" s="58"/>
      <c r="AV155" s="59"/>
      <c r="AW155" s="93"/>
      <c r="AX155" s="94">
        <f t="shared" si="71"/>
        <v>0</v>
      </c>
      <c r="AY155" s="95">
        <f t="shared" si="72"/>
        <v>0</v>
      </c>
    </row>
    <row r="156" spans="1:51" ht="15" customHeight="1" thickBot="1">
      <c r="A156" s="1001"/>
      <c r="B156" s="1010"/>
      <c r="C156" s="1011"/>
      <c r="D156" s="1011"/>
      <c r="E156" s="1011"/>
      <c r="F156" s="1012"/>
      <c r="G156" s="1012"/>
      <c r="H156" s="184"/>
      <c r="I156" s="190"/>
      <c r="J156" s="1001"/>
      <c r="K156" s="1001"/>
      <c r="L156" s="186"/>
      <c r="M156" s="1001"/>
      <c r="N156" s="1013"/>
      <c r="O156" s="192"/>
      <c r="P156" s="1014"/>
      <c r="Q156" s="185"/>
      <c r="R156" s="1018"/>
      <c r="S156" s="1014"/>
      <c r="T156" s="1013"/>
      <c r="U156" s="1015"/>
      <c r="V156" s="1014"/>
      <c r="W156" s="185"/>
      <c r="X156" s="1001"/>
      <c r="Y156" s="1014"/>
      <c r="Z156" s="1013"/>
      <c r="AA156" s="1015"/>
      <c r="AB156" s="1015"/>
      <c r="AC156" s="194"/>
      <c r="AD156" s="194"/>
      <c r="AE156" s="194"/>
      <c r="AF156" s="194"/>
      <c r="AG156" s="1013"/>
      <c r="AH156" s="1015"/>
      <c r="AJ156" s="79" t="str">
        <f t="shared" si="66"/>
        <v/>
      </c>
      <c r="AK156" s="16" t="str">
        <f t="shared" si="67"/>
        <v/>
      </c>
      <c r="AL156" s="16" t="str">
        <f t="shared" si="68"/>
        <v/>
      </c>
      <c r="AM156" s="16" t="str">
        <f t="shared" si="69"/>
        <v/>
      </c>
      <c r="AN156" s="16" t="str">
        <f t="shared" si="70"/>
        <v/>
      </c>
      <c r="AO156" s="55"/>
      <c r="AP156" s="1250"/>
      <c r="AQ156" s="1250"/>
      <c r="AR156" s="1250"/>
      <c r="AS156" s="55"/>
      <c r="AT156" s="85"/>
      <c r="AU156" s="58"/>
      <c r="AV156" s="59"/>
      <c r="AW156" s="93"/>
      <c r="AX156" s="94">
        <f t="shared" si="71"/>
        <v>0</v>
      </c>
      <c r="AY156" s="95">
        <f t="shared" si="72"/>
        <v>0</v>
      </c>
    </row>
    <row r="157" spans="1:51" ht="16.5" customHeight="1">
      <c r="A157" s="1001"/>
      <c r="B157" s="1010"/>
      <c r="C157" s="1011"/>
      <c r="D157" s="1011"/>
      <c r="E157" s="1011"/>
      <c r="F157" s="1012"/>
      <c r="G157" s="1012"/>
      <c r="H157" s="184"/>
      <c r="I157" s="190"/>
      <c r="J157" s="1001"/>
      <c r="K157" s="1001"/>
      <c r="L157" s="186"/>
      <c r="M157" s="1001"/>
      <c r="N157" s="1013"/>
      <c r="O157" s="192"/>
      <c r="P157" s="1014"/>
      <c r="Q157" s="185"/>
      <c r="R157" s="1014"/>
      <c r="S157" s="1014"/>
      <c r="T157" s="1013"/>
      <c r="U157" s="1015"/>
      <c r="V157" s="1014"/>
      <c r="W157" s="185"/>
      <c r="X157" s="1001"/>
      <c r="Y157" s="1014"/>
      <c r="Z157" s="1013"/>
      <c r="AA157" s="1015"/>
      <c r="AB157" s="1015"/>
      <c r="AC157" s="194"/>
      <c r="AD157" s="194"/>
      <c r="AE157" s="194"/>
      <c r="AF157" s="194"/>
      <c r="AG157" s="1013"/>
      <c r="AH157" s="1015"/>
      <c r="AJ157" s="79" t="str">
        <f t="shared" si="66"/>
        <v/>
      </c>
      <c r="AK157" s="16" t="str">
        <f t="shared" si="67"/>
        <v/>
      </c>
      <c r="AL157" s="16" t="str">
        <f t="shared" si="68"/>
        <v/>
      </c>
      <c r="AM157" s="16" t="str">
        <f t="shared" si="69"/>
        <v/>
      </c>
      <c r="AN157" s="16" t="str">
        <f t="shared" si="70"/>
        <v/>
      </c>
      <c r="AO157" s="55"/>
      <c r="AP157" s="117">
        <v>6</v>
      </c>
      <c r="AQ157" s="118"/>
      <c r="AR157" s="100">
        <f>IFERROR(AP157*AQ157*AS160,0)</f>
        <v>0</v>
      </c>
      <c r="AS157" s="55"/>
      <c r="AT157" s="85"/>
      <c r="AU157" s="58"/>
      <c r="AV157" s="59"/>
      <c r="AW157" s="93"/>
      <c r="AX157" s="94">
        <f t="shared" si="71"/>
        <v>0</v>
      </c>
      <c r="AY157" s="95">
        <f t="shared" si="72"/>
        <v>0</v>
      </c>
    </row>
    <row r="158" spans="1:51" ht="16.5" customHeight="1">
      <c r="A158" s="1001"/>
      <c r="B158" s="1010"/>
      <c r="C158" s="1011"/>
      <c r="D158" s="1011"/>
      <c r="E158" s="1011"/>
      <c r="F158" s="1012"/>
      <c r="G158" s="1012"/>
      <c r="H158" s="184"/>
      <c r="I158" s="190"/>
      <c r="J158" s="1001"/>
      <c r="K158" s="1001"/>
      <c r="L158" s="186"/>
      <c r="M158" s="1001"/>
      <c r="N158" s="1013"/>
      <c r="O158" s="192"/>
      <c r="P158" s="1014"/>
      <c r="Q158" s="184"/>
      <c r="R158" s="1018"/>
      <c r="S158" s="1019"/>
      <c r="T158" s="1013"/>
      <c r="U158" s="1015"/>
      <c r="V158" s="1014"/>
      <c r="W158" s="185"/>
      <c r="X158" s="1001"/>
      <c r="Y158" s="1014"/>
      <c r="Z158" s="1013"/>
      <c r="AA158" s="1015"/>
      <c r="AB158" s="1015"/>
      <c r="AC158" s="194"/>
      <c r="AD158" s="194"/>
      <c r="AE158" s="194"/>
      <c r="AF158" s="194"/>
      <c r="AG158" s="1013"/>
      <c r="AH158" s="1015"/>
      <c r="AJ158" s="79" t="str">
        <f t="shared" si="66"/>
        <v/>
      </c>
      <c r="AK158" s="16" t="str">
        <f t="shared" si="67"/>
        <v/>
      </c>
      <c r="AL158" s="16" t="str">
        <f t="shared" si="68"/>
        <v/>
      </c>
      <c r="AM158" s="16" t="str">
        <f t="shared" si="69"/>
        <v/>
      </c>
      <c r="AN158" s="16" t="str">
        <f t="shared" si="70"/>
        <v/>
      </c>
      <c r="AO158" s="55"/>
      <c r="AP158" s="98">
        <v>5</v>
      </c>
      <c r="AQ158" s="99"/>
      <c r="AR158" s="100">
        <f>IFERROR(AP158*AQ158*AS160,0)</f>
        <v>0</v>
      </c>
      <c r="AS158" s="55"/>
      <c r="AT158" s="116"/>
      <c r="AU158" s="115"/>
      <c r="AV158" s="116"/>
      <c r="AW158" s="123"/>
      <c r="AX158" s="94">
        <f t="shared" si="71"/>
        <v>0</v>
      </c>
      <c r="AY158" s="95">
        <f t="shared" si="72"/>
        <v>0</v>
      </c>
    </row>
    <row r="159" spans="1:51" ht="15.75" customHeight="1">
      <c r="A159" s="1001"/>
      <c r="B159" s="1010"/>
      <c r="C159" s="1020"/>
      <c r="D159" s="1021"/>
      <c r="E159" s="1020"/>
      <c r="F159" s="1022"/>
      <c r="G159" s="1022"/>
      <c r="H159" s="184"/>
      <c r="I159" s="190"/>
      <c r="J159" s="1001"/>
      <c r="K159" s="1001"/>
      <c r="L159" s="186"/>
      <c r="M159" s="1001"/>
      <c r="N159" s="1013"/>
      <c r="O159" s="192"/>
      <c r="P159" s="1019"/>
      <c r="Q159" s="184"/>
      <c r="R159" s="1018"/>
      <c r="S159" s="1019"/>
      <c r="T159" s="1013"/>
      <c r="U159" s="1015"/>
      <c r="V159" s="1014"/>
      <c r="W159" s="185"/>
      <c r="X159" s="1001"/>
      <c r="Y159" s="1014"/>
      <c r="Z159" s="1013"/>
      <c r="AA159" s="1015"/>
      <c r="AB159" s="1015"/>
      <c r="AC159" s="194"/>
      <c r="AD159" s="194"/>
      <c r="AE159" s="194"/>
      <c r="AF159" s="194"/>
      <c r="AG159" s="1013"/>
      <c r="AH159" s="1015"/>
      <c r="AJ159" s="79" t="str">
        <f t="shared" si="66"/>
        <v/>
      </c>
      <c r="AK159" s="16" t="str">
        <f t="shared" si="67"/>
        <v/>
      </c>
      <c r="AL159" s="16" t="str">
        <f t="shared" si="68"/>
        <v/>
      </c>
      <c r="AM159" s="16" t="str">
        <f t="shared" si="69"/>
        <v/>
      </c>
      <c r="AN159" s="16" t="str">
        <f t="shared" si="70"/>
        <v/>
      </c>
      <c r="AO159" s="104"/>
      <c r="AP159" s="98">
        <v>4</v>
      </c>
      <c r="AQ159" s="99"/>
      <c r="AR159" s="100">
        <f>IFERROR(AP159*AQ159*AS160,0)</f>
        <v>0</v>
      </c>
      <c r="AS159" s="55"/>
      <c r="AT159" s="85"/>
      <c r="AU159" s="58"/>
      <c r="AV159" s="59"/>
      <c r="AW159" s="93"/>
      <c r="AX159" s="94">
        <f t="shared" si="71"/>
        <v>0</v>
      </c>
      <c r="AY159" s="95">
        <f t="shared" si="72"/>
        <v>0</v>
      </c>
    </row>
    <row r="160" spans="1:51" ht="15" customHeight="1">
      <c r="A160" s="1001"/>
      <c r="B160" s="1001"/>
      <c r="C160" s="1023"/>
      <c r="D160" s="1023"/>
      <c r="E160" s="1023"/>
      <c r="F160" s="1024"/>
      <c r="G160" s="1024"/>
      <c r="H160" s="1001"/>
      <c r="I160" s="1001"/>
      <c r="J160" s="201"/>
      <c r="K160" s="201"/>
      <c r="L160" s="201"/>
      <c r="M160" s="201"/>
      <c r="N160" s="1025"/>
      <c r="O160" s="1002"/>
      <c r="P160" s="1001"/>
      <c r="Q160" s="1001"/>
      <c r="R160" s="1001"/>
      <c r="S160" s="1003"/>
      <c r="T160" s="1001"/>
      <c r="U160" s="1004"/>
      <c r="V160" s="1001"/>
      <c r="W160" s="1001"/>
      <c r="X160" s="1001"/>
      <c r="Y160" s="1001"/>
      <c r="Z160" s="1001"/>
      <c r="AA160" s="1004"/>
      <c r="AB160" s="1001"/>
      <c r="AC160" s="1001"/>
      <c r="AD160" s="1001"/>
      <c r="AE160" s="1001"/>
      <c r="AF160" s="1001"/>
      <c r="AG160" s="54"/>
      <c r="AH160" s="54"/>
      <c r="AI160" s="54"/>
      <c r="AJ160" s="54"/>
      <c r="AK160" s="137"/>
      <c r="AL160" s="137"/>
      <c r="AM160" s="137"/>
      <c r="AN160" s="137"/>
      <c r="AO160" s="55"/>
      <c r="AP160" s="98">
        <v>3</v>
      </c>
      <c r="AQ160" s="109"/>
      <c r="AR160" s="100">
        <f>IFERROR(AP160*AQ160*AS160,0)</f>
        <v>0</v>
      </c>
      <c r="AS160" s="48">
        <f>IFERROR(AR161/((AP160*AQ160)+(AP159*AQ159)+(AP158*AQ158)+(AP157*AQ157)),0)</f>
        <v>0</v>
      </c>
      <c r="AT160" s="54"/>
      <c r="AU160" s="54"/>
      <c r="AV160" s="54"/>
      <c r="AW160" s="54"/>
      <c r="AX160" s="54"/>
      <c r="AY160" s="56"/>
    </row>
    <row r="161" spans="1:51" ht="15.75" customHeight="1" thickBot="1">
      <c r="A161" s="1001"/>
      <c r="B161" s="1001"/>
      <c r="C161" s="1023"/>
      <c r="D161" s="1023"/>
      <c r="E161" s="1023"/>
      <c r="F161" s="1024"/>
      <c r="G161" s="1024"/>
      <c r="H161" s="184"/>
      <c r="I161" s="190"/>
      <c r="J161" s="1026"/>
      <c r="K161" s="1026"/>
      <c r="L161" s="1026"/>
      <c r="M161" s="1026"/>
      <c r="N161" s="1013"/>
      <c r="O161" s="192"/>
      <c r="P161" s="1027"/>
      <c r="Q161" s="1027"/>
      <c r="R161" s="1027"/>
      <c r="S161" s="1027"/>
      <c r="T161" s="1018"/>
      <c r="U161" s="1018"/>
      <c r="V161" s="1027"/>
      <c r="W161" s="1027"/>
      <c r="X161" s="1027"/>
      <c r="Y161" s="1027"/>
      <c r="Z161" s="1001"/>
      <c r="AA161" s="1001"/>
      <c r="AB161" s="1001"/>
      <c r="AC161" s="1027"/>
      <c r="AD161" s="1027"/>
      <c r="AE161" s="1027"/>
      <c r="AF161" s="1027"/>
      <c r="AG161" s="54"/>
      <c r="AH161" s="54"/>
      <c r="AI161" s="54"/>
      <c r="AJ161" s="54"/>
      <c r="AK161" s="154">
        <f>SUM(AK148:AK160)</f>
        <v>0</v>
      </c>
      <c r="AL161" s="154">
        <f>SUM(AL148:AL160)</f>
        <v>0</v>
      </c>
      <c r="AM161" s="154">
        <f>SUM(AM148:AM160)</f>
        <v>0</v>
      </c>
      <c r="AN161" s="154">
        <f>SUM(AN148:AN160)</f>
        <v>0</v>
      </c>
      <c r="AO161" s="55"/>
      <c r="AP161" s="111"/>
      <c r="AQ161" s="112"/>
      <c r="AR161" s="155"/>
      <c r="AS161" s="55"/>
      <c r="AT161" s="54"/>
      <c r="AU161" s="54"/>
      <c r="AV161" s="54"/>
      <c r="AW161" s="54"/>
      <c r="AX161" s="54"/>
      <c r="AY161" s="56"/>
    </row>
    <row r="162" spans="1:51" ht="15.75" customHeight="1">
      <c r="A162" s="1028"/>
      <c r="B162" s="1001"/>
      <c r="C162" s="1001"/>
      <c r="D162" s="1001"/>
      <c r="E162" s="1001"/>
      <c r="F162" s="1001"/>
      <c r="G162" s="1001"/>
      <c r="H162" s="1018"/>
      <c r="I162" s="190"/>
      <c r="J162" s="1026"/>
      <c r="K162" s="1026"/>
      <c r="L162" s="1026"/>
      <c r="M162" s="1026"/>
      <c r="N162" s="1013"/>
      <c r="O162" s="192"/>
      <c r="P162" s="1027"/>
      <c r="Q162" s="1027"/>
      <c r="R162" s="1027"/>
      <c r="S162" s="1027"/>
      <c r="T162" s="1029"/>
      <c r="U162" s="1030"/>
      <c r="V162" s="1027"/>
      <c r="W162" s="1027"/>
      <c r="X162" s="1027"/>
      <c r="Y162" s="1027"/>
      <c r="Z162" s="1031"/>
      <c r="AA162" s="1032"/>
      <c r="AB162" s="1033"/>
      <c r="AC162" s="1027"/>
      <c r="AD162" s="1027"/>
      <c r="AE162" s="1027"/>
      <c r="AF162" s="1027"/>
      <c r="AG162" s="54"/>
      <c r="AH162" s="1030"/>
      <c r="AI162" s="54"/>
      <c r="AJ162" s="54"/>
      <c r="AK162" s="55"/>
      <c r="AL162" s="55"/>
      <c r="AM162" s="55"/>
      <c r="AN162" s="55"/>
      <c r="AO162" s="55"/>
      <c r="AP162" s="55"/>
      <c r="AQ162" s="55"/>
      <c r="AR162" s="157">
        <f>AR153+AR161</f>
        <v>0</v>
      </c>
      <c r="AS162" s="55"/>
      <c r="AT162" s="54"/>
      <c r="AU162" s="54"/>
      <c r="AV162" s="54"/>
      <c r="AW162" s="54"/>
      <c r="AX162" s="54"/>
      <c r="AY162" s="56"/>
    </row>
    <row r="163" spans="1:51" ht="19.5" customHeight="1" thickBot="1">
      <c r="A163" s="1007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007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54"/>
      <c r="AH163" s="54"/>
      <c r="AK163" s="48"/>
      <c r="AL163" s="48"/>
      <c r="AM163" s="48"/>
      <c r="AN163" s="48"/>
      <c r="AO163" s="48"/>
      <c r="AP163" s="48"/>
      <c r="AQ163" s="48"/>
      <c r="AR163" s="48"/>
      <c r="AS163" s="48"/>
    </row>
    <row r="164" spans="1:51" ht="14.25" customHeight="1" thickBot="1">
      <c r="A164" s="1252"/>
      <c r="B164" s="1253"/>
      <c r="C164" s="1254"/>
      <c r="D164" s="1254"/>
      <c r="E164" s="1254"/>
      <c r="F164" s="1254"/>
      <c r="G164" s="1254"/>
      <c r="H164" s="1253"/>
      <c r="I164" s="1254"/>
      <c r="J164" s="1253"/>
      <c r="K164" s="1253"/>
      <c r="L164" s="1253"/>
      <c r="M164" s="1253"/>
      <c r="N164" s="1255"/>
      <c r="O164" s="1258"/>
      <c r="P164" s="1254"/>
      <c r="Q164" s="1254"/>
      <c r="R164" s="1254"/>
      <c r="S164" s="1254"/>
      <c r="T164" s="1259"/>
      <c r="U164" s="1258"/>
      <c r="V164" s="1254"/>
      <c r="W164" s="1254"/>
      <c r="X164" s="1254"/>
      <c r="Y164" s="1254"/>
      <c r="Z164" s="1259"/>
      <c r="AA164" s="1258"/>
      <c r="AB164" s="1258"/>
      <c r="AC164" s="1260"/>
      <c r="AD164" s="1260"/>
      <c r="AE164" s="1260"/>
      <c r="AF164" s="1260"/>
      <c r="AG164" s="1259"/>
      <c r="AH164" s="1258"/>
      <c r="AK164" s="1257" t="s">
        <v>37</v>
      </c>
      <c r="AL164" s="1257"/>
      <c r="AM164" s="1257"/>
      <c r="AN164" s="1257"/>
      <c r="AO164" s="55"/>
      <c r="AP164" s="1250" t="s">
        <v>7</v>
      </c>
      <c r="AQ164" s="1250"/>
      <c r="AR164" s="1250"/>
      <c r="AS164" s="55"/>
      <c r="AT164" s="1251" t="s">
        <v>38</v>
      </c>
      <c r="AU164" s="1251"/>
      <c r="AV164" s="1251"/>
      <c r="AW164" s="1251"/>
      <c r="AX164" s="94" t="s">
        <v>39</v>
      </c>
      <c r="AY164" s="95" t="s">
        <v>12</v>
      </c>
    </row>
    <row r="165" spans="1:51" ht="18" customHeight="1" thickBot="1">
      <c r="A165" s="1252"/>
      <c r="B165" s="1252"/>
      <c r="C165" s="186"/>
      <c r="D165" s="186"/>
      <c r="E165" s="186"/>
      <c r="F165" s="186"/>
      <c r="G165" s="186"/>
      <c r="H165" s="1253"/>
      <c r="I165" s="1254"/>
      <c r="J165" s="185"/>
      <c r="K165" s="185"/>
      <c r="L165" s="185"/>
      <c r="M165" s="185"/>
      <c r="N165" s="1255"/>
      <c r="O165" s="1258"/>
      <c r="P165" s="186"/>
      <c r="Q165" s="185"/>
      <c r="R165" s="1008"/>
      <c r="S165" s="185"/>
      <c r="T165" s="1259"/>
      <c r="U165" s="1259"/>
      <c r="V165" s="186"/>
      <c r="W165" s="185"/>
      <c r="X165" s="1008"/>
      <c r="Y165" s="185"/>
      <c r="Z165" s="1259"/>
      <c r="AA165" s="1259"/>
      <c r="AB165" s="1258"/>
      <c r="AC165" s="186"/>
      <c r="AD165" s="185"/>
      <c r="AE165" s="1008"/>
      <c r="AF165" s="185"/>
      <c r="AG165" s="1259"/>
      <c r="AH165" s="1258"/>
      <c r="AK165" s="162" t="s">
        <v>49</v>
      </c>
      <c r="AL165" s="162" t="s">
        <v>50</v>
      </c>
      <c r="AM165" s="162" t="s">
        <v>51</v>
      </c>
      <c r="AN165" s="162" t="s">
        <v>52</v>
      </c>
      <c r="AO165" s="73">
        <v>130</v>
      </c>
      <c r="AP165" s="1250"/>
      <c r="AQ165" s="1250"/>
      <c r="AR165" s="1250"/>
      <c r="AS165" s="55"/>
      <c r="AT165" s="164" t="s">
        <v>45</v>
      </c>
      <c r="AU165" s="165" t="s">
        <v>46</v>
      </c>
      <c r="AV165" s="166" t="s">
        <v>47</v>
      </c>
      <c r="AW165" s="161" t="s">
        <v>48</v>
      </c>
      <c r="AX165" s="94"/>
      <c r="AY165" s="95"/>
    </row>
    <row r="166" spans="1:51" ht="15" customHeight="1" thickBot="1">
      <c r="A166" s="1009"/>
      <c r="B166" s="1010"/>
      <c r="C166" s="1011"/>
      <c r="D166" s="1011"/>
      <c r="E166" s="1011"/>
      <c r="F166" s="1012"/>
      <c r="G166" s="1012"/>
      <c r="H166" s="184"/>
      <c r="I166" s="190"/>
      <c r="J166" s="1001"/>
      <c r="K166" s="1001"/>
      <c r="L166" s="186"/>
      <c r="M166" s="1001"/>
      <c r="N166" s="1013"/>
      <c r="O166" s="192"/>
      <c r="P166" s="1014"/>
      <c r="Q166" s="1014"/>
      <c r="R166" s="1001"/>
      <c r="S166" s="1014"/>
      <c r="T166" s="1013"/>
      <c r="U166" s="1015"/>
      <c r="V166" s="1014"/>
      <c r="W166" s="1014"/>
      <c r="X166" s="1001"/>
      <c r="Y166" s="1014"/>
      <c r="Z166" s="1013"/>
      <c r="AA166" s="1015"/>
      <c r="AB166" s="1015"/>
      <c r="AC166" s="194"/>
      <c r="AD166" s="194"/>
      <c r="AE166" s="194"/>
      <c r="AF166" s="194"/>
      <c r="AG166" s="1013"/>
      <c r="AH166" s="1015"/>
      <c r="AJ166" s="79" t="str">
        <f t="shared" ref="AJ166:AJ177" si="73">IF(H166=130,0.132335,IF(H166=100,0.0785,IF(H166=110,0.095,IF(H166=160,0.198005,""))))</f>
        <v/>
      </c>
      <c r="AK166" s="16" t="str">
        <f t="shared" ref="AK166:AK177" si="74">IFERROR(P166*3*AJ166,"")</f>
        <v/>
      </c>
      <c r="AL166" s="16" t="str">
        <f t="shared" ref="AL166:AL177" si="75">IFERROR(Q166*4*AJ166,"")</f>
        <v/>
      </c>
      <c r="AM166" s="16" t="str">
        <f t="shared" ref="AM166:AM177" si="76">IFERROR(R166*5*AJ166,"")</f>
        <v/>
      </c>
      <c r="AN166" s="16" t="str">
        <f t="shared" ref="AN166:AN177" si="77">IFERROR(S166*6*AJ166,"")</f>
        <v/>
      </c>
      <c r="AO166" s="55"/>
      <c r="AP166" s="1250"/>
      <c r="AQ166" s="1250"/>
      <c r="AR166" s="1250"/>
      <c r="AS166" s="55"/>
      <c r="AT166" s="167"/>
      <c r="AU166" s="167"/>
      <c r="AV166" s="168"/>
      <c r="AW166" s="169"/>
      <c r="AX166" s="94">
        <f t="shared" ref="AX166:AX177" si="78">AT166*3+AU166*4+AV166*5+AW166*6</f>
        <v>0</v>
      </c>
      <c r="AY166" s="95">
        <f t="shared" ref="AY166:AY177" si="79">AX166*I166</f>
        <v>0</v>
      </c>
    </row>
    <row r="167" spans="1:51" ht="15" customHeight="1">
      <c r="A167" s="1001"/>
      <c r="B167" s="1010"/>
      <c r="C167" s="1011"/>
      <c r="D167" s="1011"/>
      <c r="E167" s="1011"/>
      <c r="F167" s="1012"/>
      <c r="G167" s="1012"/>
      <c r="H167" s="184"/>
      <c r="I167" s="190"/>
      <c r="J167" s="1001"/>
      <c r="K167" s="1001"/>
      <c r="L167" s="186"/>
      <c r="M167" s="1001"/>
      <c r="N167" s="1013"/>
      <c r="O167" s="192"/>
      <c r="P167" s="1014"/>
      <c r="Q167" s="1014"/>
      <c r="R167" s="1001"/>
      <c r="S167" s="1014"/>
      <c r="T167" s="1013"/>
      <c r="U167" s="1015"/>
      <c r="V167" s="1014"/>
      <c r="W167" s="1014"/>
      <c r="X167" s="186"/>
      <c r="Y167" s="1014"/>
      <c r="Z167" s="1013"/>
      <c r="AA167" s="1015"/>
      <c r="AB167" s="1015"/>
      <c r="AC167" s="194"/>
      <c r="AD167" s="194"/>
      <c r="AE167" s="194"/>
      <c r="AF167" s="194"/>
      <c r="AG167" s="1013"/>
      <c r="AH167" s="1015"/>
      <c r="AJ167" s="79" t="str">
        <f t="shared" si="73"/>
        <v/>
      </c>
      <c r="AK167" s="16" t="str">
        <f t="shared" si="74"/>
        <v/>
      </c>
      <c r="AL167" s="16" t="str">
        <f t="shared" si="75"/>
        <v/>
      </c>
      <c r="AM167" s="16" t="str">
        <f t="shared" si="76"/>
        <v/>
      </c>
      <c r="AN167" s="16" t="str">
        <f t="shared" si="77"/>
        <v/>
      </c>
      <c r="AO167" s="55"/>
      <c r="AP167" s="98">
        <v>6</v>
      </c>
      <c r="AQ167" s="99"/>
      <c r="AR167" s="100">
        <f>IFERROR(AP167*AQ167*AS170,0)</f>
        <v>0</v>
      </c>
      <c r="AS167" s="55"/>
      <c r="AT167" s="167"/>
      <c r="AU167" s="167"/>
      <c r="AV167" s="164"/>
      <c r="AW167" s="169"/>
      <c r="AX167" s="94">
        <f t="shared" si="78"/>
        <v>0</v>
      </c>
      <c r="AY167" s="95">
        <f t="shared" si="79"/>
        <v>0</v>
      </c>
    </row>
    <row r="168" spans="1:51" ht="15" customHeight="1">
      <c r="A168" s="1001"/>
      <c r="B168" s="1010"/>
      <c r="C168" s="1016"/>
      <c r="D168" s="1016"/>
      <c r="E168" s="1016"/>
      <c r="F168" s="1017"/>
      <c r="G168" s="1017"/>
      <c r="H168" s="184"/>
      <c r="I168" s="190"/>
      <c r="J168" s="1001"/>
      <c r="K168" s="1001"/>
      <c r="L168" s="186"/>
      <c r="M168" s="1001"/>
      <c r="N168" s="1013"/>
      <c r="O168" s="192"/>
      <c r="P168" s="1014"/>
      <c r="Q168" s="1014"/>
      <c r="R168" s="1001"/>
      <c r="S168" s="1014"/>
      <c r="T168" s="1013"/>
      <c r="U168" s="1015"/>
      <c r="V168" s="1014"/>
      <c r="W168" s="1014"/>
      <c r="X168" s="1001"/>
      <c r="Y168" s="1014"/>
      <c r="Z168" s="1013"/>
      <c r="AA168" s="1015"/>
      <c r="AB168" s="1015"/>
      <c r="AC168" s="194"/>
      <c r="AD168" s="194"/>
      <c r="AE168" s="194"/>
      <c r="AF168" s="194"/>
      <c r="AG168" s="1013"/>
      <c r="AH168" s="1015"/>
      <c r="AJ168" s="79" t="str">
        <f t="shared" si="73"/>
        <v/>
      </c>
      <c r="AK168" s="16" t="str">
        <f t="shared" si="74"/>
        <v/>
      </c>
      <c r="AL168" s="16" t="str">
        <f t="shared" si="75"/>
        <v/>
      </c>
      <c r="AM168" s="16" t="str">
        <f t="shared" si="76"/>
        <v/>
      </c>
      <c r="AN168" s="16" t="str">
        <f t="shared" si="77"/>
        <v/>
      </c>
      <c r="AO168" s="55"/>
      <c r="AP168" s="98">
        <v>5</v>
      </c>
      <c r="AQ168" s="99"/>
      <c r="AR168" s="100">
        <f>IFERROR(AP168*AQ168*AS170,0)</f>
        <v>0</v>
      </c>
      <c r="AS168" s="104"/>
      <c r="AT168" s="165"/>
      <c r="AU168" s="167"/>
      <c r="AV168" s="168"/>
      <c r="AW168" s="169"/>
      <c r="AX168" s="94">
        <f t="shared" si="78"/>
        <v>0</v>
      </c>
      <c r="AY168" s="95">
        <f t="shared" si="79"/>
        <v>0</v>
      </c>
    </row>
    <row r="169" spans="1:51" ht="15" customHeight="1">
      <c r="A169" s="1001"/>
      <c r="B169" s="1010"/>
      <c r="C169" s="1011"/>
      <c r="D169" s="1011"/>
      <c r="E169" s="1011"/>
      <c r="F169" s="1012"/>
      <c r="G169" s="1012"/>
      <c r="H169" s="184"/>
      <c r="I169" s="190"/>
      <c r="J169" s="1001"/>
      <c r="K169" s="1001"/>
      <c r="L169" s="186"/>
      <c r="M169" s="1001"/>
      <c r="N169" s="1013"/>
      <c r="O169" s="192"/>
      <c r="P169" s="1014"/>
      <c r="Q169" s="1014"/>
      <c r="R169" s="1001"/>
      <c r="S169" s="1014"/>
      <c r="T169" s="1013"/>
      <c r="U169" s="1015"/>
      <c r="V169" s="1014"/>
      <c r="W169" s="1014"/>
      <c r="X169" s="1001"/>
      <c r="Y169" s="1014"/>
      <c r="Z169" s="1013"/>
      <c r="AA169" s="1015"/>
      <c r="AB169" s="1015"/>
      <c r="AC169" s="194"/>
      <c r="AD169" s="194"/>
      <c r="AE169" s="194"/>
      <c r="AF169" s="194"/>
      <c r="AG169" s="1013"/>
      <c r="AH169" s="1015"/>
      <c r="AJ169" s="79" t="str">
        <f t="shared" si="73"/>
        <v/>
      </c>
      <c r="AK169" s="16" t="str">
        <f t="shared" si="74"/>
        <v/>
      </c>
      <c r="AL169" s="16" t="str">
        <f t="shared" si="75"/>
        <v/>
      </c>
      <c r="AM169" s="16" t="str">
        <f t="shared" si="76"/>
        <v/>
      </c>
      <c r="AN169" s="16" t="str">
        <f t="shared" si="77"/>
        <v/>
      </c>
      <c r="AO169" s="55"/>
      <c r="AP169" s="98">
        <v>4</v>
      </c>
      <c r="AQ169" s="99"/>
      <c r="AR169" s="100">
        <f>IFERROR(AP169*AQ169*AS170,0)</f>
        <v>0</v>
      </c>
      <c r="AS169" s="104"/>
      <c r="AT169" s="167"/>
      <c r="AU169" s="167"/>
      <c r="AV169" s="168"/>
      <c r="AW169" s="169"/>
      <c r="AX169" s="94">
        <f t="shared" si="78"/>
        <v>0</v>
      </c>
      <c r="AY169" s="95">
        <f t="shared" si="79"/>
        <v>0</v>
      </c>
    </row>
    <row r="170" spans="1:51" ht="15" customHeight="1">
      <c r="A170" s="1001"/>
      <c r="B170" s="1010"/>
      <c r="C170" s="1011"/>
      <c r="D170" s="188"/>
      <c r="E170" s="1011"/>
      <c r="F170" s="1012"/>
      <c r="G170" s="1012"/>
      <c r="H170" s="184"/>
      <c r="I170" s="190"/>
      <c r="J170" s="1001"/>
      <c r="K170" s="1001"/>
      <c r="L170" s="186"/>
      <c r="M170" s="1001"/>
      <c r="N170" s="1013"/>
      <c r="O170" s="192"/>
      <c r="P170" s="1014"/>
      <c r="Q170" s="1014"/>
      <c r="R170" s="1001"/>
      <c r="S170" s="1014"/>
      <c r="T170" s="1013"/>
      <c r="U170" s="1015"/>
      <c r="V170" s="1014"/>
      <c r="W170" s="1014"/>
      <c r="X170" s="1001"/>
      <c r="Y170" s="1014"/>
      <c r="Z170" s="1013"/>
      <c r="AA170" s="1015"/>
      <c r="AB170" s="1015"/>
      <c r="AC170" s="194"/>
      <c r="AD170" s="194"/>
      <c r="AE170" s="194"/>
      <c r="AF170" s="194"/>
      <c r="AG170" s="1013"/>
      <c r="AH170" s="1015"/>
      <c r="AJ170" s="79" t="str">
        <f t="shared" si="73"/>
        <v/>
      </c>
      <c r="AK170" s="16" t="str">
        <f t="shared" si="74"/>
        <v/>
      </c>
      <c r="AL170" s="16" t="str">
        <f t="shared" si="75"/>
        <v/>
      </c>
      <c r="AM170" s="16" t="str">
        <f t="shared" si="76"/>
        <v/>
      </c>
      <c r="AN170" s="16" t="str">
        <f t="shared" si="77"/>
        <v/>
      </c>
      <c r="AO170" s="55"/>
      <c r="AP170" s="98">
        <v>3</v>
      </c>
      <c r="AQ170" s="109"/>
      <c r="AR170" s="100">
        <f>IFERROR(AP170*AQ170*AS170,0)</f>
        <v>0</v>
      </c>
      <c r="AS170" s="48">
        <f>IFERROR(AR171/((AP170*AQ170)+(AP169*AQ169)+(AP168*AQ168)+(AP167*AQ167)),0)</f>
        <v>0</v>
      </c>
      <c r="AT170" s="167"/>
      <c r="AU170" s="167"/>
      <c r="AV170" s="168"/>
      <c r="AW170" s="169"/>
      <c r="AX170" s="94">
        <f t="shared" si="78"/>
        <v>0</v>
      </c>
      <c r="AY170" s="95">
        <f t="shared" si="79"/>
        <v>0</v>
      </c>
    </row>
    <row r="171" spans="1:51" ht="14.25" customHeight="1" thickBot="1">
      <c r="A171" s="1001"/>
      <c r="B171" s="1010"/>
      <c r="C171" s="1011"/>
      <c r="D171" s="1011"/>
      <c r="E171" s="1011"/>
      <c r="F171" s="1012"/>
      <c r="G171" s="1012"/>
      <c r="H171" s="184"/>
      <c r="I171" s="190"/>
      <c r="J171" s="1001"/>
      <c r="K171" s="1001"/>
      <c r="L171" s="186"/>
      <c r="M171" s="1001"/>
      <c r="N171" s="1013"/>
      <c r="O171" s="192"/>
      <c r="P171" s="185"/>
      <c r="Q171" s="1014"/>
      <c r="R171" s="1001"/>
      <c r="S171" s="1014"/>
      <c r="T171" s="1013"/>
      <c r="U171" s="1015"/>
      <c r="V171" s="185"/>
      <c r="W171" s="1014"/>
      <c r="X171" s="1001"/>
      <c r="Y171" s="1014"/>
      <c r="Z171" s="1013"/>
      <c r="AA171" s="1015"/>
      <c r="AB171" s="1015"/>
      <c r="AC171" s="194"/>
      <c r="AD171" s="194"/>
      <c r="AE171" s="194"/>
      <c r="AF171" s="194"/>
      <c r="AG171" s="1013"/>
      <c r="AH171" s="1015"/>
      <c r="AJ171" s="79" t="str">
        <f t="shared" si="73"/>
        <v/>
      </c>
      <c r="AK171" s="16" t="str">
        <f t="shared" si="74"/>
        <v/>
      </c>
      <c r="AL171" s="16" t="str">
        <f t="shared" si="75"/>
        <v/>
      </c>
      <c r="AM171" s="16" t="str">
        <f t="shared" si="76"/>
        <v/>
      </c>
      <c r="AN171" s="16" t="str">
        <f t="shared" si="77"/>
        <v/>
      </c>
      <c r="AO171" s="55"/>
      <c r="AP171" s="111"/>
      <c r="AQ171" s="112"/>
      <c r="AR171" s="113"/>
      <c r="AS171" s="104"/>
      <c r="AT171" s="165"/>
      <c r="AU171" s="167"/>
      <c r="AV171" s="168"/>
      <c r="AW171" s="169"/>
      <c r="AX171" s="94">
        <f t="shared" si="78"/>
        <v>0</v>
      </c>
      <c r="AY171" s="95">
        <f t="shared" si="79"/>
        <v>0</v>
      </c>
    </row>
    <row r="172" spans="1:51" ht="14.25" customHeight="1" thickBot="1">
      <c r="A172" s="1001"/>
      <c r="B172" s="1010"/>
      <c r="C172" s="1011"/>
      <c r="D172" s="1011"/>
      <c r="E172" s="1011"/>
      <c r="F172" s="1012"/>
      <c r="G172" s="1012"/>
      <c r="H172" s="184"/>
      <c r="I172" s="190"/>
      <c r="J172" s="1001"/>
      <c r="K172" s="1001"/>
      <c r="L172" s="186"/>
      <c r="M172" s="1001"/>
      <c r="N172" s="1013"/>
      <c r="O172" s="192"/>
      <c r="P172" s="1014"/>
      <c r="Q172" s="1014"/>
      <c r="R172" s="1001"/>
      <c r="S172" s="1014"/>
      <c r="T172" s="1013"/>
      <c r="U172" s="1015"/>
      <c r="V172" s="1014"/>
      <c r="W172" s="1014"/>
      <c r="X172" s="1001"/>
      <c r="Y172" s="1014"/>
      <c r="Z172" s="1013"/>
      <c r="AA172" s="1015"/>
      <c r="AB172" s="1015"/>
      <c r="AC172" s="194"/>
      <c r="AD172" s="194"/>
      <c r="AE172" s="194"/>
      <c r="AF172" s="194"/>
      <c r="AG172" s="1013"/>
      <c r="AH172" s="1015"/>
      <c r="AJ172" s="79" t="str">
        <f t="shared" si="73"/>
        <v/>
      </c>
      <c r="AK172" s="16" t="str">
        <f t="shared" si="74"/>
        <v/>
      </c>
      <c r="AL172" s="16" t="str">
        <f t="shared" si="75"/>
        <v/>
      </c>
      <c r="AM172" s="16" t="str">
        <f t="shared" si="76"/>
        <v/>
      </c>
      <c r="AN172" s="16" t="str">
        <f t="shared" si="77"/>
        <v/>
      </c>
      <c r="AO172" s="55"/>
      <c r="AP172" s="1250" t="s">
        <v>7</v>
      </c>
      <c r="AQ172" s="1250"/>
      <c r="AR172" s="1250"/>
      <c r="AS172" s="104"/>
      <c r="AT172" s="167"/>
      <c r="AU172" s="167"/>
      <c r="AV172" s="168"/>
      <c r="AW172" s="169"/>
      <c r="AX172" s="94">
        <f t="shared" si="78"/>
        <v>0</v>
      </c>
      <c r="AY172" s="95">
        <f t="shared" si="79"/>
        <v>0</v>
      </c>
    </row>
    <row r="173" spans="1:51" ht="15" customHeight="1" thickBot="1">
      <c r="A173" s="1001"/>
      <c r="B173" s="1010"/>
      <c r="C173" s="1011"/>
      <c r="D173" s="1011"/>
      <c r="E173" s="1011"/>
      <c r="F173" s="1012"/>
      <c r="G173" s="1012"/>
      <c r="H173" s="184"/>
      <c r="I173" s="190"/>
      <c r="J173" s="1001"/>
      <c r="K173" s="1001"/>
      <c r="L173" s="186"/>
      <c r="M173" s="1001"/>
      <c r="N173" s="1013"/>
      <c r="O173" s="192"/>
      <c r="P173" s="1014"/>
      <c r="Q173" s="1014"/>
      <c r="R173" s="1001"/>
      <c r="S173" s="1014"/>
      <c r="T173" s="1013"/>
      <c r="U173" s="1015"/>
      <c r="V173" s="1014"/>
      <c r="W173" s="185"/>
      <c r="X173" s="1001"/>
      <c r="Y173" s="1014"/>
      <c r="Z173" s="1013"/>
      <c r="AA173" s="1015"/>
      <c r="AB173" s="1015"/>
      <c r="AC173" s="194"/>
      <c r="AD173" s="194"/>
      <c r="AE173" s="194"/>
      <c r="AF173" s="194"/>
      <c r="AG173" s="1013"/>
      <c r="AH173" s="1015"/>
      <c r="AJ173" s="79" t="str">
        <f t="shared" si="73"/>
        <v/>
      </c>
      <c r="AK173" s="16" t="str">
        <f t="shared" si="74"/>
        <v/>
      </c>
      <c r="AL173" s="16" t="str">
        <f t="shared" si="75"/>
        <v/>
      </c>
      <c r="AM173" s="16" t="str">
        <f t="shared" si="76"/>
        <v/>
      </c>
      <c r="AN173" s="16" t="str">
        <f t="shared" si="77"/>
        <v/>
      </c>
      <c r="AO173" s="73">
        <v>160</v>
      </c>
      <c r="AP173" s="1250"/>
      <c r="AQ173" s="1250"/>
      <c r="AR173" s="1250"/>
      <c r="AS173" s="55"/>
      <c r="AT173" s="167"/>
      <c r="AU173" s="165"/>
      <c r="AV173" s="168"/>
      <c r="AW173" s="169"/>
      <c r="AX173" s="94">
        <f t="shared" si="78"/>
        <v>0</v>
      </c>
      <c r="AY173" s="95">
        <f t="shared" si="79"/>
        <v>0</v>
      </c>
    </row>
    <row r="174" spans="1:51" ht="15" customHeight="1" thickBot="1">
      <c r="A174" s="1001"/>
      <c r="B174" s="1010"/>
      <c r="C174" s="1011"/>
      <c r="D174" s="1011"/>
      <c r="E174" s="1011"/>
      <c r="F174" s="1012"/>
      <c r="G174" s="1012"/>
      <c r="H174" s="184"/>
      <c r="I174" s="190"/>
      <c r="J174" s="1001"/>
      <c r="K174" s="1001"/>
      <c r="L174" s="186"/>
      <c r="M174" s="1001"/>
      <c r="N174" s="1013"/>
      <c r="O174" s="192"/>
      <c r="P174" s="1014"/>
      <c r="Q174" s="185"/>
      <c r="R174" s="1018"/>
      <c r="S174" s="1014"/>
      <c r="T174" s="1013"/>
      <c r="U174" s="1015"/>
      <c r="V174" s="1014"/>
      <c r="W174" s="185"/>
      <c r="X174" s="1001"/>
      <c r="Y174" s="1014"/>
      <c r="Z174" s="1013"/>
      <c r="AA174" s="1015"/>
      <c r="AB174" s="1015"/>
      <c r="AC174" s="194"/>
      <c r="AD174" s="194"/>
      <c r="AE174" s="194"/>
      <c r="AF174" s="194"/>
      <c r="AG174" s="1013"/>
      <c r="AH174" s="1015"/>
      <c r="AJ174" s="79" t="str">
        <f t="shared" si="73"/>
        <v/>
      </c>
      <c r="AK174" s="16" t="str">
        <f t="shared" si="74"/>
        <v/>
      </c>
      <c r="AL174" s="16" t="str">
        <f t="shared" si="75"/>
        <v/>
      </c>
      <c r="AM174" s="16" t="str">
        <f t="shared" si="76"/>
        <v/>
      </c>
      <c r="AN174" s="16" t="str">
        <f t="shared" si="77"/>
        <v/>
      </c>
      <c r="AO174" s="55"/>
      <c r="AP174" s="1250"/>
      <c r="AQ174" s="1250"/>
      <c r="AR174" s="1250"/>
      <c r="AS174" s="55"/>
      <c r="AT174" s="167"/>
      <c r="AU174" s="165"/>
      <c r="AV174" s="168"/>
      <c r="AW174" s="169"/>
      <c r="AX174" s="94">
        <f t="shared" si="78"/>
        <v>0</v>
      </c>
      <c r="AY174" s="95">
        <f t="shared" si="79"/>
        <v>0</v>
      </c>
    </row>
    <row r="175" spans="1:51" ht="16.5" customHeight="1">
      <c r="A175" s="1001"/>
      <c r="B175" s="1010"/>
      <c r="C175" s="1011"/>
      <c r="D175" s="1011"/>
      <c r="E175" s="1011"/>
      <c r="F175" s="1012"/>
      <c r="G175" s="1012"/>
      <c r="H175" s="184"/>
      <c r="I175" s="190"/>
      <c r="J175" s="1001"/>
      <c r="K175" s="1001"/>
      <c r="L175" s="186"/>
      <c r="M175" s="1001"/>
      <c r="N175" s="1013"/>
      <c r="O175" s="192"/>
      <c r="P175" s="1014"/>
      <c r="Q175" s="185"/>
      <c r="R175" s="1014"/>
      <c r="S175" s="1014"/>
      <c r="T175" s="1013"/>
      <c r="U175" s="1015"/>
      <c r="V175" s="1014"/>
      <c r="W175" s="185"/>
      <c r="X175" s="1001"/>
      <c r="Y175" s="1014"/>
      <c r="Z175" s="1013"/>
      <c r="AA175" s="1015"/>
      <c r="AB175" s="1015"/>
      <c r="AC175" s="194"/>
      <c r="AD175" s="194"/>
      <c r="AE175" s="194"/>
      <c r="AF175" s="194"/>
      <c r="AG175" s="1013"/>
      <c r="AH175" s="1015"/>
      <c r="AJ175" s="79" t="str">
        <f t="shared" si="73"/>
        <v/>
      </c>
      <c r="AK175" s="16" t="str">
        <f t="shared" si="74"/>
        <v/>
      </c>
      <c r="AL175" s="16" t="str">
        <f t="shared" si="75"/>
        <v/>
      </c>
      <c r="AM175" s="16" t="str">
        <f t="shared" si="76"/>
        <v/>
      </c>
      <c r="AN175" s="16" t="str">
        <f t="shared" si="77"/>
        <v/>
      </c>
      <c r="AO175" s="55"/>
      <c r="AP175" s="117">
        <v>6</v>
      </c>
      <c r="AQ175" s="118"/>
      <c r="AR175" s="100">
        <f>IFERROR(AP175*AQ175*AS178,0)</f>
        <v>0</v>
      </c>
      <c r="AS175" s="55"/>
      <c r="AT175" s="167"/>
      <c r="AU175" s="165"/>
      <c r="AV175" s="168"/>
      <c r="AW175" s="169"/>
      <c r="AX175" s="94">
        <f t="shared" si="78"/>
        <v>0</v>
      </c>
      <c r="AY175" s="95">
        <f t="shared" si="79"/>
        <v>0</v>
      </c>
    </row>
    <row r="176" spans="1:51" ht="16.5" customHeight="1">
      <c r="A176" s="1001"/>
      <c r="B176" s="1010"/>
      <c r="C176" s="1011"/>
      <c r="D176" s="1011"/>
      <c r="E176" s="1011"/>
      <c r="F176" s="1012"/>
      <c r="G176" s="1012"/>
      <c r="H176" s="184"/>
      <c r="I176" s="190"/>
      <c r="J176" s="1001"/>
      <c r="K176" s="1001"/>
      <c r="L176" s="186"/>
      <c r="M176" s="1001"/>
      <c r="N176" s="1013"/>
      <c r="O176" s="192"/>
      <c r="P176" s="1014"/>
      <c r="Q176" s="184"/>
      <c r="R176" s="1018"/>
      <c r="S176" s="1019"/>
      <c r="T176" s="1013"/>
      <c r="U176" s="1015"/>
      <c r="V176" s="1014"/>
      <c r="W176" s="185"/>
      <c r="X176" s="1001"/>
      <c r="Y176" s="1014"/>
      <c r="Z176" s="1013"/>
      <c r="AA176" s="1015"/>
      <c r="AB176" s="1015"/>
      <c r="AC176" s="194"/>
      <c r="AD176" s="194"/>
      <c r="AE176" s="194"/>
      <c r="AF176" s="194"/>
      <c r="AG176" s="1013"/>
      <c r="AH176" s="1015"/>
      <c r="AJ176" s="79" t="str">
        <f t="shared" si="73"/>
        <v/>
      </c>
      <c r="AK176" s="16" t="str">
        <f t="shared" si="74"/>
        <v/>
      </c>
      <c r="AL176" s="16" t="str">
        <f t="shared" si="75"/>
        <v/>
      </c>
      <c r="AM176" s="16" t="str">
        <f t="shared" si="76"/>
        <v/>
      </c>
      <c r="AN176" s="16" t="str">
        <f t="shared" si="77"/>
        <v/>
      </c>
      <c r="AO176" s="55"/>
      <c r="AP176" s="98">
        <v>5</v>
      </c>
      <c r="AQ176" s="99"/>
      <c r="AR176" s="100">
        <f>IFERROR(AP176*AQ176*AS178,0)</f>
        <v>0</v>
      </c>
      <c r="AS176" s="55"/>
      <c r="AT176" s="177"/>
      <c r="AU176" s="178"/>
      <c r="AV176" s="177"/>
      <c r="AW176" s="179"/>
      <c r="AX176" s="94">
        <f t="shared" si="78"/>
        <v>0</v>
      </c>
      <c r="AY176" s="95">
        <f t="shared" si="79"/>
        <v>0</v>
      </c>
    </row>
    <row r="177" spans="1:51" ht="15.75" customHeight="1">
      <c r="A177" s="1001"/>
      <c r="B177" s="1010"/>
      <c r="C177" s="1020"/>
      <c r="D177" s="1021"/>
      <c r="E177" s="1020"/>
      <c r="F177" s="1022"/>
      <c r="G177" s="1022"/>
      <c r="H177" s="184"/>
      <c r="I177" s="190"/>
      <c r="J177" s="1001"/>
      <c r="K177" s="1001"/>
      <c r="L177" s="186"/>
      <c r="M177" s="1001"/>
      <c r="N177" s="1013"/>
      <c r="O177" s="192"/>
      <c r="P177" s="1019"/>
      <c r="Q177" s="184"/>
      <c r="R177" s="1018"/>
      <c r="S177" s="1019"/>
      <c r="T177" s="1013"/>
      <c r="U177" s="1015"/>
      <c r="V177" s="1014"/>
      <c r="W177" s="185"/>
      <c r="X177" s="1001"/>
      <c r="Y177" s="1014"/>
      <c r="Z177" s="1013"/>
      <c r="AA177" s="1015"/>
      <c r="AB177" s="1015"/>
      <c r="AC177" s="194"/>
      <c r="AD177" s="194"/>
      <c r="AE177" s="194"/>
      <c r="AF177" s="194"/>
      <c r="AG177" s="1013"/>
      <c r="AH177" s="1015"/>
      <c r="AJ177" s="79" t="str">
        <f t="shared" si="73"/>
        <v/>
      </c>
      <c r="AK177" s="16" t="str">
        <f t="shared" si="74"/>
        <v/>
      </c>
      <c r="AL177" s="16" t="str">
        <f t="shared" si="75"/>
        <v/>
      </c>
      <c r="AM177" s="16" t="str">
        <f t="shared" si="76"/>
        <v/>
      </c>
      <c r="AN177" s="16" t="str">
        <f t="shared" si="77"/>
        <v/>
      </c>
      <c r="AO177" s="104"/>
      <c r="AP177" s="98">
        <v>4</v>
      </c>
      <c r="AQ177" s="99"/>
      <c r="AR177" s="100">
        <f>IFERROR(AP177*AQ177*AS178,0)</f>
        <v>0</v>
      </c>
      <c r="AS177" s="55"/>
      <c r="AT177" s="167"/>
      <c r="AU177" s="165"/>
      <c r="AV177" s="168"/>
      <c r="AW177" s="169"/>
      <c r="AX177" s="94">
        <f t="shared" si="78"/>
        <v>0</v>
      </c>
      <c r="AY177" s="95">
        <f t="shared" si="79"/>
        <v>0</v>
      </c>
    </row>
    <row r="178" spans="1:51" ht="15" customHeight="1">
      <c r="A178" s="1001"/>
      <c r="B178" s="1001"/>
      <c r="C178" s="1023"/>
      <c r="D178" s="1023"/>
      <c r="E178" s="1023"/>
      <c r="F178" s="1024"/>
      <c r="G178" s="1024"/>
      <c r="H178" s="1001"/>
      <c r="I178" s="1001"/>
      <c r="J178" s="201"/>
      <c r="K178" s="201"/>
      <c r="L178" s="201"/>
      <c r="M178" s="201"/>
      <c r="N178" s="1025"/>
      <c r="O178" s="1002"/>
      <c r="P178" s="1001"/>
      <c r="Q178" s="1001"/>
      <c r="R178" s="1001"/>
      <c r="S178" s="1003"/>
      <c r="T178" s="1001"/>
      <c r="U178" s="1004"/>
      <c r="V178" s="1001"/>
      <c r="W178" s="1001"/>
      <c r="X178" s="1001"/>
      <c r="Y178" s="1001"/>
      <c r="Z178" s="1001"/>
      <c r="AA178" s="1004"/>
      <c r="AB178" s="1001"/>
      <c r="AC178" s="1001"/>
      <c r="AD178" s="1001"/>
      <c r="AE178" s="1001"/>
      <c r="AF178" s="1001"/>
      <c r="AG178" s="54"/>
      <c r="AH178" s="54"/>
      <c r="AK178" s="2"/>
      <c r="AL178" s="2"/>
      <c r="AM178" s="2"/>
      <c r="AN178" s="2"/>
      <c r="AO178" s="55"/>
      <c r="AP178" s="98">
        <v>3</v>
      </c>
      <c r="AQ178" s="109"/>
      <c r="AR178" s="100">
        <f>IFERROR(AP178*AQ178*AS178,0)</f>
        <v>0</v>
      </c>
      <c r="AS178" s="48">
        <f>IFERROR(AR179/((AP178*AQ178)+(AP177*AQ177)+(AP176*AQ176)+(AP175*AQ175)),0)</f>
        <v>0</v>
      </c>
    </row>
    <row r="179" spans="1:51" ht="15" customHeight="1" thickBot="1">
      <c r="A179" s="1001"/>
      <c r="B179" s="1001"/>
      <c r="C179" s="1023"/>
      <c r="D179" s="1023"/>
      <c r="E179" s="1023"/>
      <c r="F179" s="1024"/>
      <c r="G179" s="1024"/>
      <c r="H179" s="184"/>
      <c r="I179" s="190"/>
      <c r="J179" s="1026"/>
      <c r="K179" s="1026"/>
      <c r="L179" s="1026"/>
      <c r="M179" s="1026"/>
      <c r="N179" s="1013"/>
      <c r="O179" s="192"/>
      <c r="P179" s="1027"/>
      <c r="Q179" s="1027"/>
      <c r="R179" s="1027"/>
      <c r="S179" s="1027"/>
      <c r="T179" s="1018"/>
      <c r="U179" s="1018"/>
      <c r="V179" s="1027"/>
      <c r="W179" s="1027"/>
      <c r="X179" s="1027"/>
      <c r="Y179" s="1027"/>
      <c r="Z179" s="1001"/>
      <c r="AA179" s="1001"/>
      <c r="AB179" s="1001"/>
      <c r="AC179" s="1027"/>
      <c r="AD179" s="1027"/>
      <c r="AE179" s="1027"/>
      <c r="AF179" s="1027"/>
      <c r="AG179" s="54"/>
      <c r="AH179" s="54"/>
      <c r="AK179" s="154">
        <f>SUM(AK166:AK178)</f>
        <v>0</v>
      </c>
      <c r="AL179" s="154">
        <f>SUM(AL166:AL178)</f>
        <v>0</v>
      </c>
      <c r="AM179" s="154">
        <f>SUM(AM166:AM178)</f>
        <v>0</v>
      </c>
      <c r="AN179" s="154">
        <f>SUM(AN166:AN178)</f>
        <v>0</v>
      </c>
      <c r="AO179" s="55"/>
      <c r="AP179" s="111"/>
      <c r="AQ179" s="112"/>
      <c r="AR179" s="155"/>
      <c r="AS179" s="55"/>
    </row>
    <row r="180" spans="1:51" ht="15.75" customHeight="1">
      <c r="A180" s="1028"/>
      <c r="B180" s="1001"/>
      <c r="C180" s="1001"/>
      <c r="D180" s="1001"/>
      <c r="E180" s="1001"/>
      <c r="F180" s="1001"/>
      <c r="G180" s="1001"/>
      <c r="H180" s="1018"/>
      <c r="I180" s="190"/>
      <c r="J180" s="1026"/>
      <c r="K180" s="1026"/>
      <c r="L180" s="1026"/>
      <c r="M180" s="1026"/>
      <c r="N180" s="1013"/>
      <c r="O180" s="192"/>
      <c r="P180" s="1027"/>
      <c r="Q180" s="1027"/>
      <c r="R180" s="1027"/>
      <c r="S180" s="1027"/>
      <c r="T180" s="1029"/>
      <c r="U180" s="1030"/>
      <c r="V180" s="1027"/>
      <c r="W180" s="1027"/>
      <c r="X180" s="1027"/>
      <c r="Y180" s="1027"/>
      <c r="Z180" s="1031"/>
      <c r="AA180" s="1032"/>
      <c r="AB180" s="1033"/>
      <c r="AC180" s="1027"/>
      <c r="AD180" s="1027"/>
      <c r="AE180" s="1027"/>
      <c r="AF180" s="1027"/>
      <c r="AG180" s="54"/>
      <c r="AH180" s="1030"/>
      <c r="AK180" s="48"/>
      <c r="AL180" s="48"/>
      <c r="AM180" s="48"/>
      <c r="AN180" s="48"/>
      <c r="AO180" s="55"/>
      <c r="AP180" s="55"/>
      <c r="AQ180" s="55"/>
      <c r="AR180" s="157">
        <f>AR171+AR179</f>
        <v>0</v>
      </c>
      <c r="AS180" s="55"/>
    </row>
    <row r="181" spans="1:51" ht="19.5" customHeight="1" thickBot="1">
      <c r="A181" s="1007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007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54"/>
      <c r="AH181" s="54"/>
      <c r="AK181" s="48"/>
      <c r="AL181" s="48"/>
      <c r="AM181" s="48"/>
      <c r="AN181" s="48"/>
      <c r="AO181" s="48"/>
      <c r="AP181" s="48"/>
      <c r="AQ181" s="48"/>
      <c r="AR181" s="48"/>
      <c r="AS181" s="48"/>
    </row>
    <row r="182" spans="1:51" ht="14.25" customHeight="1" thickBot="1">
      <c r="A182" s="1252"/>
      <c r="B182" s="1253"/>
      <c r="C182" s="1254"/>
      <c r="D182" s="1254"/>
      <c r="E182" s="1254"/>
      <c r="F182" s="1254"/>
      <c r="G182" s="1254"/>
      <c r="H182" s="1253"/>
      <c r="I182" s="1254"/>
      <c r="J182" s="1253"/>
      <c r="K182" s="1253"/>
      <c r="L182" s="1253"/>
      <c r="M182" s="1253"/>
      <c r="N182" s="1255"/>
      <c r="O182" s="1258"/>
      <c r="P182" s="1254"/>
      <c r="Q182" s="1254"/>
      <c r="R182" s="1254"/>
      <c r="S182" s="1254"/>
      <c r="T182" s="1259"/>
      <c r="U182" s="1258"/>
      <c r="V182" s="1254"/>
      <c r="W182" s="1254"/>
      <c r="X182" s="1254"/>
      <c r="Y182" s="1254"/>
      <c r="Z182" s="1259"/>
      <c r="AA182" s="1258"/>
      <c r="AB182" s="1258"/>
      <c r="AC182" s="1260"/>
      <c r="AD182" s="1260"/>
      <c r="AE182" s="1260"/>
      <c r="AF182" s="1260"/>
      <c r="AG182" s="1259"/>
      <c r="AH182" s="1258"/>
      <c r="AK182" s="1257" t="s">
        <v>37</v>
      </c>
      <c r="AL182" s="1257"/>
      <c r="AM182" s="1257"/>
      <c r="AN182" s="1257"/>
      <c r="AO182" s="55"/>
      <c r="AP182" s="1250" t="s">
        <v>7</v>
      </c>
      <c r="AQ182" s="1250"/>
      <c r="AR182" s="1250"/>
      <c r="AS182" s="55"/>
      <c r="AT182" s="1251" t="s">
        <v>38</v>
      </c>
      <c r="AU182" s="1251"/>
      <c r="AV182" s="1251"/>
      <c r="AW182" s="1251"/>
      <c r="AX182" s="94" t="s">
        <v>39</v>
      </c>
      <c r="AY182" s="95" t="s">
        <v>12</v>
      </c>
    </row>
    <row r="183" spans="1:51" ht="18" customHeight="1" thickBot="1">
      <c r="A183" s="1252"/>
      <c r="B183" s="1252"/>
      <c r="C183" s="186"/>
      <c r="D183" s="186"/>
      <c r="E183" s="186"/>
      <c r="F183" s="186"/>
      <c r="G183" s="186"/>
      <c r="H183" s="1253"/>
      <c r="I183" s="1254"/>
      <c r="J183" s="185"/>
      <c r="K183" s="185"/>
      <c r="L183" s="185"/>
      <c r="M183" s="185"/>
      <c r="N183" s="1255"/>
      <c r="O183" s="1258"/>
      <c r="P183" s="186"/>
      <c r="Q183" s="185"/>
      <c r="R183" s="1008"/>
      <c r="S183" s="185"/>
      <c r="T183" s="1259"/>
      <c r="U183" s="1259"/>
      <c r="V183" s="186"/>
      <c r="W183" s="185"/>
      <c r="X183" s="1008"/>
      <c r="Y183" s="185"/>
      <c r="Z183" s="1259"/>
      <c r="AA183" s="1259"/>
      <c r="AB183" s="1258"/>
      <c r="AC183" s="186"/>
      <c r="AD183" s="185"/>
      <c r="AE183" s="1008"/>
      <c r="AF183" s="185"/>
      <c r="AG183" s="1259"/>
      <c r="AH183" s="1258"/>
      <c r="AK183" s="162" t="s">
        <v>49</v>
      </c>
      <c r="AL183" s="162" t="s">
        <v>50</v>
      </c>
      <c r="AM183" s="162" t="s">
        <v>51</v>
      </c>
      <c r="AN183" s="162" t="s">
        <v>52</v>
      </c>
      <c r="AO183" s="73">
        <v>130</v>
      </c>
      <c r="AP183" s="1250"/>
      <c r="AQ183" s="1250"/>
      <c r="AR183" s="1250"/>
      <c r="AS183" s="55"/>
      <c r="AT183" s="164" t="s">
        <v>45</v>
      </c>
      <c r="AU183" s="165" t="s">
        <v>46</v>
      </c>
      <c r="AV183" s="166" t="s">
        <v>47</v>
      </c>
      <c r="AW183" s="161" t="s">
        <v>48</v>
      </c>
      <c r="AX183" s="94"/>
      <c r="AY183" s="95"/>
    </row>
    <row r="184" spans="1:51" ht="15" customHeight="1" thickBot="1">
      <c r="A184" s="1009"/>
      <c r="B184" s="1010"/>
      <c r="C184" s="1011"/>
      <c r="D184" s="1011"/>
      <c r="E184" s="1011"/>
      <c r="F184" s="1012"/>
      <c r="G184" s="1012"/>
      <c r="H184" s="184"/>
      <c r="I184" s="190"/>
      <c r="J184" s="1001"/>
      <c r="K184" s="1001"/>
      <c r="L184" s="186"/>
      <c r="M184" s="1001"/>
      <c r="N184" s="1013"/>
      <c r="O184" s="192"/>
      <c r="P184" s="1014"/>
      <c r="Q184" s="1014"/>
      <c r="R184" s="1001"/>
      <c r="S184" s="1014"/>
      <c r="T184" s="1013"/>
      <c r="U184" s="1015"/>
      <c r="V184" s="1014"/>
      <c r="W184" s="1014"/>
      <c r="X184" s="1001"/>
      <c r="Y184" s="1014"/>
      <c r="Z184" s="1013"/>
      <c r="AA184" s="1015"/>
      <c r="AB184" s="1015"/>
      <c r="AC184" s="194"/>
      <c r="AD184" s="194"/>
      <c r="AE184" s="194"/>
      <c r="AF184" s="194"/>
      <c r="AG184" s="1013"/>
      <c r="AH184" s="1015"/>
      <c r="AJ184" s="79" t="str">
        <f t="shared" ref="AJ184:AJ195" si="80">IF(H184=130,0.132335,IF(H184=100,0.0785,IF(H184=110,0.095,IF(H184=160,0.198005,""))))</f>
        <v/>
      </c>
      <c r="AK184" s="16" t="str">
        <f t="shared" ref="AK184:AK195" si="81">IFERROR(P184*3*AJ184,"")</f>
        <v/>
      </c>
      <c r="AL184" s="16" t="str">
        <f t="shared" ref="AL184:AL195" si="82">IFERROR(Q184*4*AJ184,"")</f>
        <v/>
      </c>
      <c r="AM184" s="16" t="str">
        <f t="shared" ref="AM184:AM195" si="83">IFERROR(R184*5*AJ184,"")</f>
        <v/>
      </c>
      <c r="AN184" s="16" t="str">
        <f t="shared" ref="AN184:AN195" si="84">IFERROR(S184*6*AJ184,"")</f>
        <v/>
      </c>
      <c r="AO184" s="55"/>
      <c r="AP184" s="1250"/>
      <c r="AQ184" s="1250"/>
      <c r="AR184" s="1250"/>
      <c r="AS184" s="55"/>
      <c r="AT184" s="167"/>
      <c r="AU184" s="167"/>
      <c r="AV184" s="168"/>
      <c r="AW184" s="169"/>
      <c r="AX184" s="94">
        <f t="shared" ref="AX184:AX195" si="85">AT184*3+AU184*4+AV184*5+AW184*6</f>
        <v>0</v>
      </c>
      <c r="AY184" s="95">
        <f t="shared" ref="AY184:AY195" si="86">AX184*I184</f>
        <v>0</v>
      </c>
    </row>
    <row r="185" spans="1:51" ht="15" customHeight="1">
      <c r="A185" s="1001"/>
      <c r="B185" s="1010"/>
      <c r="C185" s="1011"/>
      <c r="D185" s="1011"/>
      <c r="E185" s="1011"/>
      <c r="F185" s="1012"/>
      <c r="G185" s="1012"/>
      <c r="H185" s="184"/>
      <c r="I185" s="190"/>
      <c r="J185" s="1001"/>
      <c r="K185" s="1001"/>
      <c r="L185" s="186"/>
      <c r="M185" s="1001"/>
      <c r="N185" s="1013"/>
      <c r="O185" s="192"/>
      <c r="P185" s="1014"/>
      <c r="Q185" s="1014"/>
      <c r="R185" s="1001"/>
      <c r="S185" s="1014"/>
      <c r="T185" s="1013"/>
      <c r="U185" s="1015"/>
      <c r="V185" s="1014"/>
      <c r="W185" s="1014"/>
      <c r="X185" s="186"/>
      <c r="Y185" s="1014"/>
      <c r="Z185" s="1013"/>
      <c r="AA185" s="1015"/>
      <c r="AB185" s="1015"/>
      <c r="AC185" s="194"/>
      <c r="AD185" s="194"/>
      <c r="AE185" s="194"/>
      <c r="AF185" s="194"/>
      <c r="AG185" s="1013"/>
      <c r="AH185" s="1015"/>
      <c r="AJ185" s="79" t="str">
        <f t="shared" si="80"/>
        <v/>
      </c>
      <c r="AK185" s="16" t="str">
        <f t="shared" si="81"/>
        <v/>
      </c>
      <c r="AL185" s="16" t="str">
        <f t="shared" si="82"/>
        <v/>
      </c>
      <c r="AM185" s="16" t="str">
        <f t="shared" si="83"/>
        <v/>
      </c>
      <c r="AN185" s="16" t="str">
        <f t="shared" si="84"/>
        <v/>
      </c>
      <c r="AO185" s="55"/>
      <c r="AP185" s="98">
        <v>6</v>
      </c>
      <c r="AQ185" s="99"/>
      <c r="AR185" s="100">
        <f>IFERROR(AP185*AQ185*AS188,0)</f>
        <v>0</v>
      </c>
      <c r="AS185" s="55"/>
      <c r="AT185" s="167"/>
      <c r="AU185" s="167"/>
      <c r="AV185" s="164"/>
      <c r="AW185" s="169"/>
      <c r="AX185" s="94">
        <f t="shared" si="85"/>
        <v>0</v>
      </c>
      <c r="AY185" s="95">
        <f t="shared" si="86"/>
        <v>0</v>
      </c>
    </row>
    <row r="186" spans="1:51" ht="15" customHeight="1">
      <c r="A186" s="1001"/>
      <c r="B186" s="1010"/>
      <c r="C186" s="1016"/>
      <c r="D186" s="1016"/>
      <c r="E186" s="1016"/>
      <c r="F186" s="1017"/>
      <c r="G186" s="1017"/>
      <c r="H186" s="184"/>
      <c r="I186" s="190"/>
      <c r="J186" s="1001"/>
      <c r="K186" s="1001"/>
      <c r="L186" s="186"/>
      <c r="M186" s="1001"/>
      <c r="N186" s="1013"/>
      <c r="O186" s="192"/>
      <c r="P186" s="1014"/>
      <c r="Q186" s="1014"/>
      <c r="R186" s="1001"/>
      <c r="S186" s="1014"/>
      <c r="T186" s="1013"/>
      <c r="U186" s="1015"/>
      <c r="V186" s="1014"/>
      <c r="W186" s="1014"/>
      <c r="X186" s="1001"/>
      <c r="Y186" s="1014"/>
      <c r="Z186" s="1013"/>
      <c r="AA186" s="1015"/>
      <c r="AB186" s="1015"/>
      <c r="AC186" s="194"/>
      <c r="AD186" s="194"/>
      <c r="AE186" s="194"/>
      <c r="AF186" s="194"/>
      <c r="AG186" s="1013"/>
      <c r="AH186" s="1015"/>
      <c r="AJ186" s="79" t="str">
        <f t="shared" si="80"/>
        <v/>
      </c>
      <c r="AK186" s="16" t="str">
        <f t="shared" si="81"/>
        <v/>
      </c>
      <c r="AL186" s="16" t="str">
        <f t="shared" si="82"/>
        <v/>
      </c>
      <c r="AM186" s="16" t="str">
        <f t="shared" si="83"/>
        <v/>
      </c>
      <c r="AN186" s="16" t="str">
        <f t="shared" si="84"/>
        <v/>
      </c>
      <c r="AO186" s="55"/>
      <c r="AP186" s="98">
        <v>5</v>
      </c>
      <c r="AQ186" s="99"/>
      <c r="AR186" s="100">
        <f>IFERROR(AP186*AQ186*AS188,0)</f>
        <v>0</v>
      </c>
      <c r="AS186" s="104"/>
      <c r="AT186" s="165"/>
      <c r="AU186" s="167"/>
      <c r="AV186" s="168"/>
      <c r="AW186" s="169"/>
      <c r="AX186" s="94">
        <f t="shared" si="85"/>
        <v>0</v>
      </c>
      <c r="AY186" s="95">
        <f t="shared" si="86"/>
        <v>0</v>
      </c>
    </row>
    <row r="187" spans="1:51" ht="15" customHeight="1">
      <c r="A187" s="1001"/>
      <c r="B187" s="1010"/>
      <c r="C187" s="1011"/>
      <c r="D187" s="1011"/>
      <c r="E187" s="1011"/>
      <c r="F187" s="1012"/>
      <c r="G187" s="1012"/>
      <c r="H187" s="184"/>
      <c r="I187" s="190"/>
      <c r="J187" s="1001"/>
      <c r="K187" s="1001"/>
      <c r="L187" s="186"/>
      <c r="M187" s="1001"/>
      <c r="N187" s="1013"/>
      <c r="O187" s="192"/>
      <c r="P187" s="1014"/>
      <c r="Q187" s="1014"/>
      <c r="R187" s="1001"/>
      <c r="S187" s="1014"/>
      <c r="T187" s="1013"/>
      <c r="U187" s="1015"/>
      <c r="V187" s="1014"/>
      <c r="W187" s="1014"/>
      <c r="X187" s="1001"/>
      <c r="Y187" s="1014"/>
      <c r="Z187" s="1013"/>
      <c r="AA187" s="1015"/>
      <c r="AB187" s="1015"/>
      <c r="AC187" s="194"/>
      <c r="AD187" s="194"/>
      <c r="AE187" s="194"/>
      <c r="AF187" s="194"/>
      <c r="AG187" s="1013"/>
      <c r="AH187" s="1015"/>
      <c r="AJ187" s="79" t="str">
        <f t="shared" si="80"/>
        <v/>
      </c>
      <c r="AK187" s="16" t="str">
        <f t="shared" si="81"/>
        <v/>
      </c>
      <c r="AL187" s="16" t="str">
        <f t="shared" si="82"/>
        <v/>
      </c>
      <c r="AM187" s="16" t="str">
        <f t="shared" si="83"/>
        <v/>
      </c>
      <c r="AN187" s="16" t="str">
        <f t="shared" si="84"/>
        <v/>
      </c>
      <c r="AO187" s="55"/>
      <c r="AP187" s="98">
        <v>4</v>
      </c>
      <c r="AQ187" s="99"/>
      <c r="AR187" s="100">
        <f>IFERROR(AP187*AQ187*AS188,0)</f>
        <v>0</v>
      </c>
      <c r="AS187" s="104"/>
      <c r="AT187" s="167"/>
      <c r="AU187" s="167"/>
      <c r="AV187" s="168"/>
      <c r="AW187" s="169"/>
      <c r="AX187" s="94">
        <f t="shared" si="85"/>
        <v>0</v>
      </c>
      <c r="AY187" s="95">
        <f t="shared" si="86"/>
        <v>0</v>
      </c>
    </row>
    <row r="188" spans="1:51" ht="15" customHeight="1">
      <c r="A188" s="1001"/>
      <c r="B188" s="1010"/>
      <c r="C188" s="1011"/>
      <c r="D188" s="188"/>
      <c r="E188" s="1011"/>
      <c r="F188" s="1012"/>
      <c r="G188" s="1012"/>
      <c r="H188" s="184"/>
      <c r="I188" s="190"/>
      <c r="J188" s="1001"/>
      <c r="K188" s="1001"/>
      <c r="L188" s="186"/>
      <c r="M188" s="1001"/>
      <c r="N188" s="1013"/>
      <c r="O188" s="192"/>
      <c r="P188" s="1014"/>
      <c r="Q188" s="1014"/>
      <c r="R188" s="1001"/>
      <c r="S188" s="1014"/>
      <c r="T188" s="1013"/>
      <c r="U188" s="1015"/>
      <c r="V188" s="1014"/>
      <c r="W188" s="1014"/>
      <c r="X188" s="1001"/>
      <c r="Y188" s="1014"/>
      <c r="Z188" s="1013"/>
      <c r="AA188" s="1015"/>
      <c r="AB188" s="1015"/>
      <c r="AC188" s="194"/>
      <c r="AD188" s="194"/>
      <c r="AE188" s="194"/>
      <c r="AF188" s="194"/>
      <c r="AG188" s="1013"/>
      <c r="AH188" s="1015"/>
      <c r="AJ188" s="79" t="str">
        <f t="shared" si="80"/>
        <v/>
      </c>
      <c r="AK188" s="16" t="str">
        <f t="shared" si="81"/>
        <v/>
      </c>
      <c r="AL188" s="16" t="str">
        <f t="shared" si="82"/>
        <v/>
      </c>
      <c r="AM188" s="16" t="str">
        <f t="shared" si="83"/>
        <v/>
      </c>
      <c r="AN188" s="16" t="str">
        <f t="shared" si="84"/>
        <v/>
      </c>
      <c r="AO188" s="55"/>
      <c r="AP188" s="98">
        <v>3</v>
      </c>
      <c r="AQ188" s="109"/>
      <c r="AR188" s="100">
        <f>IFERROR(AP188*AQ188*AS188,0)</f>
        <v>0</v>
      </c>
      <c r="AS188" s="48">
        <f>IFERROR(AR189/((AP188*AQ188)+(AP187*AQ187)+(AP186*AQ186)+(AP185*AQ185)),0)</f>
        <v>0</v>
      </c>
      <c r="AT188" s="167"/>
      <c r="AU188" s="167"/>
      <c r="AV188" s="168"/>
      <c r="AW188" s="169"/>
      <c r="AX188" s="94">
        <f t="shared" si="85"/>
        <v>0</v>
      </c>
      <c r="AY188" s="95">
        <f t="shared" si="86"/>
        <v>0</v>
      </c>
    </row>
    <row r="189" spans="1:51" ht="14.25" customHeight="1" thickBot="1">
      <c r="A189" s="1001"/>
      <c r="B189" s="1010"/>
      <c r="C189" s="1011"/>
      <c r="D189" s="1011"/>
      <c r="E189" s="1011"/>
      <c r="F189" s="1012"/>
      <c r="G189" s="1012"/>
      <c r="H189" s="184"/>
      <c r="I189" s="190"/>
      <c r="J189" s="1001"/>
      <c r="K189" s="1001"/>
      <c r="L189" s="186"/>
      <c r="M189" s="1001"/>
      <c r="N189" s="1013"/>
      <c r="O189" s="192"/>
      <c r="P189" s="185"/>
      <c r="Q189" s="1014"/>
      <c r="R189" s="1001"/>
      <c r="S189" s="1014"/>
      <c r="T189" s="1013"/>
      <c r="U189" s="1015"/>
      <c r="V189" s="185"/>
      <c r="W189" s="1014"/>
      <c r="X189" s="1001"/>
      <c r="Y189" s="1014"/>
      <c r="Z189" s="1013"/>
      <c r="AA189" s="1015"/>
      <c r="AB189" s="1015"/>
      <c r="AC189" s="194"/>
      <c r="AD189" s="194"/>
      <c r="AE189" s="194"/>
      <c r="AF189" s="194"/>
      <c r="AG189" s="1013"/>
      <c r="AH189" s="1015"/>
      <c r="AJ189" s="79" t="str">
        <f t="shared" si="80"/>
        <v/>
      </c>
      <c r="AK189" s="16" t="str">
        <f t="shared" si="81"/>
        <v/>
      </c>
      <c r="AL189" s="16" t="str">
        <f t="shared" si="82"/>
        <v/>
      </c>
      <c r="AM189" s="16" t="str">
        <f t="shared" si="83"/>
        <v/>
      </c>
      <c r="AN189" s="16" t="str">
        <f t="shared" si="84"/>
        <v/>
      </c>
      <c r="AO189" s="55"/>
      <c r="AP189" s="111"/>
      <c r="AQ189" s="112"/>
      <c r="AR189" s="113"/>
      <c r="AS189" s="104"/>
      <c r="AT189" s="165"/>
      <c r="AU189" s="167"/>
      <c r="AV189" s="168"/>
      <c r="AW189" s="169"/>
      <c r="AX189" s="94">
        <f t="shared" si="85"/>
        <v>0</v>
      </c>
      <c r="AY189" s="95">
        <f t="shared" si="86"/>
        <v>0</v>
      </c>
    </row>
    <row r="190" spans="1:51" ht="14.25" customHeight="1" thickBot="1">
      <c r="A190" s="1001"/>
      <c r="B190" s="1010"/>
      <c r="C190" s="1011"/>
      <c r="D190" s="1011"/>
      <c r="E190" s="1011"/>
      <c r="F190" s="1012"/>
      <c r="G190" s="1012"/>
      <c r="H190" s="184"/>
      <c r="I190" s="190"/>
      <c r="J190" s="1001"/>
      <c r="K190" s="1001"/>
      <c r="L190" s="186"/>
      <c r="M190" s="1001"/>
      <c r="N190" s="1013"/>
      <c r="O190" s="192"/>
      <c r="P190" s="1014"/>
      <c r="Q190" s="1014"/>
      <c r="R190" s="1001"/>
      <c r="S190" s="1014"/>
      <c r="T190" s="1013"/>
      <c r="U190" s="1015"/>
      <c r="V190" s="1014"/>
      <c r="W190" s="1014"/>
      <c r="X190" s="1001"/>
      <c r="Y190" s="1014"/>
      <c r="Z190" s="1013"/>
      <c r="AA190" s="1015"/>
      <c r="AB190" s="1015"/>
      <c r="AC190" s="194"/>
      <c r="AD190" s="194"/>
      <c r="AE190" s="194"/>
      <c r="AF190" s="194"/>
      <c r="AG190" s="1013"/>
      <c r="AH190" s="1015"/>
      <c r="AJ190" s="79" t="str">
        <f t="shared" si="80"/>
        <v/>
      </c>
      <c r="AK190" s="16" t="str">
        <f t="shared" si="81"/>
        <v/>
      </c>
      <c r="AL190" s="16" t="str">
        <f t="shared" si="82"/>
        <v/>
      </c>
      <c r="AM190" s="16" t="str">
        <f t="shared" si="83"/>
        <v/>
      </c>
      <c r="AN190" s="16" t="str">
        <f t="shared" si="84"/>
        <v/>
      </c>
      <c r="AO190" s="55"/>
      <c r="AP190" s="1250" t="s">
        <v>7</v>
      </c>
      <c r="AQ190" s="1250"/>
      <c r="AR190" s="1250"/>
      <c r="AS190" s="104"/>
      <c r="AT190" s="167"/>
      <c r="AU190" s="167"/>
      <c r="AV190" s="168"/>
      <c r="AW190" s="169"/>
      <c r="AX190" s="94">
        <f t="shared" si="85"/>
        <v>0</v>
      </c>
      <c r="AY190" s="95">
        <f t="shared" si="86"/>
        <v>0</v>
      </c>
    </row>
    <row r="191" spans="1:51" ht="15" customHeight="1" thickBot="1">
      <c r="A191" s="1001"/>
      <c r="B191" s="1010"/>
      <c r="C191" s="1011"/>
      <c r="D191" s="1011"/>
      <c r="E191" s="1011"/>
      <c r="F191" s="1012"/>
      <c r="G191" s="1012"/>
      <c r="H191" s="184"/>
      <c r="I191" s="190"/>
      <c r="J191" s="1001"/>
      <c r="K191" s="1001"/>
      <c r="L191" s="186"/>
      <c r="M191" s="1001"/>
      <c r="N191" s="1013"/>
      <c r="O191" s="192"/>
      <c r="P191" s="1014"/>
      <c r="Q191" s="1014"/>
      <c r="R191" s="1001"/>
      <c r="S191" s="1014"/>
      <c r="T191" s="1013"/>
      <c r="U191" s="1015"/>
      <c r="V191" s="1014"/>
      <c r="W191" s="185"/>
      <c r="X191" s="1001"/>
      <c r="Y191" s="1014"/>
      <c r="Z191" s="1013"/>
      <c r="AA191" s="1015"/>
      <c r="AB191" s="1015"/>
      <c r="AC191" s="194"/>
      <c r="AD191" s="194"/>
      <c r="AE191" s="194"/>
      <c r="AF191" s="194"/>
      <c r="AG191" s="1013"/>
      <c r="AH191" s="1015"/>
      <c r="AJ191" s="79" t="str">
        <f t="shared" si="80"/>
        <v/>
      </c>
      <c r="AK191" s="16" t="str">
        <f t="shared" si="81"/>
        <v/>
      </c>
      <c r="AL191" s="16" t="str">
        <f t="shared" si="82"/>
        <v/>
      </c>
      <c r="AM191" s="16" t="str">
        <f t="shared" si="83"/>
        <v/>
      </c>
      <c r="AN191" s="16" t="str">
        <f t="shared" si="84"/>
        <v/>
      </c>
      <c r="AO191" s="73">
        <v>160</v>
      </c>
      <c r="AP191" s="1250"/>
      <c r="AQ191" s="1250"/>
      <c r="AR191" s="1250"/>
      <c r="AS191" s="55"/>
      <c r="AT191" s="167"/>
      <c r="AU191" s="165"/>
      <c r="AV191" s="168"/>
      <c r="AW191" s="169"/>
      <c r="AX191" s="94">
        <f t="shared" si="85"/>
        <v>0</v>
      </c>
      <c r="AY191" s="95">
        <f t="shared" si="86"/>
        <v>0</v>
      </c>
    </row>
    <row r="192" spans="1:51" ht="15" customHeight="1" thickBot="1">
      <c r="A192" s="1001"/>
      <c r="B192" s="1010"/>
      <c r="C192" s="1011"/>
      <c r="D192" s="1011"/>
      <c r="E192" s="1011"/>
      <c r="F192" s="1012"/>
      <c r="G192" s="1012"/>
      <c r="H192" s="184"/>
      <c r="I192" s="190"/>
      <c r="J192" s="1001"/>
      <c r="K192" s="1001"/>
      <c r="L192" s="186"/>
      <c r="M192" s="1001"/>
      <c r="N192" s="1013"/>
      <c r="O192" s="192"/>
      <c r="P192" s="1014"/>
      <c r="Q192" s="185"/>
      <c r="R192" s="1018"/>
      <c r="S192" s="1014"/>
      <c r="T192" s="1013"/>
      <c r="U192" s="1015"/>
      <c r="V192" s="1014"/>
      <c r="W192" s="185"/>
      <c r="X192" s="1001"/>
      <c r="Y192" s="1014"/>
      <c r="Z192" s="1013"/>
      <c r="AA192" s="1015"/>
      <c r="AB192" s="1015"/>
      <c r="AC192" s="194"/>
      <c r="AD192" s="194"/>
      <c r="AE192" s="194"/>
      <c r="AF192" s="194"/>
      <c r="AG192" s="1013"/>
      <c r="AH192" s="1015"/>
      <c r="AJ192" s="79" t="str">
        <f t="shared" si="80"/>
        <v/>
      </c>
      <c r="AK192" s="16" t="str">
        <f t="shared" si="81"/>
        <v/>
      </c>
      <c r="AL192" s="16" t="str">
        <f t="shared" si="82"/>
        <v/>
      </c>
      <c r="AM192" s="16" t="str">
        <f t="shared" si="83"/>
        <v/>
      </c>
      <c r="AN192" s="16" t="str">
        <f t="shared" si="84"/>
        <v/>
      </c>
      <c r="AO192" s="55"/>
      <c r="AP192" s="1250"/>
      <c r="AQ192" s="1250"/>
      <c r="AR192" s="1250"/>
      <c r="AS192" s="55"/>
      <c r="AT192" s="167"/>
      <c r="AU192" s="165"/>
      <c r="AV192" s="168"/>
      <c r="AW192" s="169"/>
      <c r="AX192" s="94">
        <f t="shared" si="85"/>
        <v>0</v>
      </c>
      <c r="AY192" s="95">
        <f t="shared" si="86"/>
        <v>0</v>
      </c>
    </row>
    <row r="193" spans="1:51" ht="16.5" customHeight="1">
      <c r="A193" s="1001"/>
      <c r="B193" s="1010"/>
      <c r="C193" s="1011"/>
      <c r="D193" s="1011"/>
      <c r="E193" s="1011"/>
      <c r="F193" s="1012"/>
      <c r="G193" s="1012"/>
      <c r="H193" s="184"/>
      <c r="I193" s="190"/>
      <c r="J193" s="1001"/>
      <c r="K193" s="1001"/>
      <c r="L193" s="186"/>
      <c r="M193" s="1001"/>
      <c r="N193" s="1013"/>
      <c r="O193" s="192"/>
      <c r="P193" s="1014"/>
      <c r="Q193" s="185"/>
      <c r="R193" s="1014"/>
      <c r="S193" s="1014"/>
      <c r="T193" s="1013"/>
      <c r="U193" s="1015"/>
      <c r="V193" s="1014"/>
      <c r="W193" s="185"/>
      <c r="X193" s="1001"/>
      <c r="Y193" s="1014"/>
      <c r="Z193" s="1013"/>
      <c r="AA193" s="1015"/>
      <c r="AB193" s="1015"/>
      <c r="AC193" s="194"/>
      <c r="AD193" s="194"/>
      <c r="AE193" s="194"/>
      <c r="AF193" s="194"/>
      <c r="AG193" s="1013"/>
      <c r="AH193" s="1015"/>
      <c r="AJ193" s="79" t="str">
        <f t="shared" si="80"/>
        <v/>
      </c>
      <c r="AK193" s="16" t="str">
        <f t="shared" si="81"/>
        <v/>
      </c>
      <c r="AL193" s="16" t="str">
        <f t="shared" si="82"/>
        <v/>
      </c>
      <c r="AM193" s="16" t="str">
        <f t="shared" si="83"/>
        <v/>
      </c>
      <c r="AN193" s="16" t="str">
        <f t="shared" si="84"/>
        <v/>
      </c>
      <c r="AO193" s="55"/>
      <c r="AP193" s="117">
        <v>6</v>
      </c>
      <c r="AQ193" s="118"/>
      <c r="AR193" s="100">
        <f>IFERROR(AP193*AQ193*AS196,0)</f>
        <v>0</v>
      </c>
      <c r="AS193" s="55"/>
      <c r="AT193" s="167"/>
      <c r="AU193" s="165"/>
      <c r="AV193" s="168"/>
      <c r="AW193" s="169"/>
      <c r="AX193" s="94">
        <f t="shared" si="85"/>
        <v>0</v>
      </c>
      <c r="AY193" s="95">
        <f t="shared" si="86"/>
        <v>0</v>
      </c>
    </row>
    <row r="194" spans="1:51" ht="16.5" customHeight="1">
      <c r="A194" s="1001"/>
      <c r="B194" s="1010"/>
      <c r="C194" s="1011"/>
      <c r="D194" s="1011"/>
      <c r="E194" s="1011"/>
      <c r="F194" s="1012"/>
      <c r="G194" s="1012"/>
      <c r="H194" s="184"/>
      <c r="I194" s="190"/>
      <c r="J194" s="1001"/>
      <c r="K194" s="1001"/>
      <c r="L194" s="186"/>
      <c r="M194" s="1001"/>
      <c r="N194" s="1013"/>
      <c r="O194" s="192"/>
      <c r="P194" s="1014"/>
      <c r="Q194" s="184"/>
      <c r="R194" s="1018"/>
      <c r="S194" s="1019"/>
      <c r="T194" s="1013"/>
      <c r="U194" s="1015"/>
      <c r="V194" s="1014"/>
      <c r="W194" s="185"/>
      <c r="X194" s="1001"/>
      <c r="Y194" s="1014"/>
      <c r="Z194" s="1013"/>
      <c r="AA194" s="1015"/>
      <c r="AB194" s="1015"/>
      <c r="AC194" s="194"/>
      <c r="AD194" s="194"/>
      <c r="AE194" s="194"/>
      <c r="AF194" s="194"/>
      <c r="AG194" s="1013"/>
      <c r="AH194" s="1015"/>
      <c r="AJ194" s="79" t="str">
        <f t="shared" si="80"/>
        <v/>
      </c>
      <c r="AK194" s="16" t="str">
        <f t="shared" si="81"/>
        <v/>
      </c>
      <c r="AL194" s="16" t="str">
        <f t="shared" si="82"/>
        <v/>
      </c>
      <c r="AM194" s="16" t="str">
        <f t="shared" si="83"/>
        <v/>
      </c>
      <c r="AN194" s="16" t="str">
        <f t="shared" si="84"/>
        <v/>
      </c>
      <c r="AO194" s="55"/>
      <c r="AP194" s="98">
        <v>5</v>
      </c>
      <c r="AQ194" s="99"/>
      <c r="AR194" s="100">
        <f>IFERROR(AP194*AQ194*AS196,0)</f>
        <v>0</v>
      </c>
      <c r="AS194" s="55"/>
      <c r="AT194" s="177"/>
      <c r="AU194" s="178"/>
      <c r="AV194" s="177"/>
      <c r="AW194" s="179"/>
      <c r="AX194" s="94">
        <f t="shared" si="85"/>
        <v>0</v>
      </c>
      <c r="AY194" s="95">
        <f t="shared" si="86"/>
        <v>0</v>
      </c>
    </row>
    <row r="195" spans="1:51" ht="15.75" customHeight="1">
      <c r="A195" s="1001"/>
      <c r="B195" s="1010"/>
      <c r="C195" s="1020"/>
      <c r="D195" s="1021"/>
      <c r="E195" s="1020"/>
      <c r="F195" s="1022"/>
      <c r="G195" s="1022"/>
      <c r="H195" s="184"/>
      <c r="I195" s="190"/>
      <c r="J195" s="1001"/>
      <c r="K195" s="1001"/>
      <c r="L195" s="186"/>
      <c r="M195" s="1001"/>
      <c r="N195" s="1013"/>
      <c r="O195" s="192"/>
      <c r="P195" s="1019"/>
      <c r="Q195" s="184"/>
      <c r="R195" s="1018"/>
      <c r="S195" s="1019"/>
      <c r="T195" s="1013"/>
      <c r="U195" s="1015"/>
      <c r="V195" s="1014"/>
      <c r="W195" s="185"/>
      <c r="X195" s="1001"/>
      <c r="Y195" s="1014"/>
      <c r="Z195" s="1013"/>
      <c r="AA195" s="1015"/>
      <c r="AB195" s="1015"/>
      <c r="AC195" s="194"/>
      <c r="AD195" s="194"/>
      <c r="AE195" s="194"/>
      <c r="AF195" s="194"/>
      <c r="AG195" s="1013"/>
      <c r="AH195" s="1015"/>
      <c r="AJ195" s="79" t="str">
        <f t="shared" si="80"/>
        <v/>
      </c>
      <c r="AK195" s="16" t="str">
        <f t="shared" si="81"/>
        <v/>
      </c>
      <c r="AL195" s="16" t="str">
        <f t="shared" si="82"/>
        <v/>
      </c>
      <c r="AM195" s="16" t="str">
        <f t="shared" si="83"/>
        <v/>
      </c>
      <c r="AN195" s="16" t="str">
        <f t="shared" si="84"/>
        <v/>
      </c>
      <c r="AO195" s="104"/>
      <c r="AP195" s="98">
        <v>4</v>
      </c>
      <c r="AQ195" s="99"/>
      <c r="AR195" s="100">
        <f>IFERROR(AP195*AQ195*AS196,0)</f>
        <v>0</v>
      </c>
      <c r="AS195" s="55"/>
      <c r="AT195" s="167"/>
      <c r="AU195" s="165"/>
      <c r="AV195" s="168"/>
      <c r="AW195" s="169"/>
      <c r="AX195" s="94">
        <f t="shared" si="85"/>
        <v>0</v>
      </c>
      <c r="AY195" s="95">
        <f t="shared" si="86"/>
        <v>0</v>
      </c>
    </row>
    <row r="196" spans="1:51" ht="15" customHeight="1">
      <c r="A196" s="1001"/>
      <c r="B196" s="1001"/>
      <c r="C196" s="1023"/>
      <c r="D196" s="1023"/>
      <c r="E196" s="1023"/>
      <c r="F196" s="1024"/>
      <c r="G196" s="1024"/>
      <c r="H196" s="1001"/>
      <c r="I196" s="1001"/>
      <c r="J196" s="201"/>
      <c r="K196" s="201"/>
      <c r="L196" s="201"/>
      <c r="M196" s="201"/>
      <c r="N196" s="1025"/>
      <c r="O196" s="1002"/>
      <c r="P196" s="1001"/>
      <c r="Q196" s="1001"/>
      <c r="R196" s="1001"/>
      <c r="S196" s="1003"/>
      <c r="T196" s="1001"/>
      <c r="U196" s="1004"/>
      <c r="V196" s="1001"/>
      <c r="W196" s="1001"/>
      <c r="X196" s="1001"/>
      <c r="Y196" s="1001"/>
      <c r="Z196" s="1001"/>
      <c r="AA196" s="1004"/>
      <c r="AB196" s="1001"/>
      <c r="AC196" s="1001"/>
      <c r="AD196" s="1001"/>
      <c r="AE196" s="1001"/>
      <c r="AF196" s="1001"/>
      <c r="AG196" s="54"/>
      <c r="AH196" s="54"/>
      <c r="AK196" s="2"/>
      <c r="AL196" s="2"/>
      <c r="AM196" s="2"/>
      <c r="AN196" s="2"/>
      <c r="AO196" s="55"/>
      <c r="AP196" s="98">
        <v>3</v>
      </c>
      <c r="AQ196" s="109"/>
      <c r="AR196" s="100">
        <f>IFERROR(AP196*AQ196*AS196,0)</f>
        <v>0</v>
      </c>
      <c r="AS196" s="48">
        <f>IFERROR(AR197/((AP196*AQ196)+(AP195*AQ195)+(AP194*AQ194)+(AP193*AQ193)),0)</f>
        <v>0</v>
      </c>
    </row>
    <row r="197" spans="1:51" ht="15" customHeight="1" thickBot="1">
      <c r="A197" s="1001"/>
      <c r="B197" s="1001"/>
      <c r="C197" s="1023"/>
      <c r="D197" s="1023"/>
      <c r="E197" s="1023"/>
      <c r="F197" s="1024"/>
      <c r="G197" s="1024"/>
      <c r="H197" s="184"/>
      <c r="I197" s="190"/>
      <c r="J197" s="1026"/>
      <c r="K197" s="1026"/>
      <c r="L197" s="1026"/>
      <c r="M197" s="1026"/>
      <c r="N197" s="1013"/>
      <c r="O197" s="192"/>
      <c r="P197" s="1027"/>
      <c r="Q197" s="1027"/>
      <c r="R197" s="1027"/>
      <c r="S197" s="1027"/>
      <c r="T197" s="1018"/>
      <c r="U197" s="1018"/>
      <c r="V197" s="1027"/>
      <c r="W197" s="1027"/>
      <c r="X197" s="1027"/>
      <c r="Y197" s="1027"/>
      <c r="Z197" s="1001"/>
      <c r="AA197" s="1001"/>
      <c r="AB197" s="1001"/>
      <c r="AC197" s="1027"/>
      <c r="AD197" s="1027"/>
      <c r="AE197" s="1027"/>
      <c r="AF197" s="1027"/>
      <c r="AG197" s="54"/>
      <c r="AH197" s="54"/>
      <c r="AK197" s="154">
        <f>SUM(AK184:AK196)</f>
        <v>0</v>
      </c>
      <c r="AL197" s="154">
        <f>SUM(AL184:AL196)</f>
        <v>0</v>
      </c>
      <c r="AM197" s="154">
        <f>SUM(AM184:AM196)</f>
        <v>0</v>
      </c>
      <c r="AN197" s="154">
        <f>SUM(AN184:AN196)</f>
        <v>0</v>
      </c>
      <c r="AO197" s="55"/>
      <c r="AP197" s="111"/>
      <c r="AQ197" s="112"/>
      <c r="AR197" s="155"/>
      <c r="AS197" s="55"/>
    </row>
    <row r="198" spans="1:51" ht="15.75" customHeight="1">
      <c r="A198" s="1028"/>
      <c r="B198" s="1001"/>
      <c r="C198" s="1001"/>
      <c r="D198" s="1001"/>
      <c r="E198" s="1001"/>
      <c r="F198" s="1001"/>
      <c r="G198" s="1001"/>
      <c r="H198" s="1018"/>
      <c r="I198" s="190"/>
      <c r="J198" s="1026"/>
      <c r="K198" s="1026"/>
      <c r="L198" s="1026"/>
      <c r="M198" s="1026"/>
      <c r="N198" s="1013"/>
      <c r="O198" s="192"/>
      <c r="P198" s="1027"/>
      <c r="Q198" s="1027"/>
      <c r="R198" s="1027"/>
      <c r="S198" s="1027"/>
      <c r="T198" s="1029"/>
      <c r="U198" s="1030"/>
      <c r="V198" s="1027"/>
      <c r="W198" s="1027"/>
      <c r="X198" s="1027"/>
      <c r="Y198" s="1027"/>
      <c r="Z198" s="1031"/>
      <c r="AA198" s="1032"/>
      <c r="AB198" s="1033"/>
      <c r="AC198" s="1027"/>
      <c r="AD198" s="1027"/>
      <c r="AE198" s="1027"/>
      <c r="AF198" s="1027"/>
      <c r="AG198" s="54"/>
      <c r="AH198" s="1030"/>
      <c r="AK198" s="48"/>
      <c r="AL198" s="48"/>
      <c r="AM198" s="48"/>
      <c r="AN198" s="48"/>
      <c r="AO198" s="55"/>
      <c r="AP198" s="55"/>
      <c r="AQ198" s="55"/>
      <c r="AR198" s="157">
        <f>AR189+AR197</f>
        <v>0</v>
      </c>
      <c r="AS198" s="55"/>
    </row>
    <row r="199" spans="1:51" ht="19.5" customHeight="1" thickBot="1">
      <c r="A199" s="1007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007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54"/>
      <c r="AH199" s="54"/>
      <c r="AK199" s="48"/>
      <c r="AL199" s="48"/>
      <c r="AM199" s="48"/>
      <c r="AN199" s="48"/>
      <c r="AO199" s="48"/>
      <c r="AP199" s="48"/>
      <c r="AQ199" s="48"/>
      <c r="AR199" s="48"/>
      <c r="AS199" s="48"/>
    </row>
    <row r="200" spans="1:51" ht="14.25" customHeight="1" thickBot="1">
      <c r="A200" s="1252"/>
      <c r="B200" s="1253"/>
      <c r="C200" s="1254"/>
      <c r="D200" s="1254"/>
      <c r="E200" s="1254"/>
      <c r="F200" s="1254"/>
      <c r="G200" s="1254"/>
      <c r="H200" s="1253"/>
      <c r="I200" s="1254"/>
      <c r="J200" s="1253"/>
      <c r="K200" s="1253"/>
      <c r="L200" s="1253"/>
      <c r="M200" s="1253"/>
      <c r="N200" s="1255"/>
      <c r="O200" s="1258"/>
      <c r="P200" s="1254"/>
      <c r="Q200" s="1254"/>
      <c r="R200" s="1254"/>
      <c r="S200" s="1254"/>
      <c r="T200" s="1259"/>
      <c r="U200" s="1258"/>
      <c r="V200" s="1254"/>
      <c r="W200" s="1254"/>
      <c r="X200" s="1254"/>
      <c r="Y200" s="1254"/>
      <c r="Z200" s="1259"/>
      <c r="AA200" s="1258"/>
      <c r="AB200" s="1258"/>
      <c r="AC200" s="1260"/>
      <c r="AD200" s="1260"/>
      <c r="AE200" s="1260"/>
      <c r="AF200" s="1260"/>
      <c r="AG200" s="1259"/>
      <c r="AH200" s="1258"/>
      <c r="AK200" s="1257" t="s">
        <v>37</v>
      </c>
      <c r="AL200" s="1257"/>
      <c r="AM200" s="1257"/>
      <c r="AN200" s="1257"/>
      <c r="AO200" s="55"/>
      <c r="AP200" s="1250" t="s">
        <v>7</v>
      </c>
      <c r="AQ200" s="1250"/>
      <c r="AR200" s="1250"/>
      <c r="AS200" s="55"/>
      <c r="AT200" s="1251" t="s">
        <v>38</v>
      </c>
      <c r="AU200" s="1251"/>
      <c r="AV200" s="1251"/>
      <c r="AW200" s="1251"/>
      <c r="AX200" s="94" t="s">
        <v>39</v>
      </c>
      <c r="AY200" s="95" t="s">
        <v>12</v>
      </c>
    </row>
    <row r="201" spans="1:51" ht="18" customHeight="1" thickBot="1">
      <c r="A201" s="1252"/>
      <c r="B201" s="1252"/>
      <c r="C201" s="186"/>
      <c r="D201" s="186"/>
      <c r="E201" s="186"/>
      <c r="F201" s="186"/>
      <c r="G201" s="186"/>
      <c r="H201" s="1253"/>
      <c r="I201" s="1254"/>
      <c r="J201" s="185"/>
      <c r="K201" s="185"/>
      <c r="L201" s="185"/>
      <c r="M201" s="185"/>
      <c r="N201" s="1255"/>
      <c r="O201" s="1258"/>
      <c r="P201" s="186"/>
      <c r="Q201" s="185"/>
      <c r="R201" s="1008"/>
      <c r="S201" s="185"/>
      <c r="T201" s="1259"/>
      <c r="U201" s="1259"/>
      <c r="V201" s="186"/>
      <c r="W201" s="185"/>
      <c r="X201" s="1008"/>
      <c r="Y201" s="185"/>
      <c r="Z201" s="1259"/>
      <c r="AA201" s="1259"/>
      <c r="AB201" s="1258"/>
      <c r="AC201" s="186"/>
      <c r="AD201" s="185"/>
      <c r="AE201" s="1008"/>
      <c r="AF201" s="185"/>
      <c r="AG201" s="1259"/>
      <c r="AH201" s="1258"/>
      <c r="AK201" s="162" t="s">
        <v>49</v>
      </c>
      <c r="AL201" s="162" t="s">
        <v>50</v>
      </c>
      <c r="AM201" s="162" t="s">
        <v>51</v>
      </c>
      <c r="AN201" s="162" t="s">
        <v>52</v>
      </c>
      <c r="AO201" s="73">
        <v>130</v>
      </c>
      <c r="AP201" s="1250"/>
      <c r="AQ201" s="1250"/>
      <c r="AR201" s="1250"/>
      <c r="AS201" s="55"/>
      <c r="AT201" s="164" t="s">
        <v>45</v>
      </c>
      <c r="AU201" s="165" t="s">
        <v>46</v>
      </c>
      <c r="AV201" s="166" t="s">
        <v>47</v>
      </c>
      <c r="AW201" s="161" t="s">
        <v>48</v>
      </c>
      <c r="AX201" s="94"/>
      <c r="AY201" s="95"/>
    </row>
    <row r="202" spans="1:51" ht="15" customHeight="1" thickBot="1">
      <c r="A202" s="1009"/>
      <c r="B202" s="1010"/>
      <c r="C202" s="1011"/>
      <c r="D202" s="1011"/>
      <c r="E202" s="1011"/>
      <c r="F202" s="1012"/>
      <c r="G202" s="1012"/>
      <c r="H202" s="184"/>
      <c r="I202" s="190"/>
      <c r="J202" s="1001"/>
      <c r="K202" s="1001"/>
      <c r="L202" s="186"/>
      <c r="M202" s="1001"/>
      <c r="N202" s="1013"/>
      <c r="O202" s="192"/>
      <c r="P202" s="1014"/>
      <c r="Q202" s="1014"/>
      <c r="R202" s="1001"/>
      <c r="S202" s="1014"/>
      <c r="T202" s="1013"/>
      <c r="U202" s="1015"/>
      <c r="V202" s="1014"/>
      <c r="W202" s="1014"/>
      <c r="X202" s="1001"/>
      <c r="Y202" s="1014"/>
      <c r="Z202" s="1013"/>
      <c r="AA202" s="1015"/>
      <c r="AB202" s="1015"/>
      <c r="AC202" s="194"/>
      <c r="AD202" s="194"/>
      <c r="AE202" s="194"/>
      <c r="AF202" s="194"/>
      <c r="AG202" s="1013"/>
      <c r="AH202" s="1015"/>
      <c r="AJ202" s="79" t="str">
        <f t="shared" ref="AJ202:AJ213" si="87">IF(H202=130,0.132335,IF(H202=100,0.0785,IF(H202=110,0.095,IF(H202=160,0.198005,""))))</f>
        <v/>
      </c>
      <c r="AK202" s="16" t="str">
        <f t="shared" ref="AK202:AK213" si="88">IFERROR(P202*3*AJ202,"")</f>
        <v/>
      </c>
      <c r="AL202" s="16" t="str">
        <f t="shared" ref="AL202:AL213" si="89">IFERROR(Q202*4*AJ202,"")</f>
        <v/>
      </c>
      <c r="AM202" s="16" t="str">
        <f t="shared" ref="AM202:AM213" si="90">IFERROR(R202*5*AJ202,"")</f>
        <v/>
      </c>
      <c r="AN202" s="16" t="str">
        <f t="shared" ref="AN202:AN213" si="91">IFERROR(S202*6*AJ202,"")</f>
        <v/>
      </c>
      <c r="AO202" s="55"/>
      <c r="AP202" s="1250"/>
      <c r="AQ202" s="1250"/>
      <c r="AR202" s="1250"/>
      <c r="AS202" s="55"/>
      <c r="AT202" s="167"/>
      <c r="AU202" s="167"/>
      <c r="AV202" s="168"/>
      <c r="AW202" s="169"/>
      <c r="AX202" s="94">
        <f t="shared" ref="AX202:AX213" si="92">AT202*3+AU202*4+AV202*5+AW202*6</f>
        <v>0</v>
      </c>
      <c r="AY202" s="95">
        <f t="shared" ref="AY202:AY213" si="93">AX202*I202</f>
        <v>0</v>
      </c>
    </row>
    <row r="203" spans="1:51" ht="15" customHeight="1">
      <c r="A203" s="1001"/>
      <c r="B203" s="1010"/>
      <c r="C203" s="1011"/>
      <c r="D203" s="1011"/>
      <c r="E203" s="1011"/>
      <c r="F203" s="1012"/>
      <c r="G203" s="1012"/>
      <c r="H203" s="184"/>
      <c r="I203" s="190"/>
      <c r="J203" s="1001"/>
      <c r="K203" s="1001"/>
      <c r="L203" s="186"/>
      <c r="M203" s="1001"/>
      <c r="N203" s="1013"/>
      <c r="O203" s="192"/>
      <c r="P203" s="1014"/>
      <c r="Q203" s="1014"/>
      <c r="R203" s="1001"/>
      <c r="S203" s="1014"/>
      <c r="T203" s="1013"/>
      <c r="U203" s="1015"/>
      <c r="V203" s="1014"/>
      <c r="W203" s="1014"/>
      <c r="X203" s="186"/>
      <c r="Y203" s="1014"/>
      <c r="Z203" s="1013"/>
      <c r="AA203" s="1015"/>
      <c r="AB203" s="1015"/>
      <c r="AC203" s="194"/>
      <c r="AD203" s="194"/>
      <c r="AE203" s="194"/>
      <c r="AF203" s="194"/>
      <c r="AG203" s="1013"/>
      <c r="AH203" s="1015"/>
      <c r="AJ203" s="79" t="str">
        <f t="shared" si="87"/>
        <v/>
      </c>
      <c r="AK203" s="16" t="str">
        <f t="shared" si="88"/>
        <v/>
      </c>
      <c r="AL203" s="16" t="str">
        <f t="shared" si="89"/>
        <v/>
      </c>
      <c r="AM203" s="16" t="str">
        <f t="shared" si="90"/>
        <v/>
      </c>
      <c r="AN203" s="16" t="str">
        <f t="shared" si="91"/>
        <v/>
      </c>
      <c r="AO203" s="55"/>
      <c r="AP203" s="98">
        <v>6</v>
      </c>
      <c r="AQ203" s="99"/>
      <c r="AR203" s="100">
        <f>IFERROR(AP203*AQ203*AS206,0)</f>
        <v>0</v>
      </c>
      <c r="AS203" s="55"/>
      <c r="AT203" s="167"/>
      <c r="AU203" s="167"/>
      <c r="AV203" s="164"/>
      <c r="AW203" s="169"/>
      <c r="AX203" s="94">
        <f t="shared" si="92"/>
        <v>0</v>
      </c>
      <c r="AY203" s="95">
        <f t="shared" si="93"/>
        <v>0</v>
      </c>
    </row>
    <row r="204" spans="1:51" ht="15" customHeight="1">
      <c r="A204" s="1001"/>
      <c r="B204" s="1010"/>
      <c r="C204" s="1016"/>
      <c r="D204" s="1016"/>
      <c r="E204" s="1016"/>
      <c r="F204" s="1017"/>
      <c r="G204" s="1017"/>
      <c r="H204" s="184"/>
      <c r="I204" s="190"/>
      <c r="J204" s="1001"/>
      <c r="K204" s="1001"/>
      <c r="L204" s="186"/>
      <c r="M204" s="1001"/>
      <c r="N204" s="1013"/>
      <c r="O204" s="192"/>
      <c r="P204" s="1014"/>
      <c r="Q204" s="1014"/>
      <c r="R204" s="1001"/>
      <c r="S204" s="1014"/>
      <c r="T204" s="1013"/>
      <c r="U204" s="1015"/>
      <c r="V204" s="1014"/>
      <c r="W204" s="1014"/>
      <c r="X204" s="1001"/>
      <c r="Y204" s="1014"/>
      <c r="Z204" s="1013"/>
      <c r="AA204" s="1015"/>
      <c r="AB204" s="1015"/>
      <c r="AC204" s="194"/>
      <c r="AD204" s="194"/>
      <c r="AE204" s="194"/>
      <c r="AF204" s="194"/>
      <c r="AG204" s="1013"/>
      <c r="AH204" s="1015"/>
      <c r="AJ204" s="79" t="str">
        <f t="shared" si="87"/>
        <v/>
      </c>
      <c r="AK204" s="16" t="str">
        <f t="shared" si="88"/>
        <v/>
      </c>
      <c r="AL204" s="16" t="str">
        <f t="shared" si="89"/>
        <v/>
      </c>
      <c r="AM204" s="16" t="str">
        <f t="shared" si="90"/>
        <v/>
      </c>
      <c r="AN204" s="16" t="str">
        <f t="shared" si="91"/>
        <v/>
      </c>
      <c r="AO204" s="55"/>
      <c r="AP204" s="98">
        <v>5</v>
      </c>
      <c r="AQ204" s="99"/>
      <c r="AR204" s="100">
        <f>IFERROR(AP204*AQ204*AS206,0)</f>
        <v>0</v>
      </c>
      <c r="AS204" s="104"/>
      <c r="AT204" s="165"/>
      <c r="AU204" s="167"/>
      <c r="AV204" s="168"/>
      <c r="AW204" s="169"/>
      <c r="AX204" s="94">
        <f t="shared" si="92"/>
        <v>0</v>
      </c>
      <c r="AY204" s="95">
        <f t="shared" si="93"/>
        <v>0</v>
      </c>
    </row>
    <row r="205" spans="1:51" ht="15" customHeight="1">
      <c r="A205" s="1001"/>
      <c r="B205" s="1010"/>
      <c r="C205" s="1011"/>
      <c r="D205" s="1011"/>
      <c r="E205" s="1011"/>
      <c r="F205" s="1012"/>
      <c r="G205" s="1012"/>
      <c r="H205" s="184"/>
      <c r="I205" s="190"/>
      <c r="J205" s="1001"/>
      <c r="K205" s="1001"/>
      <c r="L205" s="186"/>
      <c r="M205" s="1001"/>
      <c r="N205" s="1013"/>
      <c r="O205" s="192"/>
      <c r="P205" s="1014"/>
      <c r="Q205" s="1014"/>
      <c r="R205" s="1001"/>
      <c r="S205" s="1014"/>
      <c r="T205" s="1013"/>
      <c r="U205" s="1015"/>
      <c r="V205" s="1014"/>
      <c r="W205" s="1014"/>
      <c r="X205" s="1001"/>
      <c r="Y205" s="1014"/>
      <c r="Z205" s="1013"/>
      <c r="AA205" s="1015"/>
      <c r="AB205" s="1015"/>
      <c r="AC205" s="194"/>
      <c r="AD205" s="194"/>
      <c r="AE205" s="194"/>
      <c r="AF205" s="194"/>
      <c r="AG205" s="1013"/>
      <c r="AH205" s="1015"/>
      <c r="AJ205" s="79" t="str">
        <f t="shared" si="87"/>
        <v/>
      </c>
      <c r="AK205" s="16" t="str">
        <f t="shared" si="88"/>
        <v/>
      </c>
      <c r="AL205" s="16" t="str">
        <f t="shared" si="89"/>
        <v/>
      </c>
      <c r="AM205" s="16" t="str">
        <f t="shared" si="90"/>
        <v/>
      </c>
      <c r="AN205" s="16" t="str">
        <f t="shared" si="91"/>
        <v/>
      </c>
      <c r="AO205" s="55"/>
      <c r="AP205" s="98">
        <v>4</v>
      </c>
      <c r="AQ205" s="99"/>
      <c r="AR205" s="100">
        <f>IFERROR(AP205*AQ205*AS206,0)</f>
        <v>0</v>
      </c>
      <c r="AS205" s="104"/>
      <c r="AT205" s="167"/>
      <c r="AU205" s="167"/>
      <c r="AV205" s="168"/>
      <c r="AW205" s="169"/>
      <c r="AX205" s="94">
        <f t="shared" si="92"/>
        <v>0</v>
      </c>
      <c r="AY205" s="95">
        <f t="shared" si="93"/>
        <v>0</v>
      </c>
    </row>
    <row r="206" spans="1:51" ht="15" customHeight="1">
      <c r="A206" s="1001"/>
      <c r="B206" s="1010"/>
      <c r="C206" s="1011"/>
      <c r="D206" s="188"/>
      <c r="E206" s="1011"/>
      <c r="F206" s="1012"/>
      <c r="G206" s="1012"/>
      <c r="H206" s="184"/>
      <c r="I206" s="190"/>
      <c r="J206" s="1001"/>
      <c r="K206" s="1001"/>
      <c r="L206" s="186"/>
      <c r="M206" s="1001"/>
      <c r="N206" s="1013"/>
      <c r="O206" s="192"/>
      <c r="P206" s="1014"/>
      <c r="Q206" s="1014"/>
      <c r="R206" s="1001"/>
      <c r="S206" s="1014"/>
      <c r="T206" s="1013"/>
      <c r="U206" s="1015"/>
      <c r="V206" s="1014"/>
      <c r="W206" s="1014"/>
      <c r="X206" s="1001"/>
      <c r="Y206" s="1014"/>
      <c r="Z206" s="1013"/>
      <c r="AA206" s="1015"/>
      <c r="AB206" s="1015"/>
      <c r="AC206" s="194"/>
      <c r="AD206" s="194"/>
      <c r="AE206" s="194"/>
      <c r="AF206" s="194"/>
      <c r="AG206" s="1013"/>
      <c r="AH206" s="1015"/>
      <c r="AJ206" s="79" t="str">
        <f t="shared" si="87"/>
        <v/>
      </c>
      <c r="AK206" s="16" t="str">
        <f t="shared" si="88"/>
        <v/>
      </c>
      <c r="AL206" s="16" t="str">
        <f t="shared" si="89"/>
        <v/>
      </c>
      <c r="AM206" s="16" t="str">
        <f t="shared" si="90"/>
        <v/>
      </c>
      <c r="AN206" s="16" t="str">
        <f t="shared" si="91"/>
        <v/>
      </c>
      <c r="AO206" s="55"/>
      <c r="AP206" s="98">
        <v>3</v>
      </c>
      <c r="AQ206" s="109"/>
      <c r="AR206" s="100">
        <f>IFERROR(AP206*AQ206*AS206,0)</f>
        <v>0</v>
      </c>
      <c r="AS206" s="48">
        <f>IFERROR(AR207/((AP206*AQ206)+(AP205*AQ205)+(AP204*AQ204)+(AP203*AQ203)),0)</f>
        <v>0</v>
      </c>
      <c r="AT206" s="167"/>
      <c r="AU206" s="167"/>
      <c r="AV206" s="168"/>
      <c r="AW206" s="169"/>
      <c r="AX206" s="94">
        <f t="shared" si="92"/>
        <v>0</v>
      </c>
      <c r="AY206" s="95">
        <f t="shared" si="93"/>
        <v>0</v>
      </c>
    </row>
    <row r="207" spans="1:51" ht="14.25" customHeight="1" thickBot="1">
      <c r="A207" s="1001"/>
      <c r="B207" s="1010"/>
      <c r="C207" s="1011"/>
      <c r="D207" s="1011"/>
      <c r="E207" s="1011"/>
      <c r="F207" s="1012"/>
      <c r="G207" s="1012"/>
      <c r="H207" s="184"/>
      <c r="I207" s="190"/>
      <c r="J207" s="1001"/>
      <c r="K207" s="1001"/>
      <c r="L207" s="186"/>
      <c r="M207" s="1001"/>
      <c r="N207" s="1013"/>
      <c r="O207" s="192"/>
      <c r="P207" s="185"/>
      <c r="Q207" s="1014"/>
      <c r="R207" s="1001"/>
      <c r="S207" s="1014"/>
      <c r="T207" s="1013"/>
      <c r="U207" s="1015"/>
      <c r="V207" s="185"/>
      <c r="W207" s="1014"/>
      <c r="X207" s="1001"/>
      <c r="Y207" s="1014"/>
      <c r="Z207" s="1013"/>
      <c r="AA207" s="1015"/>
      <c r="AB207" s="1015"/>
      <c r="AC207" s="194"/>
      <c r="AD207" s="194"/>
      <c r="AE207" s="194"/>
      <c r="AF207" s="194"/>
      <c r="AG207" s="1013"/>
      <c r="AH207" s="1015"/>
      <c r="AJ207" s="79" t="str">
        <f t="shared" si="87"/>
        <v/>
      </c>
      <c r="AK207" s="16" t="str">
        <f t="shared" si="88"/>
        <v/>
      </c>
      <c r="AL207" s="16" t="str">
        <f t="shared" si="89"/>
        <v/>
      </c>
      <c r="AM207" s="16" t="str">
        <f t="shared" si="90"/>
        <v/>
      </c>
      <c r="AN207" s="16" t="str">
        <f t="shared" si="91"/>
        <v/>
      </c>
      <c r="AO207" s="55"/>
      <c r="AP207" s="111"/>
      <c r="AQ207" s="112"/>
      <c r="AR207" s="113"/>
      <c r="AS207" s="104"/>
      <c r="AT207" s="165"/>
      <c r="AU207" s="167"/>
      <c r="AV207" s="168"/>
      <c r="AW207" s="169"/>
      <c r="AX207" s="94">
        <f t="shared" si="92"/>
        <v>0</v>
      </c>
      <c r="AY207" s="95">
        <f t="shared" si="93"/>
        <v>0</v>
      </c>
    </row>
    <row r="208" spans="1:51" ht="14.25" customHeight="1" thickBot="1">
      <c r="A208" s="1001"/>
      <c r="B208" s="1010"/>
      <c r="C208" s="1011"/>
      <c r="D208" s="1011"/>
      <c r="E208" s="1011"/>
      <c r="F208" s="1012"/>
      <c r="G208" s="1012"/>
      <c r="H208" s="184"/>
      <c r="I208" s="190"/>
      <c r="J208" s="1001"/>
      <c r="K208" s="1001"/>
      <c r="L208" s="186"/>
      <c r="M208" s="1001"/>
      <c r="N208" s="1013"/>
      <c r="O208" s="192"/>
      <c r="P208" s="1014"/>
      <c r="Q208" s="1014"/>
      <c r="R208" s="1001"/>
      <c r="S208" s="1014"/>
      <c r="T208" s="1013"/>
      <c r="U208" s="1015"/>
      <c r="V208" s="1014"/>
      <c r="W208" s="1014"/>
      <c r="X208" s="1001"/>
      <c r="Y208" s="1014"/>
      <c r="Z208" s="1013"/>
      <c r="AA208" s="1015"/>
      <c r="AB208" s="1015"/>
      <c r="AC208" s="194"/>
      <c r="AD208" s="194"/>
      <c r="AE208" s="194"/>
      <c r="AF208" s="194"/>
      <c r="AG208" s="1013"/>
      <c r="AH208" s="1015"/>
      <c r="AJ208" s="79" t="str">
        <f t="shared" si="87"/>
        <v/>
      </c>
      <c r="AK208" s="16" t="str">
        <f t="shared" si="88"/>
        <v/>
      </c>
      <c r="AL208" s="16" t="str">
        <f t="shared" si="89"/>
        <v/>
      </c>
      <c r="AM208" s="16" t="str">
        <f t="shared" si="90"/>
        <v/>
      </c>
      <c r="AN208" s="16" t="str">
        <f t="shared" si="91"/>
        <v/>
      </c>
      <c r="AO208" s="55"/>
      <c r="AP208" s="1250" t="s">
        <v>7</v>
      </c>
      <c r="AQ208" s="1250"/>
      <c r="AR208" s="1250"/>
      <c r="AS208" s="104"/>
      <c r="AT208" s="167"/>
      <c r="AU208" s="167"/>
      <c r="AV208" s="168"/>
      <c r="AW208" s="169"/>
      <c r="AX208" s="94">
        <f t="shared" si="92"/>
        <v>0</v>
      </c>
      <c r="AY208" s="95">
        <f t="shared" si="93"/>
        <v>0</v>
      </c>
    </row>
    <row r="209" spans="1:51" ht="15" customHeight="1" thickBot="1">
      <c r="A209" s="1001"/>
      <c r="B209" s="1010"/>
      <c r="C209" s="1011"/>
      <c r="D209" s="1011"/>
      <c r="E209" s="1011"/>
      <c r="F209" s="1012"/>
      <c r="G209" s="1012"/>
      <c r="H209" s="184"/>
      <c r="I209" s="190"/>
      <c r="J209" s="1001"/>
      <c r="K209" s="1001"/>
      <c r="L209" s="186"/>
      <c r="M209" s="1001"/>
      <c r="N209" s="1013"/>
      <c r="O209" s="192"/>
      <c r="P209" s="1014"/>
      <c r="Q209" s="1014"/>
      <c r="R209" s="1001"/>
      <c r="S209" s="1014"/>
      <c r="T209" s="1013"/>
      <c r="U209" s="1015"/>
      <c r="V209" s="1014"/>
      <c r="W209" s="185"/>
      <c r="X209" s="1001"/>
      <c r="Y209" s="1014"/>
      <c r="Z209" s="1013"/>
      <c r="AA209" s="1015"/>
      <c r="AB209" s="1015"/>
      <c r="AC209" s="194"/>
      <c r="AD209" s="194"/>
      <c r="AE209" s="194"/>
      <c r="AF209" s="194"/>
      <c r="AG209" s="1013"/>
      <c r="AH209" s="1015"/>
      <c r="AJ209" s="79" t="str">
        <f t="shared" si="87"/>
        <v/>
      </c>
      <c r="AK209" s="16" t="str">
        <f t="shared" si="88"/>
        <v/>
      </c>
      <c r="AL209" s="16" t="str">
        <f t="shared" si="89"/>
        <v/>
      </c>
      <c r="AM209" s="16" t="str">
        <f t="shared" si="90"/>
        <v/>
      </c>
      <c r="AN209" s="16" t="str">
        <f t="shared" si="91"/>
        <v/>
      </c>
      <c r="AO209" s="73">
        <v>160</v>
      </c>
      <c r="AP209" s="1250"/>
      <c r="AQ209" s="1250"/>
      <c r="AR209" s="1250"/>
      <c r="AS209" s="55"/>
      <c r="AT209" s="167"/>
      <c r="AU209" s="167"/>
      <c r="AV209" s="168"/>
      <c r="AW209" s="169"/>
      <c r="AX209" s="94">
        <f t="shared" si="92"/>
        <v>0</v>
      </c>
      <c r="AY209" s="95">
        <f t="shared" si="93"/>
        <v>0</v>
      </c>
    </row>
    <row r="210" spans="1:51" ht="15" customHeight="1" thickBot="1">
      <c r="A210" s="1001"/>
      <c r="B210" s="1010"/>
      <c r="C210" s="1011"/>
      <c r="D210" s="1011"/>
      <c r="E210" s="1011"/>
      <c r="F210" s="1012"/>
      <c r="G210" s="1012"/>
      <c r="H210" s="184"/>
      <c r="I210" s="190"/>
      <c r="J210" s="1001"/>
      <c r="K210" s="1001"/>
      <c r="L210" s="186"/>
      <c r="M210" s="1001"/>
      <c r="N210" s="1013"/>
      <c r="O210" s="192"/>
      <c r="P210" s="1014"/>
      <c r="Q210" s="185"/>
      <c r="R210" s="1018"/>
      <c r="S210" s="1014"/>
      <c r="T210" s="1013"/>
      <c r="U210" s="1015"/>
      <c r="V210" s="1014"/>
      <c r="W210" s="185"/>
      <c r="X210" s="1001"/>
      <c r="Y210" s="1014"/>
      <c r="Z210" s="1013"/>
      <c r="AA210" s="1015"/>
      <c r="AB210" s="1015"/>
      <c r="AC210" s="194"/>
      <c r="AD210" s="194"/>
      <c r="AE210" s="194"/>
      <c r="AF210" s="194"/>
      <c r="AG210" s="1013"/>
      <c r="AH210" s="1015"/>
      <c r="AJ210" s="79" t="str">
        <f t="shared" si="87"/>
        <v/>
      </c>
      <c r="AK210" s="16" t="str">
        <f t="shared" si="88"/>
        <v/>
      </c>
      <c r="AL210" s="16" t="str">
        <f t="shared" si="89"/>
        <v/>
      </c>
      <c r="AM210" s="16" t="str">
        <f t="shared" si="90"/>
        <v/>
      </c>
      <c r="AN210" s="16" t="str">
        <f t="shared" si="91"/>
        <v/>
      </c>
      <c r="AO210" s="55"/>
      <c r="AP210" s="1250"/>
      <c r="AQ210" s="1250"/>
      <c r="AR210" s="1250"/>
      <c r="AS210" s="55"/>
      <c r="AT210" s="167"/>
      <c r="AU210" s="167"/>
      <c r="AV210" s="168"/>
      <c r="AW210" s="169"/>
      <c r="AX210" s="94">
        <f t="shared" si="92"/>
        <v>0</v>
      </c>
      <c r="AY210" s="95">
        <f t="shared" si="93"/>
        <v>0</v>
      </c>
    </row>
    <row r="211" spans="1:51" ht="16.5" customHeight="1">
      <c r="A211" s="1001"/>
      <c r="B211" s="1010"/>
      <c r="C211" s="1011"/>
      <c r="D211" s="1011"/>
      <c r="E211" s="1011"/>
      <c r="F211" s="1012"/>
      <c r="G211" s="1012"/>
      <c r="H211" s="184"/>
      <c r="I211" s="190"/>
      <c r="J211" s="1001"/>
      <c r="K211" s="1001"/>
      <c r="L211" s="186"/>
      <c r="M211" s="1001"/>
      <c r="N211" s="1013"/>
      <c r="O211" s="192"/>
      <c r="P211" s="1014"/>
      <c r="Q211" s="185"/>
      <c r="R211" s="1014"/>
      <c r="S211" s="1014"/>
      <c r="T211" s="1013"/>
      <c r="U211" s="1015"/>
      <c r="V211" s="1014"/>
      <c r="W211" s="185"/>
      <c r="X211" s="1001"/>
      <c r="Y211" s="1014"/>
      <c r="Z211" s="1013"/>
      <c r="AA211" s="1015"/>
      <c r="AB211" s="1015"/>
      <c r="AC211" s="194"/>
      <c r="AD211" s="194"/>
      <c r="AE211" s="194"/>
      <c r="AF211" s="194"/>
      <c r="AG211" s="1013"/>
      <c r="AH211" s="1015"/>
      <c r="AJ211" s="79" t="str">
        <f t="shared" si="87"/>
        <v/>
      </c>
      <c r="AK211" s="16" t="str">
        <f t="shared" si="88"/>
        <v/>
      </c>
      <c r="AL211" s="16" t="str">
        <f t="shared" si="89"/>
        <v/>
      </c>
      <c r="AM211" s="16" t="str">
        <f t="shared" si="90"/>
        <v/>
      </c>
      <c r="AN211" s="16" t="str">
        <f t="shared" si="91"/>
        <v/>
      </c>
      <c r="AO211" s="55"/>
      <c r="AP211" s="117">
        <v>6</v>
      </c>
      <c r="AQ211" s="118"/>
      <c r="AR211" s="100">
        <f>IFERROR(AP211*AQ211*AS214,0)</f>
        <v>0</v>
      </c>
      <c r="AS211" s="55"/>
      <c r="AT211" s="167"/>
      <c r="AU211" s="167"/>
      <c r="AV211" s="168"/>
      <c r="AW211" s="169"/>
      <c r="AX211" s="94">
        <f t="shared" si="92"/>
        <v>0</v>
      </c>
      <c r="AY211" s="95">
        <f t="shared" si="93"/>
        <v>0</v>
      </c>
    </row>
    <row r="212" spans="1:51" ht="16.5" customHeight="1">
      <c r="A212" s="1001"/>
      <c r="B212" s="1010"/>
      <c r="C212" s="1011"/>
      <c r="D212" s="1011"/>
      <c r="E212" s="1011"/>
      <c r="F212" s="1012"/>
      <c r="G212" s="1012"/>
      <c r="H212" s="184"/>
      <c r="I212" s="190"/>
      <c r="J212" s="1001"/>
      <c r="K212" s="1001"/>
      <c r="L212" s="186"/>
      <c r="M212" s="1001"/>
      <c r="N212" s="1013"/>
      <c r="O212" s="192"/>
      <c r="P212" s="1014"/>
      <c r="Q212" s="184"/>
      <c r="R212" s="1018"/>
      <c r="S212" s="1019"/>
      <c r="T212" s="1013"/>
      <c r="U212" s="1015"/>
      <c r="V212" s="1014"/>
      <c r="W212" s="185"/>
      <c r="X212" s="1001"/>
      <c r="Y212" s="1014"/>
      <c r="Z212" s="1013"/>
      <c r="AA212" s="1015"/>
      <c r="AB212" s="1015"/>
      <c r="AC212" s="194"/>
      <c r="AD212" s="194"/>
      <c r="AE212" s="194"/>
      <c r="AF212" s="194"/>
      <c r="AG212" s="1013"/>
      <c r="AH212" s="1015"/>
      <c r="AJ212" s="79" t="str">
        <f t="shared" si="87"/>
        <v/>
      </c>
      <c r="AK212" s="16" t="str">
        <f t="shared" si="88"/>
        <v/>
      </c>
      <c r="AL212" s="16" t="str">
        <f t="shared" si="89"/>
        <v/>
      </c>
      <c r="AM212" s="16" t="str">
        <f t="shared" si="90"/>
        <v/>
      </c>
      <c r="AN212" s="16" t="str">
        <f t="shared" si="91"/>
        <v/>
      </c>
      <c r="AO212" s="55"/>
      <c r="AP212" s="98">
        <v>5</v>
      </c>
      <c r="AQ212" s="99"/>
      <c r="AR212" s="100">
        <f>IFERROR(AP212*AQ212*AS214,0)</f>
        <v>0</v>
      </c>
      <c r="AS212" s="55"/>
      <c r="AT212" s="177"/>
      <c r="AU212" s="178"/>
      <c r="AV212" s="177"/>
      <c r="AW212" s="179"/>
      <c r="AX212" s="94">
        <f t="shared" si="92"/>
        <v>0</v>
      </c>
      <c r="AY212" s="95">
        <f t="shared" si="93"/>
        <v>0</v>
      </c>
    </row>
    <row r="213" spans="1:51" ht="15.75" customHeight="1">
      <c r="A213" s="1001"/>
      <c r="B213" s="1010"/>
      <c r="C213" s="1020"/>
      <c r="D213" s="1021"/>
      <c r="E213" s="1020"/>
      <c r="F213" s="1022"/>
      <c r="G213" s="1022"/>
      <c r="H213" s="184"/>
      <c r="I213" s="190"/>
      <c r="J213" s="1001"/>
      <c r="K213" s="1001"/>
      <c r="L213" s="186"/>
      <c r="M213" s="1001"/>
      <c r="N213" s="1013"/>
      <c r="O213" s="192"/>
      <c r="P213" s="1019"/>
      <c r="Q213" s="184"/>
      <c r="R213" s="1018"/>
      <c r="S213" s="1019"/>
      <c r="T213" s="1013"/>
      <c r="U213" s="1015"/>
      <c r="V213" s="1014"/>
      <c r="W213" s="185"/>
      <c r="X213" s="1001"/>
      <c r="Y213" s="1014"/>
      <c r="Z213" s="1013"/>
      <c r="AA213" s="1015"/>
      <c r="AB213" s="1015"/>
      <c r="AC213" s="194"/>
      <c r="AD213" s="194"/>
      <c r="AE213" s="194"/>
      <c r="AF213" s="194"/>
      <c r="AG213" s="1013"/>
      <c r="AH213" s="1015"/>
      <c r="AJ213" s="79" t="str">
        <f t="shared" si="87"/>
        <v/>
      </c>
      <c r="AK213" s="16" t="str">
        <f t="shared" si="88"/>
        <v/>
      </c>
      <c r="AL213" s="16" t="str">
        <f t="shared" si="89"/>
        <v/>
      </c>
      <c r="AM213" s="16" t="str">
        <f t="shared" si="90"/>
        <v/>
      </c>
      <c r="AN213" s="16" t="str">
        <f t="shared" si="91"/>
        <v/>
      </c>
      <c r="AO213" s="104"/>
      <c r="AP213" s="98">
        <v>4</v>
      </c>
      <c r="AQ213" s="99"/>
      <c r="AR213" s="100">
        <f>IFERROR(AP213*AQ213*AS214,0)</f>
        <v>0</v>
      </c>
      <c r="AS213" s="55"/>
      <c r="AT213" s="167"/>
      <c r="AU213" s="165"/>
      <c r="AV213" s="168"/>
      <c r="AW213" s="169"/>
      <c r="AX213" s="94">
        <f t="shared" si="92"/>
        <v>0</v>
      </c>
      <c r="AY213" s="95">
        <f t="shared" si="93"/>
        <v>0</v>
      </c>
    </row>
    <row r="214" spans="1:51" ht="15" customHeight="1">
      <c r="A214" s="1001"/>
      <c r="B214" s="1001"/>
      <c r="C214" s="1023"/>
      <c r="D214" s="1023"/>
      <c r="E214" s="1023"/>
      <c r="F214" s="1024"/>
      <c r="G214" s="1024"/>
      <c r="H214" s="1001"/>
      <c r="I214" s="1001"/>
      <c r="J214" s="201"/>
      <c r="K214" s="201"/>
      <c r="L214" s="201"/>
      <c r="M214" s="201"/>
      <c r="N214" s="1025"/>
      <c r="O214" s="1002"/>
      <c r="P214" s="1001"/>
      <c r="Q214" s="1001"/>
      <c r="R214" s="1001"/>
      <c r="S214" s="1003"/>
      <c r="T214" s="1001"/>
      <c r="U214" s="1004"/>
      <c r="V214" s="1001"/>
      <c r="W214" s="1001"/>
      <c r="X214" s="1001"/>
      <c r="Y214" s="1001"/>
      <c r="Z214" s="1001"/>
      <c r="AA214" s="1004"/>
      <c r="AB214" s="1001"/>
      <c r="AC214" s="1001"/>
      <c r="AD214" s="1001"/>
      <c r="AE214" s="1001"/>
      <c r="AF214" s="1001"/>
      <c r="AG214" s="54"/>
      <c r="AH214" s="54"/>
      <c r="AK214" s="2"/>
      <c r="AL214" s="2"/>
      <c r="AM214" s="2"/>
      <c r="AN214" s="2"/>
      <c r="AO214" s="55"/>
      <c r="AP214" s="98">
        <v>3</v>
      </c>
      <c r="AQ214" s="109"/>
      <c r="AR214" s="100">
        <f>IFERROR(AP214*AQ214*AS214,0)</f>
        <v>0</v>
      </c>
      <c r="AS214" s="48">
        <f>IFERROR(AR215/((AP214*AQ214)+(AP213*AQ213)+(AP212*AQ212)+(AP211*AQ211)),0)</f>
        <v>0</v>
      </c>
    </row>
    <row r="215" spans="1:51" ht="15" customHeight="1" thickBot="1">
      <c r="A215" s="1001"/>
      <c r="B215" s="1001"/>
      <c r="C215" s="1023"/>
      <c r="D215" s="1023"/>
      <c r="E215" s="1023"/>
      <c r="F215" s="1024"/>
      <c r="G215" s="1024"/>
      <c r="H215" s="184"/>
      <c r="I215" s="190"/>
      <c r="J215" s="1026"/>
      <c r="K215" s="1026"/>
      <c r="L215" s="1026"/>
      <c r="M215" s="1026"/>
      <c r="N215" s="1013"/>
      <c r="O215" s="192"/>
      <c r="P215" s="1027"/>
      <c r="Q215" s="1027"/>
      <c r="R215" s="1027"/>
      <c r="S215" s="1027"/>
      <c r="T215" s="1018"/>
      <c r="U215" s="1018"/>
      <c r="V215" s="1027"/>
      <c r="W215" s="1027"/>
      <c r="X215" s="1027"/>
      <c r="Y215" s="1027"/>
      <c r="Z215" s="1001"/>
      <c r="AA215" s="1001"/>
      <c r="AB215" s="1001"/>
      <c r="AC215" s="1027"/>
      <c r="AD215" s="1027"/>
      <c r="AE215" s="1027"/>
      <c r="AF215" s="1027"/>
      <c r="AG215" s="54"/>
      <c r="AH215" s="54"/>
      <c r="AK215" s="154">
        <f>SUM(AK202:AK214)</f>
        <v>0</v>
      </c>
      <c r="AL215" s="154">
        <f>SUM(AL202:AL214)</f>
        <v>0</v>
      </c>
      <c r="AM215" s="154">
        <f>SUM(AM202:AM214)</f>
        <v>0</v>
      </c>
      <c r="AN215" s="154">
        <f>SUM(AN202:AN214)</f>
        <v>0</v>
      </c>
      <c r="AO215" s="55"/>
      <c r="AP215" s="111"/>
      <c r="AQ215" s="112"/>
      <c r="AR215" s="155"/>
      <c r="AS215" s="55"/>
    </row>
    <row r="216" spans="1:51" ht="15.75" customHeight="1">
      <c r="A216" s="1028"/>
      <c r="B216" s="1001"/>
      <c r="C216" s="1001"/>
      <c r="D216" s="1001"/>
      <c r="E216" s="1001"/>
      <c r="F216" s="1001"/>
      <c r="G216" s="1001"/>
      <c r="H216" s="1018"/>
      <c r="I216" s="190"/>
      <c r="J216" s="1026"/>
      <c r="K216" s="1026"/>
      <c r="L216" s="1026"/>
      <c r="M216" s="1026"/>
      <c r="N216" s="1013"/>
      <c r="O216" s="192"/>
      <c r="P216" s="1027"/>
      <c r="Q216" s="1027"/>
      <c r="R216" s="1027"/>
      <c r="S216" s="1027"/>
      <c r="T216" s="1029"/>
      <c r="U216" s="1030"/>
      <c r="V216" s="1027"/>
      <c r="W216" s="1027"/>
      <c r="X216" s="1027"/>
      <c r="Y216" s="1027"/>
      <c r="Z216" s="1031"/>
      <c r="AA216" s="1032"/>
      <c r="AB216" s="1033"/>
      <c r="AC216" s="1027"/>
      <c r="AD216" s="1027"/>
      <c r="AE216" s="1027"/>
      <c r="AF216" s="1027"/>
      <c r="AG216" s="54"/>
      <c r="AH216" s="1030"/>
      <c r="AK216" s="48"/>
      <c r="AL216" s="48"/>
      <c r="AM216" s="48"/>
      <c r="AN216" s="48"/>
      <c r="AO216" s="55"/>
      <c r="AP216" s="55"/>
      <c r="AQ216" s="55"/>
      <c r="AR216" s="157">
        <f>AR207+AR215</f>
        <v>0</v>
      </c>
      <c r="AS216" s="55"/>
    </row>
    <row r="217" spans="1:51" ht="19.5" customHeight="1" thickBot="1">
      <c r="A217" s="1007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007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  <c r="AC217" s="182"/>
      <c r="AD217" s="182"/>
      <c r="AE217" s="182"/>
      <c r="AF217" s="182"/>
      <c r="AG217" s="54"/>
      <c r="AH217" s="54"/>
      <c r="AK217" s="48"/>
      <c r="AL217" s="48"/>
      <c r="AM217" s="48"/>
      <c r="AN217" s="48"/>
      <c r="AO217" s="48"/>
      <c r="AP217" s="48"/>
      <c r="AQ217" s="48"/>
      <c r="AR217" s="48"/>
      <c r="AS217" s="48"/>
    </row>
    <row r="218" spans="1:51" ht="14.25" customHeight="1" thickBot="1">
      <c r="A218" s="1252"/>
      <c r="B218" s="1253"/>
      <c r="C218" s="1254"/>
      <c r="D218" s="1254"/>
      <c r="E218" s="1254"/>
      <c r="F218" s="1254"/>
      <c r="G218" s="1254"/>
      <c r="H218" s="1253"/>
      <c r="I218" s="1254"/>
      <c r="J218" s="1253"/>
      <c r="K218" s="1253"/>
      <c r="L218" s="1253"/>
      <c r="M218" s="1253"/>
      <c r="N218" s="1255"/>
      <c r="O218" s="1258"/>
      <c r="P218" s="1254"/>
      <c r="Q218" s="1254"/>
      <c r="R218" s="1254"/>
      <c r="S218" s="1254"/>
      <c r="T218" s="1259"/>
      <c r="U218" s="1258"/>
      <c r="V218" s="1254"/>
      <c r="W218" s="1254"/>
      <c r="X218" s="1254"/>
      <c r="Y218" s="1254"/>
      <c r="Z218" s="1259"/>
      <c r="AA218" s="1258"/>
      <c r="AB218" s="1258"/>
      <c r="AC218" s="1260"/>
      <c r="AD218" s="1260"/>
      <c r="AE218" s="1260"/>
      <c r="AF218" s="1260"/>
      <c r="AG218" s="1259"/>
      <c r="AH218" s="1258"/>
      <c r="AK218" s="1257" t="s">
        <v>37</v>
      </c>
      <c r="AL218" s="1257"/>
      <c r="AM218" s="1257"/>
      <c r="AN218" s="1257"/>
      <c r="AO218" s="55"/>
      <c r="AP218" s="1250" t="s">
        <v>7</v>
      </c>
      <c r="AQ218" s="1250"/>
      <c r="AR218" s="1250"/>
      <c r="AS218" s="55"/>
      <c r="AT218" s="1251" t="s">
        <v>38</v>
      </c>
      <c r="AU218" s="1251"/>
      <c r="AV218" s="1251"/>
      <c r="AW218" s="1251"/>
      <c r="AX218" s="94" t="s">
        <v>39</v>
      </c>
      <c r="AY218" s="95" t="s">
        <v>12</v>
      </c>
    </row>
    <row r="219" spans="1:51" ht="18" customHeight="1" thickBot="1">
      <c r="A219" s="1252"/>
      <c r="B219" s="1252"/>
      <c r="C219" s="186"/>
      <c r="D219" s="186"/>
      <c r="E219" s="186"/>
      <c r="F219" s="186"/>
      <c r="G219" s="186"/>
      <c r="H219" s="1253"/>
      <c r="I219" s="1254"/>
      <c r="J219" s="185"/>
      <c r="K219" s="185"/>
      <c r="L219" s="185"/>
      <c r="M219" s="185"/>
      <c r="N219" s="1255"/>
      <c r="O219" s="1258"/>
      <c r="P219" s="186"/>
      <c r="Q219" s="185"/>
      <c r="R219" s="1008"/>
      <c r="S219" s="185"/>
      <c r="T219" s="1259"/>
      <c r="U219" s="1259"/>
      <c r="V219" s="186"/>
      <c r="W219" s="185"/>
      <c r="X219" s="1008"/>
      <c r="Y219" s="185"/>
      <c r="Z219" s="1259"/>
      <c r="AA219" s="1259"/>
      <c r="AB219" s="1258"/>
      <c r="AC219" s="186"/>
      <c r="AD219" s="185"/>
      <c r="AE219" s="1008"/>
      <c r="AF219" s="185"/>
      <c r="AG219" s="1259"/>
      <c r="AH219" s="1258"/>
      <c r="AK219" s="162" t="s">
        <v>49</v>
      </c>
      <c r="AL219" s="162" t="s">
        <v>50</v>
      </c>
      <c r="AM219" s="162" t="s">
        <v>51</v>
      </c>
      <c r="AN219" s="162" t="s">
        <v>52</v>
      </c>
      <c r="AO219" s="73">
        <v>130</v>
      </c>
      <c r="AP219" s="1250"/>
      <c r="AQ219" s="1250"/>
      <c r="AR219" s="1250"/>
      <c r="AS219" s="55"/>
      <c r="AT219" s="164" t="s">
        <v>45</v>
      </c>
      <c r="AU219" s="165" t="s">
        <v>46</v>
      </c>
      <c r="AV219" s="166" t="s">
        <v>47</v>
      </c>
      <c r="AW219" s="161" t="s">
        <v>48</v>
      </c>
      <c r="AX219" s="94"/>
      <c r="AY219" s="95"/>
    </row>
    <row r="220" spans="1:51" ht="15" customHeight="1" thickBot="1">
      <c r="A220" s="1009"/>
      <c r="B220" s="1010"/>
      <c r="C220" s="1011"/>
      <c r="D220" s="1011"/>
      <c r="E220" s="1011"/>
      <c r="F220" s="1012"/>
      <c r="G220" s="1012"/>
      <c r="H220" s="184"/>
      <c r="I220" s="190"/>
      <c r="J220" s="1001"/>
      <c r="K220" s="1001"/>
      <c r="L220" s="186"/>
      <c r="M220" s="1001"/>
      <c r="N220" s="1013"/>
      <c r="O220" s="192"/>
      <c r="P220" s="1014"/>
      <c r="Q220" s="1014"/>
      <c r="R220" s="1001"/>
      <c r="S220" s="1014"/>
      <c r="T220" s="1013"/>
      <c r="U220" s="1015"/>
      <c r="V220" s="1014"/>
      <c r="W220" s="1014"/>
      <c r="X220" s="1001"/>
      <c r="Y220" s="1014"/>
      <c r="Z220" s="1013"/>
      <c r="AA220" s="1015"/>
      <c r="AB220" s="1015"/>
      <c r="AC220" s="194"/>
      <c r="AD220" s="194"/>
      <c r="AE220" s="194"/>
      <c r="AF220" s="194"/>
      <c r="AG220" s="1013"/>
      <c r="AH220" s="1015"/>
      <c r="AJ220" s="79" t="str">
        <f t="shared" ref="AJ220:AJ231" si="94">IF(H220=130,0.132335,IF(H220=100,0.0785,IF(H220=110,0.095,IF(H220=160,0.198005,""))))</f>
        <v/>
      </c>
      <c r="AK220" s="16" t="str">
        <f t="shared" ref="AK220:AK231" si="95">IFERROR(P220*3*AJ220,"")</f>
        <v/>
      </c>
      <c r="AL220" s="16" t="str">
        <f t="shared" ref="AL220:AL231" si="96">IFERROR(Q220*4*AJ220,"")</f>
        <v/>
      </c>
      <c r="AM220" s="16" t="str">
        <f t="shared" ref="AM220:AM231" si="97">IFERROR(R220*5*AJ220,"")</f>
        <v/>
      </c>
      <c r="AN220" s="16" t="str">
        <f t="shared" ref="AN220:AN231" si="98">IFERROR(S220*6*AJ220,"")</f>
        <v/>
      </c>
      <c r="AO220" s="55"/>
      <c r="AP220" s="1250"/>
      <c r="AQ220" s="1250"/>
      <c r="AR220" s="1250"/>
      <c r="AS220" s="55"/>
      <c r="AT220" s="167"/>
      <c r="AU220" s="167"/>
      <c r="AV220" s="168"/>
      <c r="AW220" s="169"/>
      <c r="AX220" s="94">
        <f t="shared" ref="AX220:AX231" si="99">AT220*3+AU220*4+AV220*5+AW220*6</f>
        <v>0</v>
      </c>
      <c r="AY220" s="95">
        <f t="shared" ref="AY220:AY231" si="100">AX220*I220</f>
        <v>0</v>
      </c>
    </row>
    <row r="221" spans="1:51" ht="15" customHeight="1">
      <c r="A221" s="1001"/>
      <c r="B221" s="1010"/>
      <c r="C221" s="1011"/>
      <c r="D221" s="1011"/>
      <c r="E221" s="1011"/>
      <c r="F221" s="1012"/>
      <c r="G221" s="1012"/>
      <c r="H221" s="184"/>
      <c r="I221" s="190"/>
      <c r="J221" s="1001"/>
      <c r="K221" s="1001"/>
      <c r="L221" s="186"/>
      <c r="M221" s="1001"/>
      <c r="N221" s="1013"/>
      <c r="O221" s="192"/>
      <c r="P221" s="1014"/>
      <c r="Q221" s="1014"/>
      <c r="R221" s="1001"/>
      <c r="S221" s="1014"/>
      <c r="T221" s="1013"/>
      <c r="U221" s="1015"/>
      <c r="V221" s="1014"/>
      <c r="W221" s="1014"/>
      <c r="X221" s="186"/>
      <c r="Y221" s="1014"/>
      <c r="Z221" s="1013"/>
      <c r="AA221" s="1015"/>
      <c r="AB221" s="1015"/>
      <c r="AC221" s="194"/>
      <c r="AD221" s="194"/>
      <c r="AE221" s="194"/>
      <c r="AF221" s="194"/>
      <c r="AG221" s="1013"/>
      <c r="AH221" s="1015"/>
      <c r="AJ221" s="79" t="str">
        <f t="shared" si="94"/>
        <v/>
      </c>
      <c r="AK221" s="16" t="str">
        <f t="shared" si="95"/>
        <v/>
      </c>
      <c r="AL221" s="16" t="str">
        <f t="shared" si="96"/>
        <v/>
      </c>
      <c r="AM221" s="16" t="str">
        <f t="shared" si="97"/>
        <v/>
      </c>
      <c r="AN221" s="16" t="str">
        <f t="shared" si="98"/>
        <v/>
      </c>
      <c r="AO221" s="55"/>
      <c r="AP221" s="98">
        <v>6</v>
      </c>
      <c r="AQ221" s="99"/>
      <c r="AR221" s="100">
        <f>IFERROR(AP221*AQ221*AS224,0)</f>
        <v>0</v>
      </c>
      <c r="AS221" s="55"/>
      <c r="AT221" s="167"/>
      <c r="AU221" s="167"/>
      <c r="AV221" s="164"/>
      <c r="AW221" s="169"/>
      <c r="AX221" s="94">
        <f t="shared" si="99"/>
        <v>0</v>
      </c>
      <c r="AY221" s="95">
        <f t="shared" si="100"/>
        <v>0</v>
      </c>
    </row>
    <row r="222" spans="1:51" ht="15" customHeight="1">
      <c r="A222" s="1001"/>
      <c r="B222" s="1010"/>
      <c r="C222" s="1016"/>
      <c r="D222" s="1016"/>
      <c r="E222" s="1016"/>
      <c r="F222" s="1017"/>
      <c r="G222" s="1017"/>
      <c r="H222" s="184"/>
      <c r="I222" s="190"/>
      <c r="J222" s="1001"/>
      <c r="K222" s="1001"/>
      <c r="L222" s="186"/>
      <c r="M222" s="1001"/>
      <c r="N222" s="1013"/>
      <c r="O222" s="192"/>
      <c r="P222" s="1014"/>
      <c r="Q222" s="1014"/>
      <c r="R222" s="1001"/>
      <c r="S222" s="1014"/>
      <c r="T222" s="1013"/>
      <c r="U222" s="1015"/>
      <c r="V222" s="1014"/>
      <c r="W222" s="1014"/>
      <c r="X222" s="1001"/>
      <c r="Y222" s="1014"/>
      <c r="Z222" s="1013"/>
      <c r="AA222" s="1015"/>
      <c r="AB222" s="1015"/>
      <c r="AC222" s="194"/>
      <c r="AD222" s="194"/>
      <c r="AE222" s="194"/>
      <c r="AF222" s="194"/>
      <c r="AG222" s="1013"/>
      <c r="AH222" s="1015"/>
      <c r="AJ222" s="79" t="str">
        <f t="shared" si="94"/>
        <v/>
      </c>
      <c r="AK222" s="16" t="str">
        <f t="shared" si="95"/>
        <v/>
      </c>
      <c r="AL222" s="16" t="str">
        <f t="shared" si="96"/>
        <v/>
      </c>
      <c r="AM222" s="16" t="str">
        <f t="shared" si="97"/>
        <v/>
      </c>
      <c r="AN222" s="16" t="str">
        <f t="shared" si="98"/>
        <v/>
      </c>
      <c r="AO222" s="55"/>
      <c r="AP222" s="98">
        <v>5</v>
      </c>
      <c r="AQ222" s="99"/>
      <c r="AR222" s="100">
        <f>IFERROR(AP222*AQ222*AS224,0)</f>
        <v>0</v>
      </c>
      <c r="AS222" s="104"/>
      <c r="AT222" s="165"/>
      <c r="AU222" s="167"/>
      <c r="AV222" s="168"/>
      <c r="AW222" s="169"/>
      <c r="AX222" s="94">
        <f t="shared" si="99"/>
        <v>0</v>
      </c>
      <c r="AY222" s="95">
        <f t="shared" si="100"/>
        <v>0</v>
      </c>
    </row>
    <row r="223" spans="1:51" ht="15" customHeight="1">
      <c r="A223" s="1001"/>
      <c r="B223" s="1010"/>
      <c r="C223" s="1011"/>
      <c r="D223" s="1011"/>
      <c r="E223" s="1011"/>
      <c r="F223" s="1012"/>
      <c r="G223" s="1012"/>
      <c r="H223" s="184"/>
      <c r="I223" s="190"/>
      <c r="J223" s="1001"/>
      <c r="K223" s="1001"/>
      <c r="L223" s="186"/>
      <c r="M223" s="1001"/>
      <c r="N223" s="1013"/>
      <c r="O223" s="192"/>
      <c r="P223" s="1014"/>
      <c r="Q223" s="1014"/>
      <c r="R223" s="1001"/>
      <c r="S223" s="1014"/>
      <c r="T223" s="1013"/>
      <c r="U223" s="1015"/>
      <c r="V223" s="1014"/>
      <c r="W223" s="1014"/>
      <c r="X223" s="1001"/>
      <c r="Y223" s="1014"/>
      <c r="Z223" s="1013"/>
      <c r="AA223" s="1015"/>
      <c r="AB223" s="1015"/>
      <c r="AC223" s="194"/>
      <c r="AD223" s="194"/>
      <c r="AE223" s="194"/>
      <c r="AF223" s="194"/>
      <c r="AG223" s="1013"/>
      <c r="AH223" s="1015"/>
      <c r="AJ223" s="79" t="str">
        <f t="shared" si="94"/>
        <v/>
      </c>
      <c r="AK223" s="16" t="str">
        <f t="shared" si="95"/>
        <v/>
      </c>
      <c r="AL223" s="16" t="str">
        <f t="shared" si="96"/>
        <v/>
      </c>
      <c r="AM223" s="16" t="str">
        <f t="shared" si="97"/>
        <v/>
      </c>
      <c r="AN223" s="16" t="str">
        <f t="shared" si="98"/>
        <v/>
      </c>
      <c r="AO223" s="55"/>
      <c r="AP223" s="98">
        <v>4</v>
      </c>
      <c r="AQ223" s="99"/>
      <c r="AR223" s="100">
        <f>IFERROR(AP223*AQ223*AS224,0)</f>
        <v>0</v>
      </c>
      <c r="AS223" s="104"/>
      <c r="AT223" s="167"/>
      <c r="AU223" s="167"/>
      <c r="AV223" s="168"/>
      <c r="AW223" s="169"/>
      <c r="AX223" s="94">
        <f t="shared" si="99"/>
        <v>0</v>
      </c>
      <c r="AY223" s="95">
        <f t="shared" si="100"/>
        <v>0</v>
      </c>
    </row>
    <row r="224" spans="1:51" ht="15" customHeight="1">
      <c r="A224" s="1001"/>
      <c r="B224" s="1010"/>
      <c r="C224" s="1011"/>
      <c r="D224" s="188"/>
      <c r="E224" s="1011"/>
      <c r="F224" s="1012"/>
      <c r="G224" s="1012"/>
      <c r="H224" s="184"/>
      <c r="I224" s="190"/>
      <c r="J224" s="1001"/>
      <c r="K224" s="1001"/>
      <c r="L224" s="186"/>
      <c r="M224" s="1001"/>
      <c r="N224" s="1013"/>
      <c r="O224" s="192"/>
      <c r="P224" s="1014"/>
      <c r="Q224" s="1014"/>
      <c r="R224" s="1001"/>
      <c r="S224" s="1014"/>
      <c r="T224" s="1013"/>
      <c r="U224" s="1015"/>
      <c r="V224" s="1014"/>
      <c r="W224" s="1014"/>
      <c r="X224" s="1001"/>
      <c r="Y224" s="1014"/>
      <c r="Z224" s="1013"/>
      <c r="AA224" s="1015"/>
      <c r="AB224" s="1015"/>
      <c r="AC224" s="194"/>
      <c r="AD224" s="194"/>
      <c r="AE224" s="194"/>
      <c r="AF224" s="194"/>
      <c r="AG224" s="1013"/>
      <c r="AH224" s="1015"/>
      <c r="AJ224" s="79" t="str">
        <f t="shared" si="94"/>
        <v/>
      </c>
      <c r="AK224" s="16" t="str">
        <f t="shared" si="95"/>
        <v/>
      </c>
      <c r="AL224" s="16" t="str">
        <f t="shared" si="96"/>
        <v/>
      </c>
      <c r="AM224" s="16" t="str">
        <f t="shared" si="97"/>
        <v/>
      </c>
      <c r="AN224" s="16" t="str">
        <f t="shared" si="98"/>
        <v/>
      </c>
      <c r="AO224" s="55"/>
      <c r="AP224" s="98">
        <v>3</v>
      </c>
      <c r="AQ224" s="109"/>
      <c r="AR224" s="100">
        <f>IFERROR(AP224*AQ224*AS224,0)</f>
        <v>0</v>
      </c>
      <c r="AS224" s="48">
        <f>IFERROR(AR225/((AP224*AQ224)+(AP223*AQ223)+(AP222*AQ222)+(AP221*AQ221)),0)</f>
        <v>0</v>
      </c>
      <c r="AT224" s="167"/>
      <c r="AU224" s="167"/>
      <c r="AV224" s="168"/>
      <c r="AW224" s="169"/>
      <c r="AX224" s="94">
        <f t="shared" si="99"/>
        <v>0</v>
      </c>
      <c r="AY224" s="95">
        <f t="shared" si="100"/>
        <v>0</v>
      </c>
    </row>
    <row r="225" spans="1:51" ht="14.25" customHeight="1" thickBot="1">
      <c r="A225" s="1001"/>
      <c r="B225" s="1010"/>
      <c r="C225" s="1011"/>
      <c r="D225" s="1011"/>
      <c r="E225" s="1011"/>
      <c r="F225" s="1012"/>
      <c r="G225" s="1012"/>
      <c r="H225" s="184"/>
      <c r="I225" s="190"/>
      <c r="J225" s="1001"/>
      <c r="K225" s="1001"/>
      <c r="L225" s="186"/>
      <c r="M225" s="1001"/>
      <c r="N225" s="1013"/>
      <c r="O225" s="192"/>
      <c r="P225" s="185"/>
      <c r="Q225" s="1014"/>
      <c r="R225" s="1001"/>
      <c r="S225" s="1014"/>
      <c r="T225" s="1013"/>
      <c r="U225" s="1015"/>
      <c r="V225" s="185"/>
      <c r="W225" s="1014"/>
      <c r="X225" s="1001"/>
      <c r="Y225" s="1014"/>
      <c r="Z225" s="1013"/>
      <c r="AA225" s="1015"/>
      <c r="AB225" s="1015"/>
      <c r="AC225" s="194"/>
      <c r="AD225" s="194"/>
      <c r="AE225" s="194"/>
      <c r="AF225" s="194"/>
      <c r="AG225" s="1013"/>
      <c r="AH225" s="1015"/>
      <c r="AJ225" s="79" t="str">
        <f t="shared" si="94"/>
        <v/>
      </c>
      <c r="AK225" s="16" t="str">
        <f t="shared" si="95"/>
        <v/>
      </c>
      <c r="AL225" s="16" t="str">
        <f t="shared" si="96"/>
        <v/>
      </c>
      <c r="AM225" s="16" t="str">
        <f t="shared" si="97"/>
        <v/>
      </c>
      <c r="AN225" s="16" t="str">
        <f t="shared" si="98"/>
        <v/>
      </c>
      <c r="AO225" s="55"/>
      <c r="AP225" s="111"/>
      <c r="AQ225" s="112"/>
      <c r="AR225" s="113"/>
      <c r="AS225" s="104"/>
      <c r="AT225" s="165"/>
      <c r="AU225" s="167"/>
      <c r="AV225" s="168"/>
      <c r="AW225" s="169"/>
      <c r="AX225" s="94">
        <f t="shared" si="99"/>
        <v>0</v>
      </c>
      <c r="AY225" s="95">
        <f t="shared" si="100"/>
        <v>0</v>
      </c>
    </row>
    <row r="226" spans="1:51" ht="14.25" customHeight="1" thickBot="1">
      <c r="A226" s="1001"/>
      <c r="B226" s="1010"/>
      <c r="C226" s="1011"/>
      <c r="D226" s="1011"/>
      <c r="E226" s="1011"/>
      <c r="F226" s="1012"/>
      <c r="G226" s="1012"/>
      <c r="H226" s="184"/>
      <c r="I226" s="190"/>
      <c r="J226" s="1001"/>
      <c r="K226" s="1001"/>
      <c r="L226" s="186"/>
      <c r="M226" s="1001"/>
      <c r="N226" s="1013"/>
      <c r="O226" s="192"/>
      <c r="P226" s="1014"/>
      <c r="Q226" s="1014"/>
      <c r="R226" s="1001"/>
      <c r="S226" s="1014"/>
      <c r="T226" s="1013"/>
      <c r="U226" s="1015"/>
      <c r="V226" s="1014"/>
      <c r="W226" s="1014"/>
      <c r="X226" s="1001"/>
      <c r="Y226" s="1014"/>
      <c r="Z226" s="1013"/>
      <c r="AA226" s="1015"/>
      <c r="AB226" s="1015"/>
      <c r="AC226" s="194"/>
      <c r="AD226" s="194"/>
      <c r="AE226" s="194"/>
      <c r="AF226" s="194"/>
      <c r="AG226" s="1013"/>
      <c r="AH226" s="1015"/>
      <c r="AJ226" s="79" t="str">
        <f t="shared" si="94"/>
        <v/>
      </c>
      <c r="AK226" s="16" t="str">
        <f t="shared" si="95"/>
        <v/>
      </c>
      <c r="AL226" s="16" t="str">
        <f t="shared" si="96"/>
        <v/>
      </c>
      <c r="AM226" s="16" t="str">
        <f t="shared" si="97"/>
        <v/>
      </c>
      <c r="AN226" s="16" t="str">
        <f t="shared" si="98"/>
        <v/>
      </c>
      <c r="AO226" s="55"/>
      <c r="AP226" s="1250" t="s">
        <v>7</v>
      </c>
      <c r="AQ226" s="1250"/>
      <c r="AR226" s="1250"/>
      <c r="AS226" s="104"/>
      <c r="AT226" s="167"/>
      <c r="AU226" s="167"/>
      <c r="AV226" s="168"/>
      <c r="AW226" s="169"/>
      <c r="AX226" s="94">
        <f t="shared" si="99"/>
        <v>0</v>
      </c>
      <c r="AY226" s="95">
        <f t="shared" si="100"/>
        <v>0</v>
      </c>
    </row>
    <row r="227" spans="1:51" ht="15" customHeight="1" thickBot="1">
      <c r="A227" s="1001"/>
      <c r="B227" s="1010"/>
      <c r="C227" s="1011"/>
      <c r="D227" s="1011"/>
      <c r="E227" s="1011"/>
      <c r="F227" s="1012"/>
      <c r="G227" s="1012"/>
      <c r="H227" s="184"/>
      <c r="I227" s="190"/>
      <c r="J227" s="1001"/>
      <c r="K227" s="1001"/>
      <c r="L227" s="186"/>
      <c r="M227" s="1001"/>
      <c r="N227" s="1013"/>
      <c r="O227" s="192"/>
      <c r="P227" s="1014"/>
      <c r="Q227" s="1014"/>
      <c r="R227" s="1001"/>
      <c r="S227" s="1014"/>
      <c r="T227" s="1013"/>
      <c r="U227" s="1015"/>
      <c r="V227" s="1014"/>
      <c r="W227" s="185"/>
      <c r="X227" s="1001"/>
      <c r="Y227" s="1014"/>
      <c r="Z227" s="1013"/>
      <c r="AA227" s="1015"/>
      <c r="AB227" s="1015"/>
      <c r="AC227" s="194"/>
      <c r="AD227" s="194"/>
      <c r="AE227" s="194"/>
      <c r="AF227" s="194"/>
      <c r="AG227" s="1013"/>
      <c r="AH227" s="1015"/>
      <c r="AJ227" s="79" t="str">
        <f t="shared" si="94"/>
        <v/>
      </c>
      <c r="AK227" s="16" t="str">
        <f t="shared" si="95"/>
        <v/>
      </c>
      <c r="AL227" s="16" t="str">
        <f t="shared" si="96"/>
        <v/>
      </c>
      <c r="AM227" s="16" t="str">
        <f t="shared" si="97"/>
        <v/>
      </c>
      <c r="AN227" s="16" t="str">
        <f t="shared" si="98"/>
        <v/>
      </c>
      <c r="AO227" s="73">
        <v>160</v>
      </c>
      <c r="AP227" s="1250"/>
      <c r="AQ227" s="1250"/>
      <c r="AR227" s="1250"/>
      <c r="AS227" s="55"/>
      <c r="AT227" s="167"/>
      <c r="AU227" s="165"/>
      <c r="AV227" s="168"/>
      <c r="AW227" s="169"/>
      <c r="AX227" s="94">
        <f t="shared" si="99"/>
        <v>0</v>
      </c>
      <c r="AY227" s="95">
        <f t="shared" si="100"/>
        <v>0</v>
      </c>
    </row>
    <row r="228" spans="1:51" ht="15" customHeight="1" thickBot="1">
      <c r="A228" s="1001"/>
      <c r="B228" s="1010"/>
      <c r="C228" s="1011"/>
      <c r="D228" s="1011"/>
      <c r="E228" s="1011"/>
      <c r="F228" s="1012"/>
      <c r="G228" s="1012"/>
      <c r="H228" s="184"/>
      <c r="I228" s="190"/>
      <c r="J228" s="1001"/>
      <c r="K228" s="1001"/>
      <c r="L228" s="186"/>
      <c r="M228" s="1001"/>
      <c r="N228" s="1013"/>
      <c r="O228" s="192"/>
      <c r="P228" s="1014"/>
      <c r="Q228" s="185"/>
      <c r="R228" s="1018"/>
      <c r="S228" s="1014"/>
      <c r="T228" s="1013"/>
      <c r="U228" s="1015"/>
      <c r="V228" s="1014"/>
      <c r="W228" s="185"/>
      <c r="X228" s="1001"/>
      <c r="Y228" s="1014"/>
      <c r="Z228" s="1013"/>
      <c r="AA228" s="1015"/>
      <c r="AB228" s="1015"/>
      <c r="AC228" s="194"/>
      <c r="AD228" s="194"/>
      <c r="AE228" s="194"/>
      <c r="AF228" s="194"/>
      <c r="AG228" s="1013"/>
      <c r="AH228" s="1015"/>
      <c r="AJ228" s="79" t="str">
        <f t="shared" si="94"/>
        <v/>
      </c>
      <c r="AK228" s="16" t="str">
        <f t="shared" si="95"/>
        <v/>
      </c>
      <c r="AL228" s="16" t="str">
        <f t="shared" si="96"/>
        <v/>
      </c>
      <c r="AM228" s="16" t="str">
        <f t="shared" si="97"/>
        <v/>
      </c>
      <c r="AN228" s="16" t="str">
        <f t="shared" si="98"/>
        <v/>
      </c>
      <c r="AO228" s="55"/>
      <c r="AP228" s="1250"/>
      <c r="AQ228" s="1250"/>
      <c r="AR228" s="1250"/>
      <c r="AS228" s="55"/>
      <c r="AT228" s="167"/>
      <c r="AU228" s="165"/>
      <c r="AV228" s="168"/>
      <c r="AW228" s="169"/>
      <c r="AX228" s="94">
        <f t="shared" si="99"/>
        <v>0</v>
      </c>
      <c r="AY228" s="95">
        <f t="shared" si="100"/>
        <v>0</v>
      </c>
    </row>
    <row r="229" spans="1:51" ht="16.5" customHeight="1">
      <c r="A229" s="1001"/>
      <c r="B229" s="1010"/>
      <c r="C229" s="1011"/>
      <c r="D229" s="1011"/>
      <c r="E229" s="1011"/>
      <c r="F229" s="1012"/>
      <c r="G229" s="1012"/>
      <c r="H229" s="184"/>
      <c r="I229" s="190"/>
      <c r="J229" s="1001"/>
      <c r="K229" s="1001"/>
      <c r="L229" s="186"/>
      <c r="M229" s="1001"/>
      <c r="N229" s="1013"/>
      <c r="O229" s="192"/>
      <c r="P229" s="1014"/>
      <c r="Q229" s="185"/>
      <c r="R229" s="1014"/>
      <c r="S229" s="1014"/>
      <c r="T229" s="1013"/>
      <c r="U229" s="1015"/>
      <c r="V229" s="1014"/>
      <c r="W229" s="185"/>
      <c r="X229" s="1001"/>
      <c r="Y229" s="1014"/>
      <c r="Z229" s="1013"/>
      <c r="AA229" s="1015"/>
      <c r="AB229" s="1015"/>
      <c r="AC229" s="194"/>
      <c r="AD229" s="194"/>
      <c r="AE229" s="194"/>
      <c r="AF229" s="194"/>
      <c r="AG229" s="1013"/>
      <c r="AH229" s="1015"/>
      <c r="AJ229" s="79" t="str">
        <f t="shared" si="94"/>
        <v/>
      </c>
      <c r="AK229" s="16" t="str">
        <f t="shared" si="95"/>
        <v/>
      </c>
      <c r="AL229" s="16" t="str">
        <f t="shared" si="96"/>
        <v/>
      </c>
      <c r="AM229" s="16" t="str">
        <f t="shared" si="97"/>
        <v/>
      </c>
      <c r="AN229" s="16" t="str">
        <f t="shared" si="98"/>
        <v/>
      </c>
      <c r="AO229" s="55"/>
      <c r="AP229" s="117">
        <v>6</v>
      </c>
      <c r="AQ229" s="118"/>
      <c r="AR229" s="100">
        <f>IFERROR(AP229*AQ229*AS232,0)</f>
        <v>0</v>
      </c>
      <c r="AS229" s="55"/>
      <c r="AT229" s="167"/>
      <c r="AU229" s="165"/>
      <c r="AV229" s="168"/>
      <c r="AW229" s="169"/>
      <c r="AX229" s="94">
        <f t="shared" si="99"/>
        <v>0</v>
      </c>
      <c r="AY229" s="95">
        <f t="shared" si="100"/>
        <v>0</v>
      </c>
    </row>
    <row r="230" spans="1:51" ht="16.5" customHeight="1">
      <c r="A230" s="1001"/>
      <c r="B230" s="1010"/>
      <c r="C230" s="1011"/>
      <c r="D230" s="1011"/>
      <c r="E230" s="1011"/>
      <c r="F230" s="1012"/>
      <c r="G230" s="1012"/>
      <c r="H230" s="184"/>
      <c r="I230" s="190"/>
      <c r="J230" s="1001"/>
      <c r="K230" s="1001"/>
      <c r="L230" s="186"/>
      <c r="M230" s="1001"/>
      <c r="N230" s="1013"/>
      <c r="O230" s="192"/>
      <c r="P230" s="1014"/>
      <c r="Q230" s="184"/>
      <c r="R230" s="1018"/>
      <c r="S230" s="1019"/>
      <c r="T230" s="1013"/>
      <c r="U230" s="1015"/>
      <c r="V230" s="1014"/>
      <c r="W230" s="185"/>
      <c r="X230" s="1001"/>
      <c r="Y230" s="1014"/>
      <c r="Z230" s="1013"/>
      <c r="AA230" s="1015"/>
      <c r="AB230" s="1015"/>
      <c r="AC230" s="194"/>
      <c r="AD230" s="194"/>
      <c r="AE230" s="194"/>
      <c r="AF230" s="194"/>
      <c r="AG230" s="1013"/>
      <c r="AH230" s="1015"/>
      <c r="AJ230" s="79" t="str">
        <f t="shared" si="94"/>
        <v/>
      </c>
      <c r="AK230" s="16" t="str">
        <f t="shared" si="95"/>
        <v/>
      </c>
      <c r="AL230" s="16" t="str">
        <f t="shared" si="96"/>
        <v/>
      </c>
      <c r="AM230" s="16" t="str">
        <f t="shared" si="97"/>
        <v/>
      </c>
      <c r="AN230" s="16" t="str">
        <f t="shared" si="98"/>
        <v/>
      </c>
      <c r="AO230" s="55"/>
      <c r="AP230" s="98">
        <v>5</v>
      </c>
      <c r="AQ230" s="99"/>
      <c r="AR230" s="100">
        <f>IFERROR(AP230*AQ230*AS232,0)</f>
        <v>0</v>
      </c>
      <c r="AS230" s="55"/>
      <c r="AT230" s="177"/>
      <c r="AU230" s="178"/>
      <c r="AV230" s="177"/>
      <c r="AW230" s="179"/>
      <c r="AX230" s="94">
        <f t="shared" si="99"/>
        <v>0</v>
      </c>
      <c r="AY230" s="95">
        <f t="shared" si="100"/>
        <v>0</v>
      </c>
    </row>
    <row r="231" spans="1:51" ht="15.75" customHeight="1">
      <c r="A231" s="1001"/>
      <c r="B231" s="1010"/>
      <c r="C231" s="1020"/>
      <c r="D231" s="1021"/>
      <c r="E231" s="1020"/>
      <c r="F231" s="1022"/>
      <c r="G231" s="1022"/>
      <c r="H231" s="184"/>
      <c r="I231" s="190"/>
      <c r="J231" s="1001"/>
      <c r="K231" s="1001"/>
      <c r="L231" s="186"/>
      <c r="M231" s="1001"/>
      <c r="N231" s="1013"/>
      <c r="O231" s="192"/>
      <c r="P231" s="1019"/>
      <c r="Q231" s="184"/>
      <c r="R231" s="1018"/>
      <c r="S231" s="1019"/>
      <c r="T231" s="1013"/>
      <c r="U231" s="1015"/>
      <c r="V231" s="1014"/>
      <c r="W231" s="185"/>
      <c r="X231" s="1001"/>
      <c r="Y231" s="1014"/>
      <c r="Z231" s="1013"/>
      <c r="AA231" s="1015"/>
      <c r="AB231" s="1015"/>
      <c r="AC231" s="194"/>
      <c r="AD231" s="194"/>
      <c r="AE231" s="194"/>
      <c r="AF231" s="194"/>
      <c r="AG231" s="1013"/>
      <c r="AH231" s="1015"/>
      <c r="AJ231" s="79" t="str">
        <f t="shared" si="94"/>
        <v/>
      </c>
      <c r="AK231" s="16" t="str">
        <f t="shared" si="95"/>
        <v/>
      </c>
      <c r="AL231" s="16" t="str">
        <f t="shared" si="96"/>
        <v/>
      </c>
      <c r="AM231" s="16" t="str">
        <f t="shared" si="97"/>
        <v/>
      </c>
      <c r="AN231" s="16" t="str">
        <f t="shared" si="98"/>
        <v/>
      </c>
      <c r="AO231" s="104"/>
      <c r="AP231" s="98">
        <v>4</v>
      </c>
      <c r="AQ231" s="99"/>
      <c r="AR231" s="100">
        <f>IFERROR(AP231*AQ231*AS232,0)</f>
        <v>0</v>
      </c>
      <c r="AS231" s="55"/>
      <c r="AT231" s="167"/>
      <c r="AU231" s="165"/>
      <c r="AV231" s="168"/>
      <c r="AW231" s="169"/>
      <c r="AX231" s="94">
        <f t="shared" si="99"/>
        <v>0</v>
      </c>
      <c r="AY231" s="95">
        <f t="shared" si="100"/>
        <v>0</v>
      </c>
    </row>
    <row r="232" spans="1:51" ht="15" customHeight="1">
      <c r="A232" s="1001"/>
      <c r="B232" s="1001"/>
      <c r="C232" s="1023"/>
      <c r="D232" s="1023"/>
      <c r="E232" s="1023"/>
      <c r="F232" s="1024"/>
      <c r="G232" s="1024"/>
      <c r="H232" s="1001"/>
      <c r="I232" s="1001"/>
      <c r="J232" s="201"/>
      <c r="K232" s="201"/>
      <c r="L232" s="201"/>
      <c r="M232" s="201"/>
      <c r="N232" s="1025"/>
      <c r="O232" s="1002"/>
      <c r="P232" s="1001"/>
      <c r="Q232" s="1001"/>
      <c r="R232" s="1001"/>
      <c r="S232" s="1003"/>
      <c r="T232" s="1001"/>
      <c r="U232" s="1004"/>
      <c r="V232" s="1001"/>
      <c r="W232" s="1001"/>
      <c r="X232" s="1001"/>
      <c r="Y232" s="1001"/>
      <c r="Z232" s="1001"/>
      <c r="AA232" s="1004"/>
      <c r="AB232" s="1001"/>
      <c r="AC232" s="1001"/>
      <c r="AD232" s="1001"/>
      <c r="AE232" s="1001"/>
      <c r="AF232" s="1001"/>
      <c r="AG232" s="54"/>
      <c r="AH232" s="54"/>
      <c r="AK232" s="2"/>
      <c r="AL232" s="2"/>
      <c r="AM232" s="2"/>
      <c r="AN232" s="2"/>
      <c r="AO232" s="55"/>
      <c r="AP232" s="98">
        <v>3</v>
      </c>
      <c r="AQ232" s="109"/>
      <c r="AR232" s="100">
        <f>IFERROR(AP232*AQ232*AS232,0)</f>
        <v>0</v>
      </c>
      <c r="AS232" s="48">
        <f>IFERROR(AR233/((AP232*AQ232)+(AP231*AQ231)+(AP230*AQ230)+(AP229*AQ229)),0)</f>
        <v>0</v>
      </c>
    </row>
    <row r="233" spans="1:51" ht="15.75" customHeight="1" thickBot="1">
      <c r="A233" s="1001"/>
      <c r="B233" s="1001"/>
      <c r="C233" s="1023"/>
      <c r="D233" s="1023"/>
      <c r="E233" s="1023"/>
      <c r="F233" s="1024"/>
      <c r="G233" s="1024"/>
      <c r="H233" s="184"/>
      <c r="I233" s="190"/>
      <c r="J233" s="1026"/>
      <c r="K233" s="1026"/>
      <c r="L233" s="1026"/>
      <c r="M233" s="1026"/>
      <c r="N233" s="1013"/>
      <c r="O233" s="192"/>
      <c r="P233" s="1027"/>
      <c r="Q233" s="1027"/>
      <c r="R233" s="1027"/>
      <c r="S233" s="1027"/>
      <c r="T233" s="1018"/>
      <c r="U233" s="1018"/>
      <c r="V233" s="1027"/>
      <c r="W233" s="1027"/>
      <c r="X233" s="1027"/>
      <c r="Y233" s="1027"/>
      <c r="Z233" s="1001"/>
      <c r="AA233" s="1001"/>
      <c r="AB233" s="1001"/>
      <c r="AC233" s="1027"/>
      <c r="AD233" s="1027"/>
      <c r="AE233" s="1027"/>
      <c r="AF233" s="1027"/>
      <c r="AG233" s="54"/>
      <c r="AH233" s="54"/>
      <c r="AK233" s="154">
        <f>SUM(AK220:AK232)</f>
        <v>0</v>
      </c>
      <c r="AL233" s="154">
        <f>SUM(AL220:AL232)</f>
        <v>0</v>
      </c>
      <c r="AM233" s="154">
        <f>SUM(AM220:AM232)</f>
        <v>0</v>
      </c>
      <c r="AN233" s="154">
        <f>SUM(AN220:AN232)</f>
        <v>0</v>
      </c>
      <c r="AO233" s="55"/>
      <c r="AP233" s="111"/>
      <c r="AQ233" s="112"/>
      <c r="AR233" s="155"/>
      <c r="AS233" s="55"/>
    </row>
    <row r="234" spans="1:51" ht="15.75" customHeight="1">
      <c r="A234" s="1028"/>
      <c r="B234" s="1001"/>
      <c r="C234" s="1001"/>
      <c r="D234" s="1001"/>
      <c r="E234" s="1001"/>
      <c r="F234" s="1001"/>
      <c r="G234" s="1001"/>
      <c r="H234" s="1018"/>
      <c r="I234" s="190"/>
      <c r="J234" s="1026"/>
      <c r="K234" s="1026"/>
      <c r="L234" s="1026"/>
      <c r="M234" s="1026"/>
      <c r="N234" s="1013"/>
      <c r="O234" s="192"/>
      <c r="P234" s="1027"/>
      <c r="Q234" s="1027"/>
      <c r="R234" s="1027"/>
      <c r="S234" s="1027"/>
      <c r="T234" s="1029"/>
      <c r="U234" s="1030"/>
      <c r="V234" s="1027"/>
      <c r="W234" s="1027"/>
      <c r="X234" s="1027"/>
      <c r="Y234" s="1027"/>
      <c r="Z234" s="1031"/>
      <c r="AA234" s="1032"/>
      <c r="AB234" s="1033"/>
      <c r="AC234" s="1027"/>
      <c r="AD234" s="1027"/>
      <c r="AE234" s="1027"/>
      <c r="AF234" s="1027"/>
      <c r="AG234" s="54"/>
      <c r="AH234" s="1030"/>
      <c r="AK234" s="48"/>
      <c r="AL234" s="48"/>
      <c r="AM234" s="48"/>
      <c r="AN234" s="48"/>
      <c r="AO234" s="55"/>
      <c r="AP234" s="55"/>
      <c r="AQ234" s="55"/>
      <c r="AR234" s="157">
        <f>AR225+AR233</f>
        <v>0</v>
      </c>
      <c r="AS234" s="55"/>
    </row>
    <row r="235" spans="1:51" ht="19.5" customHeight="1" thickBot="1">
      <c r="A235" s="1007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007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54"/>
      <c r="AH235" s="54"/>
      <c r="AK235" s="48"/>
      <c r="AL235" s="48"/>
      <c r="AM235" s="48"/>
      <c r="AN235" s="48"/>
      <c r="AO235" s="48"/>
      <c r="AP235" s="48"/>
      <c r="AQ235" s="48"/>
      <c r="AR235" s="48"/>
      <c r="AS235" s="48"/>
    </row>
    <row r="236" spans="1:51" ht="14.25" customHeight="1" thickBot="1">
      <c r="A236" s="1252"/>
      <c r="B236" s="1253"/>
      <c r="C236" s="1254"/>
      <c r="D236" s="1254"/>
      <c r="E236" s="1254"/>
      <c r="F236" s="1254"/>
      <c r="G236" s="1254"/>
      <c r="H236" s="1253"/>
      <c r="I236" s="1254"/>
      <c r="J236" s="1253"/>
      <c r="K236" s="1253"/>
      <c r="L236" s="1253"/>
      <c r="M236" s="1253"/>
      <c r="N236" s="1255"/>
      <c r="O236" s="1258"/>
      <c r="P236" s="1254"/>
      <c r="Q236" s="1254"/>
      <c r="R236" s="1254"/>
      <c r="S236" s="1254"/>
      <c r="T236" s="1259"/>
      <c r="U236" s="1258"/>
      <c r="V236" s="1254"/>
      <c r="W236" s="1254"/>
      <c r="X236" s="1254"/>
      <c r="Y236" s="1254"/>
      <c r="Z236" s="1259"/>
      <c r="AA236" s="1258"/>
      <c r="AB236" s="1258"/>
      <c r="AC236" s="1260"/>
      <c r="AD236" s="1260"/>
      <c r="AE236" s="1260"/>
      <c r="AF236" s="1260"/>
      <c r="AG236" s="1259"/>
      <c r="AH236" s="1258"/>
      <c r="AK236" s="1257" t="s">
        <v>37</v>
      </c>
      <c r="AL236" s="1257"/>
      <c r="AM236" s="1257"/>
      <c r="AN236" s="1257"/>
      <c r="AO236" s="55"/>
      <c r="AP236" s="1250" t="s">
        <v>7</v>
      </c>
      <c r="AQ236" s="1250"/>
      <c r="AR236" s="1250"/>
      <c r="AS236" s="55"/>
      <c r="AT236" s="1251" t="s">
        <v>38</v>
      </c>
      <c r="AU236" s="1251"/>
      <c r="AV236" s="1251"/>
      <c r="AW236" s="1251"/>
      <c r="AX236" s="94" t="s">
        <v>39</v>
      </c>
      <c r="AY236" s="95" t="s">
        <v>12</v>
      </c>
    </row>
    <row r="237" spans="1:51" ht="18" customHeight="1" thickBot="1">
      <c r="A237" s="1252"/>
      <c r="B237" s="1252"/>
      <c r="C237" s="186"/>
      <c r="D237" s="186"/>
      <c r="E237" s="186"/>
      <c r="F237" s="186"/>
      <c r="G237" s="186"/>
      <c r="H237" s="1253"/>
      <c r="I237" s="1254"/>
      <c r="J237" s="185"/>
      <c r="K237" s="185"/>
      <c r="L237" s="185"/>
      <c r="M237" s="185"/>
      <c r="N237" s="1255"/>
      <c r="O237" s="1258"/>
      <c r="P237" s="186"/>
      <c r="Q237" s="185"/>
      <c r="R237" s="1008"/>
      <c r="S237" s="185"/>
      <c r="T237" s="1259"/>
      <c r="U237" s="1259"/>
      <c r="V237" s="186"/>
      <c r="W237" s="185"/>
      <c r="X237" s="1008"/>
      <c r="Y237" s="185"/>
      <c r="Z237" s="1259"/>
      <c r="AA237" s="1259"/>
      <c r="AB237" s="1258"/>
      <c r="AC237" s="186"/>
      <c r="AD237" s="185"/>
      <c r="AE237" s="1008"/>
      <c r="AF237" s="185"/>
      <c r="AG237" s="1259"/>
      <c r="AH237" s="1258"/>
      <c r="AK237" s="162" t="s">
        <v>49</v>
      </c>
      <c r="AL237" s="162" t="s">
        <v>50</v>
      </c>
      <c r="AM237" s="162" t="s">
        <v>51</v>
      </c>
      <c r="AN237" s="162" t="s">
        <v>52</v>
      </c>
      <c r="AO237" s="73">
        <v>130</v>
      </c>
      <c r="AP237" s="1250"/>
      <c r="AQ237" s="1250"/>
      <c r="AR237" s="1250"/>
      <c r="AS237" s="55"/>
      <c r="AT237" s="164" t="s">
        <v>45</v>
      </c>
      <c r="AU237" s="165" t="s">
        <v>46</v>
      </c>
      <c r="AV237" s="166" t="s">
        <v>47</v>
      </c>
      <c r="AW237" s="161" t="s">
        <v>48</v>
      </c>
      <c r="AX237" s="94"/>
      <c r="AY237" s="95"/>
    </row>
    <row r="238" spans="1:51" ht="15" customHeight="1" thickBot="1">
      <c r="A238" s="1009"/>
      <c r="B238" s="1010"/>
      <c r="C238" s="1011"/>
      <c r="D238" s="1011"/>
      <c r="E238" s="1011"/>
      <c r="F238" s="1012"/>
      <c r="G238" s="1012"/>
      <c r="H238" s="184"/>
      <c r="I238" s="190"/>
      <c r="J238" s="1001"/>
      <c r="K238" s="1001"/>
      <c r="L238" s="186"/>
      <c r="M238" s="1001"/>
      <c r="N238" s="1013"/>
      <c r="O238" s="192"/>
      <c r="P238" s="1014"/>
      <c r="Q238" s="1014"/>
      <c r="R238" s="1001"/>
      <c r="S238" s="1014"/>
      <c r="T238" s="1013"/>
      <c r="U238" s="1015"/>
      <c r="V238" s="1014"/>
      <c r="W238" s="1014"/>
      <c r="X238" s="1001"/>
      <c r="Y238" s="1014"/>
      <c r="Z238" s="1013"/>
      <c r="AA238" s="1015"/>
      <c r="AB238" s="1015"/>
      <c r="AC238" s="194"/>
      <c r="AD238" s="194"/>
      <c r="AE238" s="194"/>
      <c r="AF238" s="194"/>
      <c r="AG238" s="1013"/>
      <c r="AH238" s="1015"/>
      <c r="AJ238" s="79" t="str">
        <f t="shared" ref="AJ238:AJ249" si="101">IF(H238=130,0.132335,IF(H238=100,0.0785,IF(H238=110,0.095,IF(H238=160,0.198005,""))))</f>
        <v/>
      </c>
      <c r="AK238" s="16" t="str">
        <f t="shared" ref="AK238:AK249" si="102">IFERROR(P238*3*AJ238,"")</f>
        <v/>
      </c>
      <c r="AL238" s="16" t="str">
        <f t="shared" ref="AL238:AL249" si="103">IFERROR(Q238*4*AJ238,"")</f>
        <v/>
      </c>
      <c r="AM238" s="16" t="str">
        <f t="shared" ref="AM238:AM249" si="104">IFERROR(R238*5*AJ238,"")</f>
        <v/>
      </c>
      <c r="AN238" s="16" t="str">
        <f t="shared" ref="AN238:AN249" si="105">IFERROR(S238*6*AJ238,"")</f>
        <v/>
      </c>
      <c r="AO238" s="55"/>
      <c r="AP238" s="1250"/>
      <c r="AQ238" s="1250"/>
      <c r="AR238" s="1250"/>
      <c r="AS238" s="55"/>
      <c r="AT238" s="167"/>
      <c r="AU238" s="167"/>
      <c r="AV238" s="168"/>
      <c r="AW238" s="169"/>
      <c r="AX238" s="94">
        <f t="shared" ref="AX238:AX249" si="106">AT238*3+AU238*4+AV238*5+AW238*6</f>
        <v>0</v>
      </c>
      <c r="AY238" s="95">
        <f t="shared" ref="AY238:AY249" si="107">AX238*I238</f>
        <v>0</v>
      </c>
    </row>
    <row r="239" spans="1:51" ht="15" customHeight="1">
      <c r="A239" s="1001"/>
      <c r="B239" s="1010"/>
      <c r="C239" s="1011"/>
      <c r="D239" s="1011"/>
      <c r="E239" s="1011"/>
      <c r="F239" s="1012"/>
      <c r="G239" s="1012"/>
      <c r="H239" s="184"/>
      <c r="I239" s="190"/>
      <c r="J239" s="1001"/>
      <c r="K239" s="1001"/>
      <c r="L239" s="186"/>
      <c r="M239" s="1001"/>
      <c r="N239" s="1013"/>
      <c r="O239" s="192"/>
      <c r="P239" s="1014"/>
      <c r="Q239" s="1014"/>
      <c r="R239" s="1001"/>
      <c r="S239" s="1014"/>
      <c r="T239" s="1013"/>
      <c r="U239" s="1015"/>
      <c r="V239" s="1014"/>
      <c r="W239" s="1014"/>
      <c r="X239" s="186"/>
      <c r="Y239" s="1014"/>
      <c r="Z239" s="1013"/>
      <c r="AA239" s="1015"/>
      <c r="AB239" s="1015"/>
      <c r="AC239" s="194"/>
      <c r="AD239" s="194"/>
      <c r="AE239" s="194"/>
      <c r="AF239" s="194"/>
      <c r="AG239" s="1013"/>
      <c r="AH239" s="1015"/>
      <c r="AJ239" s="79" t="str">
        <f t="shared" si="101"/>
        <v/>
      </c>
      <c r="AK239" s="16" t="str">
        <f t="shared" si="102"/>
        <v/>
      </c>
      <c r="AL239" s="16" t="str">
        <f t="shared" si="103"/>
        <v/>
      </c>
      <c r="AM239" s="16" t="str">
        <f t="shared" si="104"/>
        <v/>
      </c>
      <c r="AN239" s="16" t="str">
        <f t="shared" si="105"/>
        <v/>
      </c>
      <c r="AO239" s="55"/>
      <c r="AP239" s="98">
        <v>6</v>
      </c>
      <c r="AQ239" s="99"/>
      <c r="AR239" s="100">
        <f>IFERROR(AP239*AQ239*AS242,0)</f>
        <v>0</v>
      </c>
      <c r="AS239" s="55"/>
      <c r="AT239" s="167"/>
      <c r="AU239" s="167"/>
      <c r="AV239" s="164"/>
      <c r="AW239" s="169"/>
      <c r="AX239" s="94">
        <f t="shared" si="106"/>
        <v>0</v>
      </c>
      <c r="AY239" s="95">
        <f t="shared" si="107"/>
        <v>0</v>
      </c>
    </row>
    <row r="240" spans="1:51" ht="15" customHeight="1">
      <c r="A240" s="1001"/>
      <c r="B240" s="1010"/>
      <c r="C240" s="1016"/>
      <c r="D240" s="1016"/>
      <c r="E240" s="1016"/>
      <c r="F240" s="1017"/>
      <c r="G240" s="1017"/>
      <c r="H240" s="184"/>
      <c r="I240" s="190"/>
      <c r="J240" s="1001"/>
      <c r="K240" s="1001"/>
      <c r="L240" s="186"/>
      <c r="M240" s="1001"/>
      <c r="N240" s="1013"/>
      <c r="O240" s="192"/>
      <c r="P240" s="1014"/>
      <c r="Q240" s="1014"/>
      <c r="R240" s="1001"/>
      <c r="S240" s="1014"/>
      <c r="T240" s="1013"/>
      <c r="U240" s="1015"/>
      <c r="V240" s="1014"/>
      <c r="W240" s="1014"/>
      <c r="X240" s="1001"/>
      <c r="Y240" s="1014"/>
      <c r="Z240" s="1013"/>
      <c r="AA240" s="1015"/>
      <c r="AB240" s="1015"/>
      <c r="AC240" s="194"/>
      <c r="AD240" s="194"/>
      <c r="AE240" s="194"/>
      <c r="AF240" s="194"/>
      <c r="AG240" s="1013"/>
      <c r="AH240" s="1015"/>
      <c r="AJ240" s="79" t="str">
        <f t="shared" si="101"/>
        <v/>
      </c>
      <c r="AK240" s="16" t="str">
        <f t="shared" si="102"/>
        <v/>
      </c>
      <c r="AL240" s="16" t="str">
        <f t="shared" si="103"/>
        <v/>
      </c>
      <c r="AM240" s="16" t="str">
        <f t="shared" si="104"/>
        <v/>
      </c>
      <c r="AN240" s="16" t="str">
        <f t="shared" si="105"/>
        <v/>
      </c>
      <c r="AO240" s="55"/>
      <c r="AP240" s="98">
        <v>5</v>
      </c>
      <c r="AQ240" s="99"/>
      <c r="AR240" s="100">
        <f>IFERROR(AP240*AQ240*AS242,0)</f>
        <v>0</v>
      </c>
      <c r="AS240" s="104"/>
      <c r="AT240" s="165"/>
      <c r="AU240" s="167"/>
      <c r="AV240" s="168"/>
      <c r="AW240" s="169"/>
      <c r="AX240" s="94">
        <f t="shared" si="106"/>
        <v>0</v>
      </c>
      <c r="AY240" s="95">
        <f t="shared" si="107"/>
        <v>0</v>
      </c>
    </row>
    <row r="241" spans="1:51" ht="15" customHeight="1">
      <c r="A241" s="1001"/>
      <c r="B241" s="1010"/>
      <c r="C241" s="1011"/>
      <c r="D241" s="1011"/>
      <c r="E241" s="1011"/>
      <c r="F241" s="1012"/>
      <c r="G241" s="1012"/>
      <c r="H241" s="184"/>
      <c r="I241" s="190"/>
      <c r="J241" s="1001"/>
      <c r="K241" s="1001"/>
      <c r="L241" s="186"/>
      <c r="M241" s="1001"/>
      <c r="N241" s="1013"/>
      <c r="O241" s="192"/>
      <c r="P241" s="1014"/>
      <c r="Q241" s="1014"/>
      <c r="R241" s="1001"/>
      <c r="S241" s="1014"/>
      <c r="T241" s="1013"/>
      <c r="U241" s="1015"/>
      <c r="V241" s="1014"/>
      <c r="W241" s="1014"/>
      <c r="X241" s="1001"/>
      <c r="Y241" s="1014"/>
      <c r="Z241" s="1013"/>
      <c r="AA241" s="1015"/>
      <c r="AB241" s="1015"/>
      <c r="AC241" s="194"/>
      <c r="AD241" s="194"/>
      <c r="AE241" s="194"/>
      <c r="AF241" s="194"/>
      <c r="AG241" s="1013"/>
      <c r="AH241" s="1015"/>
      <c r="AJ241" s="79" t="str">
        <f t="shared" si="101"/>
        <v/>
      </c>
      <c r="AK241" s="16" t="str">
        <f t="shared" si="102"/>
        <v/>
      </c>
      <c r="AL241" s="16" t="str">
        <f t="shared" si="103"/>
        <v/>
      </c>
      <c r="AM241" s="16" t="str">
        <f t="shared" si="104"/>
        <v/>
      </c>
      <c r="AN241" s="16" t="str">
        <f t="shared" si="105"/>
        <v/>
      </c>
      <c r="AO241" s="55"/>
      <c r="AP241" s="98">
        <v>4</v>
      </c>
      <c r="AQ241" s="99"/>
      <c r="AR241" s="100">
        <f>IFERROR(AP241*AQ241*AS242,0)</f>
        <v>0</v>
      </c>
      <c r="AS241" s="104"/>
      <c r="AT241" s="167"/>
      <c r="AU241" s="167"/>
      <c r="AV241" s="168"/>
      <c r="AW241" s="169"/>
      <c r="AX241" s="94">
        <f t="shared" si="106"/>
        <v>0</v>
      </c>
      <c r="AY241" s="95">
        <f t="shared" si="107"/>
        <v>0</v>
      </c>
    </row>
    <row r="242" spans="1:51" ht="15" customHeight="1">
      <c r="A242" s="1001"/>
      <c r="B242" s="1010"/>
      <c r="C242" s="1011"/>
      <c r="D242" s="188"/>
      <c r="E242" s="1011"/>
      <c r="F242" s="1012"/>
      <c r="G242" s="1012"/>
      <c r="H242" s="184"/>
      <c r="I242" s="190"/>
      <c r="J242" s="1001"/>
      <c r="K242" s="1001"/>
      <c r="L242" s="186"/>
      <c r="M242" s="1001"/>
      <c r="N242" s="1013"/>
      <c r="O242" s="192"/>
      <c r="P242" s="1014"/>
      <c r="Q242" s="1014"/>
      <c r="R242" s="1001"/>
      <c r="S242" s="1014"/>
      <c r="T242" s="1013"/>
      <c r="U242" s="1015"/>
      <c r="V242" s="1014"/>
      <c r="W242" s="1014"/>
      <c r="X242" s="1001"/>
      <c r="Y242" s="1014"/>
      <c r="Z242" s="1013"/>
      <c r="AA242" s="1015"/>
      <c r="AB242" s="1015"/>
      <c r="AC242" s="194"/>
      <c r="AD242" s="194"/>
      <c r="AE242" s="194"/>
      <c r="AF242" s="194"/>
      <c r="AG242" s="1013"/>
      <c r="AH242" s="1015"/>
      <c r="AJ242" s="79" t="str">
        <f t="shared" si="101"/>
        <v/>
      </c>
      <c r="AK242" s="16" t="str">
        <f t="shared" si="102"/>
        <v/>
      </c>
      <c r="AL242" s="16" t="str">
        <f t="shared" si="103"/>
        <v/>
      </c>
      <c r="AM242" s="16" t="str">
        <f t="shared" si="104"/>
        <v/>
      </c>
      <c r="AN242" s="16" t="str">
        <f t="shared" si="105"/>
        <v/>
      </c>
      <c r="AO242" s="55"/>
      <c r="AP242" s="98">
        <v>3</v>
      </c>
      <c r="AQ242" s="109"/>
      <c r="AR242" s="100">
        <f>IFERROR(AP242*AQ242*AS242,0)</f>
        <v>0</v>
      </c>
      <c r="AS242" s="48">
        <f>IFERROR(AR243/((AP242*AQ242)+(AP241*AQ241)+(AP240*AQ240)+(AP239*AQ239)),0)</f>
        <v>0</v>
      </c>
      <c r="AT242" s="167"/>
      <c r="AU242" s="167"/>
      <c r="AV242" s="168"/>
      <c r="AW242" s="169"/>
      <c r="AX242" s="94">
        <f t="shared" si="106"/>
        <v>0</v>
      </c>
      <c r="AY242" s="95">
        <f t="shared" si="107"/>
        <v>0</v>
      </c>
    </row>
    <row r="243" spans="1:51" ht="14.25" customHeight="1" thickBot="1">
      <c r="A243" s="1001"/>
      <c r="B243" s="1010"/>
      <c r="C243" s="1011"/>
      <c r="D243" s="1011"/>
      <c r="E243" s="1011"/>
      <c r="F243" s="1012"/>
      <c r="G243" s="1012"/>
      <c r="H243" s="184"/>
      <c r="I243" s="190"/>
      <c r="J243" s="1001"/>
      <c r="K243" s="1001"/>
      <c r="L243" s="186"/>
      <c r="M243" s="1001"/>
      <c r="N243" s="1013"/>
      <c r="O243" s="192"/>
      <c r="P243" s="185"/>
      <c r="Q243" s="1014"/>
      <c r="R243" s="1001"/>
      <c r="S243" s="1014"/>
      <c r="T243" s="1013"/>
      <c r="U243" s="1015"/>
      <c r="V243" s="185"/>
      <c r="W243" s="1014"/>
      <c r="X243" s="1001"/>
      <c r="Y243" s="1014"/>
      <c r="Z243" s="1013"/>
      <c r="AA243" s="1015"/>
      <c r="AB243" s="1015"/>
      <c r="AC243" s="194"/>
      <c r="AD243" s="194"/>
      <c r="AE243" s="194"/>
      <c r="AF243" s="194"/>
      <c r="AG243" s="1013"/>
      <c r="AH243" s="1015"/>
      <c r="AJ243" s="79" t="str">
        <f t="shared" si="101"/>
        <v/>
      </c>
      <c r="AK243" s="16" t="str">
        <f t="shared" si="102"/>
        <v/>
      </c>
      <c r="AL243" s="16" t="str">
        <f t="shared" si="103"/>
        <v/>
      </c>
      <c r="AM243" s="16" t="str">
        <f t="shared" si="104"/>
        <v/>
      </c>
      <c r="AN243" s="16" t="str">
        <f t="shared" si="105"/>
        <v/>
      </c>
      <c r="AO243" s="55"/>
      <c r="AP243" s="111"/>
      <c r="AQ243" s="112"/>
      <c r="AR243" s="113"/>
      <c r="AS243" s="104"/>
      <c r="AT243" s="167"/>
      <c r="AU243" s="167"/>
      <c r="AV243" s="168"/>
      <c r="AW243" s="169"/>
      <c r="AX243" s="94">
        <f t="shared" si="106"/>
        <v>0</v>
      </c>
      <c r="AY243" s="95">
        <f t="shared" si="107"/>
        <v>0</v>
      </c>
    </row>
    <row r="244" spans="1:51" ht="14.25" customHeight="1" thickBot="1">
      <c r="A244" s="1001"/>
      <c r="B244" s="1010"/>
      <c r="C244" s="1011"/>
      <c r="D244" s="1011"/>
      <c r="E244" s="1011"/>
      <c r="F244" s="1012"/>
      <c r="G244" s="1012"/>
      <c r="H244" s="184"/>
      <c r="I244" s="190"/>
      <c r="J244" s="1001"/>
      <c r="K244" s="1001"/>
      <c r="L244" s="186"/>
      <c r="M244" s="1001"/>
      <c r="N244" s="1013"/>
      <c r="O244" s="192"/>
      <c r="P244" s="1014"/>
      <c r="Q244" s="1014"/>
      <c r="R244" s="1001"/>
      <c r="S244" s="1014"/>
      <c r="T244" s="1013"/>
      <c r="U244" s="1015"/>
      <c r="V244" s="1014"/>
      <c r="W244" s="1014"/>
      <c r="X244" s="1001"/>
      <c r="Y244" s="1014"/>
      <c r="Z244" s="1013"/>
      <c r="AA244" s="1015"/>
      <c r="AB244" s="1015"/>
      <c r="AC244" s="194"/>
      <c r="AD244" s="194"/>
      <c r="AE244" s="194"/>
      <c r="AF244" s="194"/>
      <c r="AG244" s="1013"/>
      <c r="AH244" s="1015"/>
      <c r="AJ244" s="79" t="str">
        <f t="shared" si="101"/>
        <v/>
      </c>
      <c r="AK244" s="16" t="str">
        <f t="shared" si="102"/>
        <v/>
      </c>
      <c r="AL244" s="16" t="str">
        <f t="shared" si="103"/>
        <v/>
      </c>
      <c r="AM244" s="16" t="str">
        <f t="shared" si="104"/>
        <v/>
      </c>
      <c r="AN244" s="16" t="str">
        <f t="shared" si="105"/>
        <v/>
      </c>
      <c r="AO244" s="55"/>
      <c r="AP244" s="1250" t="s">
        <v>7</v>
      </c>
      <c r="AQ244" s="1250"/>
      <c r="AR244" s="1250"/>
      <c r="AS244" s="104"/>
      <c r="AT244" s="167"/>
      <c r="AU244" s="167"/>
      <c r="AV244" s="168"/>
      <c r="AW244" s="169"/>
      <c r="AX244" s="94">
        <f t="shared" si="106"/>
        <v>0</v>
      </c>
      <c r="AY244" s="95">
        <f t="shared" si="107"/>
        <v>0</v>
      </c>
    </row>
    <row r="245" spans="1:51" ht="15" customHeight="1" thickBot="1">
      <c r="A245" s="1001"/>
      <c r="B245" s="1010"/>
      <c r="C245" s="1011"/>
      <c r="D245" s="1011"/>
      <c r="E245" s="1011"/>
      <c r="F245" s="1012"/>
      <c r="G245" s="1012"/>
      <c r="H245" s="184"/>
      <c r="I245" s="190"/>
      <c r="J245" s="1001"/>
      <c r="K245" s="1001"/>
      <c r="L245" s="186"/>
      <c r="M245" s="1001"/>
      <c r="N245" s="1013"/>
      <c r="O245" s="192"/>
      <c r="P245" s="1014"/>
      <c r="Q245" s="1014"/>
      <c r="R245" s="1001"/>
      <c r="S245" s="1014"/>
      <c r="T245" s="1013"/>
      <c r="U245" s="1015"/>
      <c r="V245" s="1014"/>
      <c r="W245" s="185"/>
      <c r="X245" s="1001"/>
      <c r="Y245" s="1014"/>
      <c r="Z245" s="1013"/>
      <c r="AA245" s="1015"/>
      <c r="AB245" s="1015"/>
      <c r="AC245" s="194"/>
      <c r="AD245" s="194"/>
      <c r="AE245" s="194"/>
      <c r="AF245" s="194"/>
      <c r="AG245" s="1013"/>
      <c r="AH245" s="1015"/>
      <c r="AJ245" s="79" t="str">
        <f t="shared" si="101"/>
        <v/>
      </c>
      <c r="AK245" s="16" t="str">
        <f t="shared" si="102"/>
        <v/>
      </c>
      <c r="AL245" s="16" t="str">
        <f t="shared" si="103"/>
        <v/>
      </c>
      <c r="AM245" s="16" t="str">
        <f t="shared" si="104"/>
        <v/>
      </c>
      <c r="AN245" s="16" t="str">
        <f t="shared" si="105"/>
        <v/>
      </c>
      <c r="AO245" s="73">
        <v>160</v>
      </c>
      <c r="AP245" s="1250"/>
      <c r="AQ245" s="1250"/>
      <c r="AR245" s="1250"/>
      <c r="AS245" s="55"/>
      <c r="AT245" s="167"/>
      <c r="AU245" s="167"/>
      <c r="AV245" s="168"/>
      <c r="AW245" s="169"/>
      <c r="AX245" s="94">
        <f t="shared" si="106"/>
        <v>0</v>
      </c>
      <c r="AY245" s="95">
        <f t="shared" si="107"/>
        <v>0</v>
      </c>
    </row>
    <row r="246" spans="1:51" ht="15" customHeight="1" thickBot="1">
      <c r="A246" s="1001"/>
      <c r="B246" s="1010"/>
      <c r="C246" s="1011"/>
      <c r="D246" s="1011"/>
      <c r="E246" s="1011"/>
      <c r="F246" s="1012"/>
      <c r="G246" s="1012"/>
      <c r="H246" s="184"/>
      <c r="I246" s="190"/>
      <c r="J246" s="1001"/>
      <c r="K246" s="1001"/>
      <c r="L246" s="186"/>
      <c r="M246" s="1001"/>
      <c r="N246" s="1013"/>
      <c r="O246" s="192"/>
      <c r="P246" s="1014"/>
      <c r="Q246" s="185"/>
      <c r="R246" s="1018"/>
      <c r="S246" s="1014"/>
      <c r="T246" s="1013"/>
      <c r="U246" s="1015"/>
      <c r="V246" s="1014"/>
      <c r="W246" s="185"/>
      <c r="X246" s="1001"/>
      <c r="Y246" s="1014"/>
      <c r="Z246" s="1013"/>
      <c r="AA246" s="1015"/>
      <c r="AB246" s="1015"/>
      <c r="AC246" s="194"/>
      <c r="AD246" s="194"/>
      <c r="AE246" s="194"/>
      <c r="AF246" s="194"/>
      <c r="AG246" s="1013"/>
      <c r="AH246" s="1015"/>
      <c r="AJ246" s="79" t="str">
        <f t="shared" si="101"/>
        <v/>
      </c>
      <c r="AK246" s="16" t="str">
        <f t="shared" si="102"/>
        <v/>
      </c>
      <c r="AL246" s="16" t="str">
        <f t="shared" si="103"/>
        <v/>
      </c>
      <c r="AM246" s="16" t="str">
        <f t="shared" si="104"/>
        <v/>
      </c>
      <c r="AN246" s="16" t="str">
        <f t="shared" si="105"/>
        <v/>
      </c>
      <c r="AO246" s="55"/>
      <c r="AP246" s="1250"/>
      <c r="AQ246" s="1250"/>
      <c r="AR246" s="1250"/>
      <c r="AS246" s="55"/>
      <c r="AT246" s="167"/>
      <c r="AU246" s="167"/>
      <c r="AV246" s="168"/>
      <c r="AW246" s="169"/>
      <c r="AX246" s="94">
        <f t="shared" si="106"/>
        <v>0</v>
      </c>
      <c r="AY246" s="95">
        <f t="shared" si="107"/>
        <v>0</v>
      </c>
    </row>
    <row r="247" spans="1:51" ht="16.5" customHeight="1">
      <c r="A247" s="1001"/>
      <c r="B247" s="1010"/>
      <c r="C247" s="1011"/>
      <c r="D247" s="1011"/>
      <c r="E247" s="1011"/>
      <c r="F247" s="1012"/>
      <c r="G247" s="1012"/>
      <c r="H247" s="184"/>
      <c r="I247" s="190"/>
      <c r="J247" s="1001"/>
      <c r="K247" s="1001"/>
      <c r="L247" s="186"/>
      <c r="M247" s="1001"/>
      <c r="N247" s="1013"/>
      <c r="O247" s="192"/>
      <c r="P247" s="1014"/>
      <c r="Q247" s="185"/>
      <c r="R247" s="1014"/>
      <c r="S247" s="1014"/>
      <c r="T247" s="1013"/>
      <c r="U247" s="1015"/>
      <c r="V247" s="1014"/>
      <c r="W247" s="185"/>
      <c r="X247" s="1001"/>
      <c r="Y247" s="1014"/>
      <c r="Z247" s="1013"/>
      <c r="AA247" s="1015"/>
      <c r="AB247" s="1015"/>
      <c r="AC247" s="194"/>
      <c r="AD247" s="194"/>
      <c r="AE247" s="194"/>
      <c r="AF247" s="194"/>
      <c r="AG247" s="1013"/>
      <c r="AH247" s="1015"/>
      <c r="AJ247" s="79" t="str">
        <f t="shared" si="101"/>
        <v/>
      </c>
      <c r="AK247" s="16" t="str">
        <f t="shared" si="102"/>
        <v/>
      </c>
      <c r="AL247" s="16" t="str">
        <f t="shared" si="103"/>
        <v/>
      </c>
      <c r="AM247" s="16" t="str">
        <f t="shared" si="104"/>
        <v/>
      </c>
      <c r="AN247" s="16" t="str">
        <f t="shared" si="105"/>
        <v/>
      </c>
      <c r="AO247" s="55"/>
      <c r="AP247" s="117">
        <v>6</v>
      </c>
      <c r="AQ247" s="118"/>
      <c r="AR247" s="100">
        <f>IFERROR(AP247*AQ247*AS250,0)</f>
        <v>0</v>
      </c>
      <c r="AS247" s="55"/>
      <c r="AT247" s="167"/>
      <c r="AU247" s="167"/>
      <c r="AV247" s="168"/>
      <c r="AW247" s="169"/>
      <c r="AX247" s="94">
        <f t="shared" si="106"/>
        <v>0</v>
      </c>
      <c r="AY247" s="95">
        <f t="shared" si="107"/>
        <v>0</v>
      </c>
    </row>
    <row r="248" spans="1:51" ht="16.5" customHeight="1">
      <c r="A248" s="1001"/>
      <c r="B248" s="1010"/>
      <c r="C248" s="1011"/>
      <c r="D248" s="1011"/>
      <c r="E248" s="1011"/>
      <c r="F248" s="1012"/>
      <c r="G248" s="1012"/>
      <c r="H248" s="184"/>
      <c r="I248" s="190"/>
      <c r="J248" s="1001"/>
      <c r="K248" s="1001"/>
      <c r="L248" s="186"/>
      <c r="M248" s="1001"/>
      <c r="N248" s="1013"/>
      <c r="O248" s="192"/>
      <c r="P248" s="1014"/>
      <c r="Q248" s="184"/>
      <c r="R248" s="1018"/>
      <c r="S248" s="1019"/>
      <c r="T248" s="1013"/>
      <c r="U248" s="1015"/>
      <c r="V248" s="1014"/>
      <c r="W248" s="185"/>
      <c r="X248" s="1001"/>
      <c r="Y248" s="1014"/>
      <c r="Z248" s="1013"/>
      <c r="AA248" s="1015"/>
      <c r="AB248" s="1015"/>
      <c r="AC248" s="194"/>
      <c r="AD248" s="194"/>
      <c r="AE248" s="194"/>
      <c r="AF248" s="194"/>
      <c r="AG248" s="1013"/>
      <c r="AH248" s="1015"/>
      <c r="AJ248" s="79" t="str">
        <f t="shared" si="101"/>
        <v/>
      </c>
      <c r="AK248" s="16" t="str">
        <f t="shared" si="102"/>
        <v/>
      </c>
      <c r="AL248" s="16" t="str">
        <f t="shared" si="103"/>
        <v/>
      </c>
      <c r="AM248" s="16" t="str">
        <f t="shared" si="104"/>
        <v/>
      </c>
      <c r="AN248" s="16" t="str">
        <f t="shared" si="105"/>
        <v/>
      </c>
      <c r="AO248" s="55"/>
      <c r="AP248" s="98">
        <v>5</v>
      </c>
      <c r="AQ248" s="99"/>
      <c r="AR248" s="100">
        <f>IFERROR(AP248*AQ248*AS250,0)</f>
        <v>0</v>
      </c>
      <c r="AS248" s="55"/>
      <c r="AT248" s="177"/>
      <c r="AU248" s="178"/>
      <c r="AV248" s="177"/>
      <c r="AW248" s="179"/>
      <c r="AX248" s="94">
        <f t="shared" si="106"/>
        <v>0</v>
      </c>
      <c r="AY248" s="95">
        <f t="shared" si="107"/>
        <v>0</v>
      </c>
    </row>
    <row r="249" spans="1:51" ht="15.75" customHeight="1">
      <c r="A249" s="1001"/>
      <c r="B249" s="1010"/>
      <c r="C249" s="1020"/>
      <c r="D249" s="1021"/>
      <c r="E249" s="1020"/>
      <c r="F249" s="1022"/>
      <c r="G249" s="1022"/>
      <c r="H249" s="184"/>
      <c r="I249" s="190"/>
      <c r="J249" s="1001"/>
      <c r="K249" s="1001"/>
      <c r="L249" s="186"/>
      <c r="M249" s="1001"/>
      <c r="N249" s="1013"/>
      <c r="O249" s="192"/>
      <c r="P249" s="1019"/>
      <c r="Q249" s="184"/>
      <c r="R249" s="1018"/>
      <c r="S249" s="1019"/>
      <c r="T249" s="1013"/>
      <c r="U249" s="1015"/>
      <c r="V249" s="1014"/>
      <c r="W249" s="185"/>
      <c r="X249" s="1001"/>
      <c r="Y249" s="1014"/>
      <c r="Z249" s="1013"/>
      <c r="AA249" s="1015"/>
      <c r="AB249" s="1015"/>
      <c r="AC249" s="194"/>
      <c r="AD249" s="194"/>
      <c r="AE249" s="194"/>
      <c r="AF249" s="194"/>
      <c r="AG249" s="1013"/>
      <c r="AH249" s="1015"/>
      <c r="AJ249" s="79" t="str">
        <f t="shared" si="101"/>
        <v/>
      </c>
      <c r="AK249" s="16" t="str">
        <f t="shared" si="102"/>
        <v/>
      </c>
      <c r="AL249" s="16" t="str">
        <f t="shared" si="103"/>
        <v/>
      </c>
      <c r="AM249" s="16" t="str">
        <f t="shared" si="104"/>
        <v/>
      </c>
      <c r="AN249" s="16" t="str">
        <f t="shared" si="105"/>
        <v/>
      </c>
      <c r="AO249" s="104"/>
      <c r="AP249" s="98">
        <v>4</v>
      </c>
      <c r="AQ249" s="99"/>
      <c r="AR249" s="100">
        <f>IFERROR(AP249*AQ249*AS250,0)</f>
        <v>0</v>
      </c>
      <c r="AS249" s="55"/>
      <c r="AT249" s="167"/>
      <c r="AU249" s="165"/>
      <c r="AV249" s="168"/>
      <c r="AW249" s="169"/>
      <c r="AX249" s="94">
        <f t="shared" si="106"/>
        <v>0</v>
      </c>
      <c r="AY249" s="95">
        <f t="shared" si="107"/>
        <v>0</v>
      </c>
    </row>
    <row r="250" spans="1:51" ht="15" customHeight="1">
      <c r="A250" s="1001"/>
      <c r="B250" s="1001"/>
      <c r="C250" s="1023"/>
      <c r="D250" s="1023"/>
      <c r="E250" s="1023"/>
      <c r="F250" s="1024"/>
      <c r="G250" s="1024"/>
      <c r="H250" s="1001"/>
      <c r="I250" s="1001"/>
      <c r="J250" s="201"/>
      <c r="K250" s="201"/>
      <c r="L250" s="201"/>
      <c r="M250" s="201"/>
      <c r="N250" s="1025"/>
      <c r="O250" s="1002"/>
      <c r="P250" s="1001"/>
      <c r="Q250" s="1001"/>
      <c r="R250" s="1001"/>
      <c r="S250" s="1003"/>
      <c r="T250" s="1001"/>
      <c r="U250" s="1004"/>
      <c r="V250" s="1001"/>
      <c r="W250" s="1001"/>
      <c r="X250" s="1001"/>
      <c r="Y250" s="1001"/>
      <c r="Z250" s="1001"/>
      <c r="AA250" s="1004"/>
      <c r="AB250" s="1001"/>
      <c r="AC250" s="1001"/>
      <c r="AD250" s="1001"/>
      <c r="AE250" s="1001"/>
      <c r="AF250" s="1001"/>
      <c r="AG250" s="54"/>
      <c r="AH250" s="54"/>
      <c r="AK250" s="2"/>
      <c r="AL250" s="2"/>
      <c r="AM250" s="2"/>
      <c r="AN250" s="2"/>
      <c r="AO250" s="55"/>
      <c r="AP250" s="98">
        <v>3</v>
      </c>
      <c r="AQ250" s="109"/>
      <c r="AR250" s="100">
        <f>IFERROR(AP250*AQ250*AS250,0)</f>
        <v>0</v>
      </c>
      <c r="AS250" s="48">
        <f>IFERROR(AR251/((AP250*AQ250)+(AP249*AQ249)+(AP248*AQ248)+(AP247*AQ247)),0)</f>
        <v>0</v>
      </c>
    </row>
    <row r="251" spans="1:51" ht="15" customHeight="1" thickBot="1">
      <c r="A251" s="1001"/>
      <c r="B251" s="1001"/>
      <c r="C251" s="1023"/>
      <c r="D251" s="1023"/>
      <c r="E251" s="1023"/>
      <c r="F251" s="1024"/>
      <c r="G251" s="1024"/>
      <c r="H251" s="184"/>
      <c r="I251" s="190"/>
      <c r="J251" s="1026"/>
      <c r="K251" s="1026"/>
      <c r="L251" s="1026"/>
      <c r="M251" s="1026"/>
      <c r="N251" s="1013"/>
      <c r="O251" s="192"/>
      <c r="P251" s="1027"/>
      <c r="Q251" s="1027"/>
      <c r="R251" s="1027"/>
      <c r="S251" s="1027"/>
      <c r="T251" s="1018"/>
      <c r="U251" s="1018"/>
      <c r="V251" s="1027"/>
      <c r="W251" s="1027"/>
      <c r="X251" s="1027"/>
      <c r="Y251" s="1027"/>
      <c r="Z251" s="1001"/>
      <c r="AA251" s="1001"/>
      <c r="AB251" s="1001"/>
      <c r="AC251" s="1027"/>
      <c r="AD251" s="1027"/>
      <c r="AE251" s="1027"/>
      <c r="AF251" s="1027"/>
      <c r="AG251" s="54"/>
      <c r="AH251" s="54"/>
      <c r="AK251" s="154">
        <f>SUM(AK238:AK250)</f>
        <v>0</v>
      </c>
      <c r="AL251" s="154">
        <f>SUM(AL238:AL250)</f>
        <v>0</v>
      </c>
      <c r="AM251" s="154">
        <f>SUM(AM238:AM250)</f>
        <v>0</v>
      </c>
      <c r="AN251" s="154">
        <f>SUM(AN238:AN250)</f>
        <v>0</v>
      </c>
      <c r="AO251" s="55"/>
      <c r="AP251" s="111"/>
      <c r="AQ251" s="112"/>
      <c r="AR251" s="155"/>
      <c r="AS251" s="55"/>
    </row>
    <row r="252" spans="1:51" ht="15.75" customHeight="1">
      <c r="A252" s="1028"/>
      <c r="B252" s="1001"/>
      <c r="C252" s="1001"/>
      <c r="D252" s="1001"/>
      <c r="E252" s="1001"/>
      <c r="F252" s="1001"/>
      <c r="G252" s="1001"/>
      <c r="H252" s="1018"/>
      <c r="I252" s="190"/>
      <c r="J252" s="1026"/>
      <c r="K252" s="1026"/>
      <c r="L252" s="1026"/>
      <c r="M252" s="1026"/>
      <c r="N252" s="1013"/>
      <c r="O252" s="192"/>
      <c r="P252" s="1027"/>
      <c r="Q252" s="1027"/>
      <c r="R252" s="1027"/>
      <c r="S252" s="1027"/>
      <c r="T252" s="1029"/>
      <c r="U252" s="1030"/>
      <c r="V252" s="1027"/>
      <c r="W252" s="1027"/>
      <c r="X252" s="1027"/>
      <c r="Y252" s="1027"/>
      <c r="Z252" s="1031"/>
      <c r="AA252" s="1032"/>
      <c r="AB252" s="1033"/>
      <c r="AC252" s="1027"/>
      <c r="AD252" s="1027"/>
      <c r="AE252" s="1027"/>
      <c r="AF252" s="1027"/>
      <c r="AG252" s="54"/>
      <c r="AH252" s="1030"/>
      <c r="AK252" s="48"/>
      <c r="AL252" s="48"/>
      <c r="AM252" s="48"/>
      <c r="AN252" s="48"/>
      <c r="AO252" s="55"/>
      <c r="AP252" s="55"/>
      <c r="AQ252" s="55"/>
      <c r="AR252" s="157">
        <f>AR243+AR251</f>
        <v>0</v>
      </c>
      <c r="AS252" s="55"/>
    </row>
    <row r="253" spans="1:51" ht="19.5" customHeight="1" thickBot="1">
      <c r="A253" s="1007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007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54"/>
      <c r="AH253" s="54"/>
      <c r="AK253" s="48"/>
      <c r="AL253" s="48"/>
      <c r="AM253" s="48"/>
      <c r="AN253" s="48"/>
      <c r="AO253" s="48"/>
      <c r="AP253" s="48"/>
      <c r="AQ253" s="48"/>
      <c r="AR253" s="48"/>
      <c r="AS253" s="48"/>
    </row>
    <row r="254" spans="1:51" ht="14.25" customHeight="1" thickBot="1">
      <c r="A254" s="1252"/>
      <c r="B254" s="1253"/>
      <c r="C254" s="1254"/>
      <c r="D254" s="1254"/>
      <c r="E254" s="1254"/>
      <c r="F254" s="1254"/>
      <c r="G254" s="1254"/>
      <c r="H254" s="1253"/>
      <c r="I254" s="1254"/>
      <c r="J254" s="1253"/>
      <c r="K254" s="1253"/>
      <c r="L254" s="1253"/>
      <c r="M254" s="1253"/>
      <c r="N254" s="1255"/>
      <c r="O254" s="1258"/>
      <c r="P254" s="1254"/>
      <c r="Q254" s="1254"/>
      <c r="R254" s="1254"/>
      <c r="S254" s="1254"/>
      <c r="T254" s="1259"/>
      <c r="U254" s="1258"/>
      <c r="V254" s="1254"/>
      <c r="W254" s="1254"/>
      <c r="X254" s="1254"/>
      <c r="Y254" s="1254"/>
      <c r="Z254" s="1259"/>
      <c r="AA254" s="1258"/>
      <c r="AB254" s="1258"/>
      <c r="AC254" s="1260"/>
      <c r="AD254" s="1260"/>
      <c r="AE254" s="1260"/>
      <c r="AF254" s="1260"/>
      <c r="AG254" s="1259"/>
      <c r="AH254" s="1258"/>
      <c r="AK254" s="1257" t="s">
        <v>37</v>
      </c>
      <c r="AL254" s="1257"/>
      <c r="AM254" s="1257"/>
      <c r="AN254" s="1257"/>
      <c r="AO254" s="55"/>
      <c r="AP254" s="1250" t="s">
        <v>7</v>
      </c>
      <c r="AQ254" s="1250"/>
      <c r="AR254" s="1250"/>
      <c r="AS254" s="55"/>
      <c r="AT254" s="1251" t="s">
        <v>38</v>
      </c>
      <c r="AU254" s="1251"/>
      <c r="AV254" s="1251"/>
      <c r="AW254" s="1251"/>
      <c r="AX254" s="94" t="s">
        <v>39</v>
      </c>
      <c r="AY254" s="95" t="s">
        <v>12</v>
      </c>
    </row>
    <row r="255" spans="1:51" ht="18" customHeight="1" thickBot="1">
      <c r="A255" s="1252"/>
      <c r="B255" s="1252"/>
      <c r="C255" s="186"/>
      <c r="D255" s="186"/>
      <c r="E255" s="186"/>
      <c r="F255" s="186"/>
      <c r="G255" s="186"/>
      <c r="H255" s="1253"/>
      <c r="I255" s="1254"/>
      <c r="J255" s="185"/>
      <c r="K255" s="185"/>
      <c r="L255" s="185"/>
      <c r="M255" s="185"/>
      <c r="N255" s="1255"/>
      <c r="O255" s="1258"/>
      <c r="P255" s="186"/>
      <c r="Q255" s="185"/>
      <c r="R255" s="1008"/>
      <c r="S255" s="185"/>
      <c r="T255" s="1259"/>
      <c r="U255" s="1259"/>
      <c r="V255" s="186"/>
      <c r="W255" s="185"/>
      <c r="X255" s="1008"/>
      <c r="Y255" s="185"/>
      <c r="Z255" s="1259"/>
      <c r="AA255" s="1259"/>
      <c r="AB255" s="1258"/>
      <c r="AC255" s="186"/>
      <c r="AD255" s="185"/>
      <c r="AE255" s="1008"/>
      <c r="AF255" s="185"/>
      <c r="AG255" s="1259"/>
      <c r="AH255" s="1258"/>
      <c r="AK255" s="162" t="s">
        <v>49</v>
      </c>
      <c r="AL255" s="162" t="s">
        <v>50</v>
      </c>
      <c r="AM255" s="162" t="s">
        <v>51</v>
      </c>
      <c r="AN255" s="162" t="s">
        <v>52</v>
      </c>
      <c r="AO255" s="73">
        <v>130</v>
      </c>
      <c r="AP255" s="1250"/>
      <c r="AQ255" s="1250"/>
      <c r="AR255" s="1250"/>
      <c r="AS255" s="55"/>
      <c r="AT255" s="164" t="s">
        <v>45</v>
      </c>
      <c r="AU255" s="165" t="s">
        <v>46</v>
      </c>
      <c r="AV255" s="166" t="s">
        <v>47</v>
      </c>
      <c r="AW255" s="161" t="s">
        <v>48</v>
      </c>
      <c r="AX255" s="94"/>
      <c r="AY255" s="95"/>
    </row>
    <row r="256" spans="1:51" ht="15" customHeight="1" thickBot="1">
      <c r="A256" s="1009"/>
      <c r="B256" s="1010"/>
      <c r="C256" s="1011"/>
      <c r="D256" s="1011"/>
      <c r="E256" s="1011"/>
      <c r="F256" s="1012"/>
      <c r="G256" s="1012"/>
      <c r="H256" s="184"/>
      <c r="I256" s="190"/>
      <c r="J256" s="1001"/>
      <c r="K256" s="1001"/>
      <c r="L256" s="186"/>
      <c r="M256" s="1001"/>
      <c r="N256" s="1013"/>
      <c r="O256" s="192"/>
      <c r="P256" s="1014"/>
      <c r="Q256" s="1014"/>
      <c r="R256" s="1001"/>
      <c r="S256" s="1014"/>
      <c r="T256" s="1013"/>
      <c r="U256" s="1015"/>
      <c r="V256" s="1014"/>
      <c r="W256" s="1014"/>
      <c r="X256" s="1001"/>
      <c r="Y256" s="1014"/>
      <c r="Z256" s="1013"/>
      <c r="AA256" s="1015"/>
      <c r="AB256" s="1015"/>
      <c r="AC256" s="194"/>
      <c r="AD256" s="194"/>
      <c r="AE256" s="194"/>
      <c r="AF256" s="194"/>
      <c r="AG256" s="1013"/>
      <c r="AH256" s="1015"/>
      <c r="AJ256" s="79" t="str">
        <f t="shared" ref="AJ256:AJ267" si="108">IF(H256=130,0.132335,IF(H256=100,0.0785,IF(H256=110,0.095,IF(H256=160,0.198005,""))))</f>
        <v/>
      </c>
      <c r="AK256" s="16" t="str">
        <f t="shared" ref="AK256:AK267" si="109">IFERROR(P256*3*AJ256,"")</f>
        <v/>
      </c>
      <c r="AL256" s="16" t="str">
        <f t="shared" ref="AL256:AL267" si="110">IFERROR(Q256*4*AJ256,"")</f>
        <v/>
      </c>
      <c r="AM256" s="16" t="str">
        <f t="shared" ref="AM256:AM267" si="111">IFERROR(R256*5*AJ256,"")</f>
        <v/>
      </c>
      <c r="AN256" s="16" t="str">
        <f t="shared" ref="AN256:AN267" si="112">IFERROR(S256*6*AJ256,"")</f>
        <v/>
      </c>
      <c r="AO256" s="55"/>
      <c r="AP256" s="1250"/>
      <c r="AQ256" s="1250"/>
      <c r="AR256" s="1250"/>
      <c r="AS256" s="55"/>
      <c r="AT256" s="167"/>
      <c r="AU256" s="167"/>
      <c r="AV256" s="168"/>
      <c r="AW256" s="169"/>
      <c r="AX256" s="94">
        <f t="shared" ref="AX256:AX267" si="113">AT256*3+AU256*4+AV256*5+AW256*6</f>
        <v>0</v>
      </c>
      <c r="AY256" s="95">
        <f t="shared" ref="AY256:AY267" si="114">AX256*I256</f>
        <v>0</v>
      </c>
    </row>
    <row r="257" spans="1:51" ht="15" customHeight="1">
      <c r="A257" s="1001"/>
      <c r="B257" s="1010"/>
      <c r="C257" s="1011"/>
      <c r="D257" s="1011"/>
      <c r="E257" s="1011"/>
      <c r="F257" s="1012"/>
      <c r="G257" s="1012"/>
      <c r="H257" s="184"/>
      <c r="I257" s="190"/>
      <c r="J257" s="1001"/>
      <c r="K257" s="1001"/>
      <c r="L257" s="186"/>
      <c r="M257" s="1001"/>
      <c r="N257" s="1013"/>
      <c r="O257" s="192"/>
      <c r="P257" s="1014"/>
      <c r="Q257" s="1014"/>
      <c r="R257" s="1001"/>
      <c r="S257" s="1014"/>
      <c r="T257" s="1013"/>
      <c r="U257" s="1015"/>
      <c r="V257" s="1014"/>
      <c r="W257" s="1014"/>
      <c r="X257" s="186"/>
      <c r="Y257" s="1014"/>
      <c r="Z257" s="1013"/>
      <c r="AA257" s="1015"/>
      <c r="AB257" s="1015"/>
      <c r="AC257" s="194"/>
      <c r="AD257" s="194"/>
      <c r="AE257" s="194"/>
      <c r="AF257" s="194"/>
      <c r="AG257" s="1013"/>
      <c r="AH257" s="1015"/>
      <c r="AJ257" s="79" t="str">
        <f t="shared" si="108"/>
        <v/>
      </c>
      <c r="AK257" s="16" t="str">
        <f t="shared" si="109"/>
        <v/>
      </c>
      <c r="AL257" s="16" t="str">
        <f t="shared" si="110"/>
        <v/>
      </c>
      <c r="AM257" s="16" t="str">
        <f t="shared" si="111"/>
        <v/>
      </c>
      <c r="AN257" s="16" t="str">
        <f t="shared" si="112"/>
        <v/>
      </c>
      <c r="AO257" s="55"/>
      <c r="AP257" s="98">
        <v>6</v>
      </c>
      <c r="AQ257" s="99"/>
      <c r="AR257" s="100">
        <f>IFERROR(AP257*AQ257*AS260,0)</f>
        <v>0</v>
      </c>
      <c r="AS257" s="55"/>
      <c r="AT257" s="167"/>
      <c r="AU257" s="167"/>
      <c r="AV257" s="164"/>
      <c r="AW257" s="169"/>
      <c r="AX257" s="94">
        <f t="shared" si="113"/>
        <v>0</v>
      </c>
      <c r="AY257" s="95">
        <f t="shared" si="114"/>
        <v>0</v>
      </c>
    </row>
    <row r="258" spans="1:51" ht="15" customHeight="1">
      <c r="A258" s="1001"/>
      <c r="B258" s="1010"/>
      <c r="C258" s="1016"/>
      <c r="D258" s="1016"/>
      <c r="E258" s="1016"/>
      <c r="F258" s="1017"/>
      <c r="G258" s="1017"/>
      <c r="H258" s="184"/>
      <c r="I258" s="190"/>
      <c r="J258" s="1001"/>
      <c r="K258" s="1001"/>
      <c r="L258" s="186"/>
      <c r="M258" s="1001"/>
      <c r="N258" s="1013"/>
      <c r="O258" s="192"/>
      <c r="P258" s="1014"/>
      <c r="Q258" s="1014"/>
      <c r="R258" s="1001"/>
      <c r="S258" s="1014"/>
      <c r="T258" s="1013"/>
      <c r="U258" s="1015"/>
      <c r="V258" s="1014"/>
      <c r="W258" s="1014"/>
      <c r="X258" s="1001"/>
      <c r="Y258" s="1014"/>
      <c r="Z258" s="1013"/>
      <c r="AA258" s="1015"/>
      <c r="AB258" s="1015"/>
      <c r="AC258" s="194"/>
      <c r="AD258" s="194"/>
      <c r="AE258" s="194"/>
      <c r="AF258" s="194"/>
      <c r="AG258" s="1013"/>
      <c r="AH258" s="1015"/>
      <c r="AJ258" s="79" t="str">
        <f t="shared" si="108"/>
        <v/>
      </c>
      <c r="AK258" s="16" t="str">
        <f t="shared" si="109"/>
        <v/>
      </c>
      <c r="AL258" s="16" t="str">
        <f t="shared" si="110"/>
        <v/>
      </c>
      <c r="AM258" s="16" t="str">
        <f t="shared" si="111"/>
        <v/>
      </c>
      <c r="AN258" s="16" t="str">
        <f t="shared" si="112"/>
        <v/>
      </c>
      <c r="AO258" s="55"/>
      <c r="AP258" s="98">
        <v>5</v>
      </c>
      <c r="AQ258" s="99"/>
      <c r="AR258" s="100">
        <f>IFERROR(AP258*AQ258*AS260,0)</f>
        <v>0</v>
      </c>
      <c r="AS258" s="104"/>
      <c r="AT258" s="165"/>
      <c r="AU258" s="167"/>
      <c r="AV258" s="168"/>
      <c r="AW258" s="169"/>
      <c r="AX258" s="94">
        <f t="shared" si="113"/>
        <v>0</v>
      </c>
      <c r="AY258" s="95">
        <f t="shared" si="114"/>
        <v>0</v>
      </c>
    </row>
    <row r="259" spans="1:51" ht="15" customHeight="1">
      <c r="A259" s="1001"/>
      <c r="B259" s="1010"/>
      <c r="C259" s="1011"/>
      <c r="D259" s="1011"/>
      <c r="E259" s="1011"/>
      <c r="F259" s="1012"/>
      <c r="G259" s="1012"/>
      <c r="H259" s="184"/>
      <c r="I259" s="190"/>
      <c r="J259" s="1001"/>
      <c r="K259" s="1001"/>
      <c r="L259" s="186"/>
      <c r="M259" s="1001"/>
      <c r="N259" s="1013"/>
      <c r="O259" s="192"/>
      <c r="P259" s="1014"/>
      <c r="Q259" s="1014"/>
      <c r="R259" s="1001"/>
      <c r="S259" s="1014"/>
      <c r="T259" s="1013"/>
      <c r="U259" s="1015"/>
      <c r="V259" s="1014"/>
      <c r="W259" s="1014"/>
      <c r="X259" s="1001"/>
      <c r="Y259" s="1014"/>
      <c r="Z259" s="1013"/>
      <c r="AA259" s="1015"/>
      <c r="AB259" s="1015"/>
      <c r="AC259" s="194"/>
      <c r="AD259" s="194"/>
      <c r="AE259" s="194"/>
      <c r="AF259" s="194"/>
      <c r="AG259" s="1013"/>
      <c r="AH259" s="1015"/>
      <c r="AJ259" s="79" t="str">
        <f t="shared" si="108"/>
        <v/>
      </c>
      <c r="AK259" s="16" t="str">
        <f t="shared" si="109"/>
        <v/>
      </c>
      <c r="AL259" s="16" t="str">
        <f t="shared" si="110"/>
        <v/>
      </c>
      <c r="AM259" s="16" t="str">
        <f t="shared" si="111"/>
        <v/>
      </c>
      <c r="AN259" s="16" t="str">
        <f t="shared" si="112"/>
        <v/>
      </c>
      <c r="AO259" s="55"/>
      <c r="AP259" s="98">
        <v>4</v>
      </c>
      <c r="AQ259" s="99"/>
      <c r="AR259" s="100">
        <f>IFERROR(AP259*AQ259*AS260,0)</f>
        <v>0</v>
      </c>
      <c r="AS259" s="104"/>
      <c r="AT259" s="167"/>
      <c r="AU259" s="167"/>
      <c r="AV259" s="168"/>
      <c r="AW259" s="169"/>
      <c r="AX259" s="94">
        <f t="shared" si="113"/>
        <v>0</v>
      </c>
      <c r="AY259" s="95">
        <f t="shared" si="114"/>
        <v>0</v>
      </c>
    </row>
    <row r="260" spans="1:51" ht="15" customHeight="1">
      <c r="A260" s="1001"/>
      <c r="B260" s="1010"/>
      <c r="C260" s="1011"/>
      <c r="D260" s="188"/>
      <c r="E260" s="1011"/>
      <c r="F260" s="1012"/>
      <c r="G260" s="1012"/>
      <c r="H260" s="184"/>
      <c r="I260" s="190"/>
      <c r="J260" s="1001"/>
      <c r="K260" s="1001"/>
      <c r="L260" s="186"/>
      <c r="M260" s="1001"/>
      <c r="N260" s="1013"/>
      <c r="O260" s="192"/>
      <c r="P260" s="1014"/>
      <c r="Q260" s="1014"/>
      <c r="R260" s="1001"/>
      <c r="S260" s="1014"/>
      <c r="T260" s="1013"/>
      <c r="U260" s="1015"/>
      <c r="V260" s="1014"/>
      <c r="W260" s="1014"/>
      <c r="X260" s="1001"/>
      <c r="Y260" s="1014"/>
      <c r="Z260" s="1013"/>
      <c r="AA260" s="1015"/>
      <c r="AB260" s="1015"/>
      <c r="AC260" s="194"/>
      <c r="AD260" s="194"/>
      <c r="AE260" s="194"/>
      <c r="AF260" s="194"/>
      <c r="AG260" s="1013"/>
      <c r="AH260" s="1015"/>
      <c r="AJ260" s="79" t="str">
        <f t="shared" si="108"/>
        <v/>
      </c>
      <c r="AK260" s="16" t="str">
        <f t="shared" si="109"/>
        <v/>
      </c>
      <c r="AL260" s="16" t="str">
        <f t="shared" si="110"/>
        <v/>
      </c>
      <c r="AM260" s="16" t="str">
        <f t="shared" si="111"/>
        <v/>
      </c>
      <c r="AN260" s="16" t="str">
        <f t="shared" si="112"/>
        <v/>
      </c>
      <c r="AO260" s="55"/>
      <c r="AP260" s="98">
        <v>3</v>
      </c>
      <c r="AQ260" s="109"/>
      <c r="AR260" s="100">
        <f>IFERROR(AP260*AQ260*AS260,0)</f>
        <v>0</v>
      </c>
      <c r="AS260" s="48">
        <f>IFERROR(AR261/((AP260*AQ260)+(AP259*AQ259)+(AP258*AQ258)+(AP257*AQ257)),0)</f>
        <v>0</v>
      </c>
      <c r="AT260" s="167"/>
      <c r="AU260" s="167"/>
      <c r="AV260" s="168"/>
      <c r="AW260" s="169"/>
      <c r="AX260" s="94">
        <f t="shared" si="113"/>
        <v>0</v>
      </c>
      <c r="AY260" s="95">
        <f t="shared" si="114"/>
        <v>0</v>
      </c>
    </row>
    <row r="261" spans="1:51" ht="14.25" customHeight="1" thickBot="1">
      <c r="A261" s="1001"/>
      <c r="B261" s="1010"/>
      <c r="C261" s="1011"/>
      <c r="D261" s="1011"/>
      <c r="E261" s="1011"/>
      <c r="F261" s="1012"/>
      <c r="G261" s="1012"/>
      <c r="H261" s="184"/>
      <c r="I261" s="190"/>
      <c r="J261" s="1001"/>
      <c r="K261" s="1001"/>
      <c r="L261" s="186"/>
      <c r="M261" s="1001"/>
      <c r="N261" s="1013"/>
      <c r="O261" s="192"/>
      <c r="P261" s="185"/>
      <c r="Q261" s="1014"/>
      <c r="R261" s="1001"/>
      <c r="S261" s="1014"/>
      <c r="T261" s="1013"/>
      <c r="U261" s="1015"/>
      <c r="V261" s="185"/>
      <c r="W261" s="1014"/>
      <c r="X261" s="1001"/>
      <c r="Y261" s="1014"/>
      <c r="Z261" s="1013"/>
      <c r="AA261" s="1015"/>
      <c r="AB261" s="1015"/>
      <c r="AC261" s="194"/>
      <c r="AD261" s="194"/>
      <c r="AE261" s="194"/>
      <c r="AF261" s="194"/>
      <c r="AG261" s="1013"/>
      <c r="AH261" s="1015"/>
      <c r="AJ261" s="79" t="str">
        <f t="shared" si="108"/>
        <v/>
      </c>
      <c r="AK261" s="16" t="str">
        <f t="shared" si="109"/>
        <v/>
      </c>
      <c r="AL261" s="16" t="str">
        <f t="shared" si="110"/>
        <v/>
      </c>
      <c r="AM261" s="16" t="str">
        <f t="shared" si="111"/>
        <v/>
      </c>
      <c r="AN261" s="16" t="str">
        <f t="shared" si="112"/>
        <v/>
      </c>
      <c r="AO261" s="55"/>
      <c r="AP261" s="111"/>
      <c r="AQ261" s="112"/>
      <c r="AR261" s="113"/>
      <c r="AS261" s="104"/>
      <c r="AT261" s="167"/>
      <c r="AU261" s="167"/>
      <c r="AV261" s="168"/>
      <c r="AW261" s="169"/>
      <c r="AX261" s="94">
        <f t="shared" si="113"/>
        <v>0</v>
      </c>
      <c r="AY261" s="95">
        <f t="shared" si="114"/>
        <v>0</v>
      </c>
    </row>
    <row r="262" spans="1:51" ht="14.25" customHeight="1" thickBot="1">
      <c r="A262" s="1001"/>
      <c r="B262" s="1010"/>
      <c r="C262" s="1011"/>
      <c r="D262" s="1011"/>
      <c r="E262" s="1011"/>
      <c r="F262" s="1012"/>
      <c r="G262" s="1012"/>
      <c r="H262" s="184"/>
      <c r="I262" s="190"/>
      <c r="J262" s="1001"/>
      <c r="K262" s="1001"/>
      <c r="L262" s="186"/>
      <c r="M262" s="1001"/>
      <c r="N262" s="1013"/>
      <c r="O262" s="192"/>
      <c r="P262" s="1014"/>
      <c r="Q262" s="1014"/>
      <c r="R262" s="1001"/>
      <c r="S262" s="1014"/>
      <c r="T262" s="1013"/>
      <c r="U262" s="1015"/>
      <c r="V262" s="1014"/>
      <c r="W262" s="1014"/>
      <c r="X262" s="1001"/>
      <c r="Y262" s="1014"/>
      <c r="Z262" s="1013"/>
      <c r="AA262" s="1015"/>
      <c r="AB262" s="1015"/>
      <c r="AC262" s="194"/>
      <c r="AD262" s="194"/>
      <c r="AE262" s="194"/>
      <c r="AF262" s="194"/>
      <c r="AG262" s="1013"/>
      <c r="AH262" s="1015"/>
      <c r="AJ262" s="79" t="str">
        <f t="shared" si="108"/>
        <v/>
      </c>
      <c r="AK262" s="16" t="str">
        <f t="shared" si="109"/>
        <v/>
      </c>
      <c r="AL262" s="16" t="str">
        <f t="shared" si="110"/>
        <v/>
      </c>
      <c r="AM262" s="16" t="str">
        <f t="shared" si="111"/>
        <v/>
      </c>
      <c r="AN262" s="16" t="str">
        <f t="shared" si="112"/>
        <v/>
      </c>
      <c r="AO262" s="55"/>
      <c r="AP262" s="1250" t="s">
        <v>7</v>
      </c>
      <c r="AQ262" s="1250"/>
      <c r="AR262" s="1250"/>
      <c r="AS262" s="104"/>
      <c r="AT262" s="167"/>
      <c r="AU262" s="167"/>
      <c r="AV262" s="168"/>
      <c r="AW262" s="169"/>
      <c r="AX262" s="94">
        <f t="shared" si="113"/>
        <v>0</v>
      </c>
      <c r="AY262" s="95">
        <f t="shared" si="114"/>
        <v>0</v>
      </c>
    </row>
    <row r="263" spans="1:51" ht="15" customHeight="1" thickBot="1">
      <c r="A263" s="1001"/>
      <c r="B263" s="1010"/>
      <c r="C263" s="1011"/>
      <c r="D263" s="1011"/>
      <c r="E263" s="1011"/>
      <c r="F263" s="1012"/>
      <c r="G263" s="1012"/>
      <c r="H263" s="184"/>
      <c r="I263" s="190"/>
      <c r="J263" s="1001"/>
      <c r="K263" s="1001"/>
      <c r="L263" s="186"/>
      <c r="M263" s="1001"/>
      <c r="N263" s="1013"/>
      <c r="O263" s="192"/>
      <c r="P263" s="1014"/>
      <c r="Q263" s="1014"/>
      <c r="R263" s="1001"/>
      <c r="S263" s="1014"/>
      <c r="T263" s="1013"/>
      <c r="U263" s="1015"/>
      <c r="V263" s="1014"/>
      <c r="W263" s="185"/>
      <c r="X263" s="1001"/>
      <c r="Y263" s="1014"/>
      <c r="Z263" s="1013"/>
      <c r="AA263" s="1015"/>
      <c r="AB263" s="1015"/>
      <c r="AC263" s="194"/>
      <c r="AD263" s="194"/>
      <c r="AE263" s="194"/>
      <c r="AF263" s="194"/>
      <c r="AG263" s="1013"/>
      <c r="AH263" s="1015"/>
      <c r="AJ263" s="79" t="str">
        <f t="shared" si="108"/>
        <v/>
      </c>
      <c r="AK263" s="16" t="str">
        <f t="shared" si="109"/>
        <v/>
      </c>
      <c r="AL263" s="16" t="str">
        <f t="shared" si="110"/>
        <v/>
      </c>
      <c r="AM263" s="16" t="str">
        <f t="shared" si="111"/>
        <v/>
      </c>
      <c r="AN263" s="16" t="str">
        <f t="shared" si="112"/>
        <v/>
      </c>
      <c r="AO263" s="73">
        <v>160</v>
      </c>
      <c r="AP263" s="1250"/>
      <c r="AQ263" s="1250"/>
      <c r="AR263" s="1250"/>
      <c r="AS263" s="55"/>
      <c r="AT263" s="167"/>
      <c r="AU263" s="167"/>
      <c r="AV263" s="168"/>
      <c r="AW263" s="169"/>
      <c r="AX263" s="94">
        <f t="shared" si="113"/>
        <v>0</v>
      </c>
      <c r="AY263" s="95">
        <f t="shared" si="114"/>
        <v>0</v>
      </c>
    </row>
    <row r="264" spans="1:51" ht="15" customHeight="1" thickBot="1">
      <c r="A264" s="1001"/>
      <c r="B264" s="1010"/>
      <c r="C264" s="1011"/>
      <c r="D264" s="1011"/>
      <c r="E264" s="1011"/>
      <c r="F264" s="1012"/>
      <c r="G264" s="1012"/>
      <c r="H264" s="184"/>
      <c r="I264" s="190"/>
      <c r="J264" s="1001"/>
      <c r="K264" s="1001"/>
      <c r="L264" s="186"/>
      <c r="M264" s="1001"/>
      <c r="N264" s="1013"/>
      <c r="O264" s="192"/>
      <c r="P264" s="1014"/>
      <c r="Q264" s="185"/>
      <c r="R264" s="1018"/>
      <c r="S264" s="1014"/>
      <c r="T264" s="1013"/>
      <c r="U264" s="1015"/>
      <c r="V264" s="1014"/>
      <c r="W264" s="185"/>
      <c r="X264" s="1001"/>
      <c r="Y264" s="1014"/>
      <c r="Z264" s="1013"/>
      <c r="AA264" s="1015"/>
      <c r="AB264" s="1015"/>
      <c r="AC264" s="194"/>
      <c r="AD264" s="194"/>
      <c r="AE264" s="194"/>
      <c r="AF264" s="194"/>
      <c r="AG264" s="1013"/>
      <c r="AH264" s="1015"/>
      <c r="AJ264" s="79" t="str">
        <f t="shared" si="108"/>
        <v/>
      </c>
      <c r="AK264" s="16" t="str">
        <f t="shared" si="109"/>
        <v/>
      </c>
      <c r="AL264" s="16" t="str">
        <f t="shared" si="110"/>
        <v/>
      </c>
      <c r="AM264" s="16" t="str">
        <f t="shared" si="111"/>
        <v/>
      </c>
      <c r="AN264" s="16" t="str">
        <f t="shared" si="112"/>
        <v/>
      </c>
      <c r="AO264" s="55"/>
      <c r="AP264" s="1250"/>
      <c r="AQ264" s="1250"/>
      <c r="AR264" s="1250"/>
      <c r="AS264" s="55"/>
      <c r="AT264" s="167"/>
      <c r="AU264" s="167"/>
      <c r="AV264" s="168"/>
      <c r="AW264" s="169"/>
      <c r="AX264" s="94">
        <f t="shared" si="113"/>
        <v>0</v>
      </c>
      <c r="AY264" s="95">
        <f t="shared" si="114"/>
        <v>0</v>
      </c>
    </row>
    <row r="265" spans="1:51" ht="16.5" customHeight="1">
      <c r="A265" s="1001"/>
      <c r="B265" s="1010"/>
      <c r="C265" s="1011"/>
      <c r="D265" s="1011"/>
      <c r="E265" s="1011"/>
      <c r="F265" s="1012"/>
      <c r="G265" s="1012"/>
      <c r="H265" s="184"/>
      <c r="I265" s="190"/>
      <c r="J265" s="1001"/>
      <c r="K265" s="1001"/>
      <c r="L265" s="186"/>
      <c r="M265" s="1001"/>
      <c r="N265" s="1013"/>
      <c r="O265" s="192"/>
      <c r="P265" s="1014"/>
      <c r="Q265" s="185"/>
      <c r="R265" s="1014"/>
      <c r="S265" s="1014"/>
      <c r="T265" s="1013"/>
      <c r="U265" s="1015"/>
      <c r="V265" s="1014"/>
      <c r="W265" s="185"/>
      <c r="X265" s="1001"/>
      <c r="Y265" s="1014"/>
      <c r="Z265" s="1013"/>
      <c r="AA265" s="1015"/>
      <c r="AB265" s="1015"/>
      <c r="AC265" s="194"/>
      <c r="AD265" s="194"/>
      <c r="AE265" s="194"/>
      <c r="AF265" s="194"/>
      <c r="AG265" s="1013"/>
      <c r="AH265" s="1015"/>
      <c r="AJ265" s="79" t="str">
        <f t="shared" si="108"/>
        <v/>
      </c>
      <c r="AK265" s="16" t="str">
        <f t="shared" si="109"/>
        <v/>
      </c>
      <c r="AL265" s="16" t="str">
        <f t="shared" si="110"/>
        <v/>
      </c>
      <c r="AM265" s="16" t="str">
        <f t="shared" si="111"/>
        <v/>
      </c>
      <c r="AN265" s="16" t="str">
        <f t="shared" si="112"/>
        <v/>
      </c>
      <c r="AO265" s="55"/>
      <c r="AP265" s="117">
        <v>6</v>
      </c>
      <c r="AQ265" s="118"/>
      <c r="AR265" s="100">
        <f>IFERROR(AP265*AQ265*AS268,0)</f>
        <v>0</v>
      </c>
      <c r="AS265" s="55"/>
      <c r="AT265" s="167"/>
      <c r="AU265" s="167"/>
      <c r="AV265" s="168"/>
      <c r="AW265" s="169"/>
      <c r="AX265" s="94">
        <f t="shared" si="113"/>
        <v>0</v>
      </c>
      <c r="AY265" s="95">
        <f t="shared" si="114"/>
        <v>0</v>
      </c>
    </row>
    <row r="266" spans="1:51" ht="16.5" customHeight="1">
      <c r="A266" s="1001"/>
      <c r="B266" s="1010"/>
      <c r="C266" s="1011"/>
      <c r="D266" s="1011"/>
      <c r="E266" s="1011"/>
      <c r="F266" s="1012"/>
      <c r="G266" s="1012"/>
      <c r="H266" s="184"/>
      <c r="I266" s="190"/>
      <c r="J266" s="1001"/>
      <c r="K266" s="1001"/>
      <c r="L266" s="186"/>
      <c r="M266" s="1001"/>
      <c r="N266" s="1013"/>
      <c r="O266" s="192"/>
      <c r="P266" s="1014"/>
      <c r="Q266" s="184"/>
      <c r="R266" s="1018"/>
      <c r="S266" s="1019"/>
      <c r="T266" s="1013"/>
      <c r="U266" s="1015"/>
      <c r="V266" s="1014"/>
      <c r="W266" s="185"/>
      <c r="X266" s="1001"/>
      <c r="Y266" s="1014"/>
      <c r="Z266" s="1013"/>
      <c r="AA266" s="1015"/>
      <c r="AB266" s="1015"/>
      <c r="AC266" s="194"/>
      <c r="AD266" s="194"/>
      <c r="AE266" s="194"/>
      <c r="AF266" s="194"/>
      <c r="AG266" s="1013"/>
      <c r="AH266" s="1015"/>
      <c r="AJ266" s="79" t="str">
        <f t="shared" si="108"/>
        <v/>
      </c>
      <c r="AK266" s="16" t="str">
        <f t="shared" si="109"/>
        <v/>
      </c>
      <c r="AL266" s="16" t="str">
        <f t="shared" si="110"/>
        <v/>
      </c>
      <c r="AM266" s="16" t="str">
        <f t="shared" si="111"/>
        <v/>
      </c>
      <c r="AN266" s="16" t="str">
        <f t="shared" si="112"/>
        <v/>
      </c>
      <c r="AO266" s="55"/>
      <c r="AP266" s="98">
        <v>5</v>
      </c>
      <c r="AQ266" s="99"/>
      <c r="AR266" s="100">
        <f>IFERROR(AP266*AQ266*AS268,0)</f>
        <v>0</v>
      </c>
      <c r="AS266" s="55"/>
      <c r="AT266" s="177"/>
      <c r="AU266" s="178"/>
      <c r="AV266" s="177"/>
      <c r="AW266" s="179"/>
      <c r="AX266" s="94">
        <f t="shared" si="113"/>
        <v>0</v>
      </c>
      <c r="AY266" s="95">
        <f t="shared" si="114"/>
        <v>0</v>
      </c>
    </row>
    <row r="267" spans="1:51" ht="15.75" customHeight="1">
      <c r="A267" s="1001"/>
      <c r="B267" s="1010"/>
      <c r="C267" s="1020"/>
      <c r="D267" s="1021"/>
      <c r="E267" s="1020"/>
      <c r="F267" s="1022"/>
      <c r="G267" s="1022"/>
      <c r="H267" s="184"/>
      <c r="I267" s="190"/>
      <c r="J267" s="1001"/>
      <c r="K267" s="1001"/>
      <c r="L267" s="186"/>
      <c r="M267" s="1001"/>
      <c r="N267" s="1013"/>
      <c r="O267" s="192"/>
      <c r="P267" s="1019"/>
      <c r="Q267" s="184"/>
      <c r="R267" s="1018"/>
      <c r="S267" s="1019"/>
      <c r="T267" s="1013"/>
      <c r="U267" s="1015"/>
      <c r="V267" s="1014"/>
      <c r="W267" s="185"/>
      <c r="X267" s="1001"/>
      <c r="Y267" s="1014"/>
      <c r="Z267" s="1013"/>
      <c r="AA267" s="1015"/>
      <c r="AB267" s="1015"/>
      <c r="AC267" s="194"/>
      <c r="AD267" s="194"/>
      <c r="AE267" s="194"/>
      <c r="AF267" s="194"/>
      <c r="AG267" s="1013"/>
      <c r="AH267" s="1015"/>
      <c r="AJ267" s="79" t="str">
        <f t="shared" si="108"/>
        <v/>
      </c>
      <c r="AK267" s="16" t="str">
        <f t="shared" si="109"/>
        <v/>
      </c>
      <c r="AL267" s="16" t="str">
        <f t="shared" si="110"/>
        <v/>
      </c>
      <c r="AM267" s="16" t="str">
        <f t="shared" si="111"/>
        <v/>
      </c>
      <c r="AN267" s="16" t="str">
        <f t="shared" si="112"/>
        <v/>
      </c>
      <c r="AO267" s="104"/>
      <c r="AP267" s="98">
        <v>4</v>
      </c>
      <c r="AQ267" s="99"/>
      <c r="AR267" s="100">
        <f>IFERROR(AP267*AQ267*AS268,0)</f>
        <v>0</v>
      </c>
      <c r="AS267" s="55"/>
      <c r="AT267" s="167"/>
      <c r="AU267" s="165"/>
      <c r="AV267" s="168"/>
      <c r="AW267" s="169"/>
      <c r="AX267" s="94">
        <f t="shared" si="113"/>
        <v>0</v>
      </c>
      <c r="AY267" s="95">
        <f t="shared" si="114"/>
        <v>0</v>
      </c>
    </row>
    <row r="268" spans="1:51" ht="15" customHeight="1">
      <c r="A268" s="1001"/>
      <c r="B268" s="1001"/>
      <c r="C268" s="1023"/>
      <c r="D268" s="1023"/>
      <c r="E268" s="1023"/>
      <c r="F268" s="1024"/>
      <c r="G268" s="1024"/>
      <c r="H268" s="1001"/>
      <c r="I268" s="1001"/>
      <c r="J268" s="201"/>
      <c r="K268" s="201"/>
      <c r="L268" s="201"/>
      <c r="M268" s="201"/>
      <c r="N268" s="1025"/>
      <c r="O268" s="1002"/>
      <c r="P268" s="1001"/>
      <c r="Q268" s="1001"/>
      <c r="R268" s="1001"/>
      <c r="S268" s="1003"/>
      <c r="T268" s="1001"/>
      <c r="U268" s="1004"/>
      <c r="V268" s="1001"/>
      <c r="W268" s="1001"/>
      <c r="X268" s="1001"/>
      <c r="Y268" s="1001"/>
      <c r="Z268" s="1001"/>
      <c r="AA268" s="1004"/>
      <c r="AB268" s="1001"/>
      <c r="AC268" s="1001"/>
      <c r="AD268" s="1001"/>
      <c r="AE268" s="1001"/>
      <c r="AF268" s="1001"/>
      <c r="AG268" s="54"/>
      <c r="AH268" s="54"/>
      <c r="AK268" s="2"/>
      <c r="AL268" s="2"/>
      <c r="AM268" s="2"/>
      <c r="AN268" s="2"/>
      <c r="AO268" s="55"/>
      <c r="AP268" s="98">
        <v>3</v>
      </c>
      <c r="AQ268" s="109"/>
      <c r="AR268" s="100">
        <f>IFERROR(AP268*AQ268*AS268,0)</f>
        <v>0</v>
      </c>
      <c r="AS268" s="48">
        <f>IFERROR(AR269/((AP268*AQ268)+(AP267*AQ267)+(AP266*AQ266)+(AP265*AQ265)),0)</f>
        <v>0</v>
      </c>
    </row>
    <row r="269" spans="1:51" ht="15.75" customHeight="1" thickBot="1">
      <c r="A269" s="1001"/>
      <c r="B269" s="1001"/>
      <c r="C269" s="1023"/>
      <c r="D269" s="1023"/>
      <c r="E269" s="1023"/>
      <c r="F269" s="1024"/>
      <c r="G269" s="1024"/>
      <c r="H269" s="184"/>
      <c r="I269" s="190"/>
      <c r="J269" s="1026"/>
      <c r="K269" s="1026"/>
      <c r="L269" s="1026"/>
      <c r="M269" s="1026"/>
      <c r="N269" s="1013"/>
      <c r="O269" s="192"/>
      <c r="P269" s="1027"/>
      <c r="Q269" s="1027"/>
      <c r="R269" s="1027"/>
      <c r="S269" s="1027"/>
      <c r="T269" s="1018"/>
      <c r="U269" s="1018"/>
      <c r="V269" s="1027"/>
      <c r="W269" s="1027"/>
      <c r="X269" s="1027"/>
      <c r="Y269" s="1027"/>
      <c r="Z269" s="1001"/>
      <c r="AA269" s="1001"/>
      <c r="AB269" s="1001"/>
      <c r="AC269" s="1027"/>
      <c r="AD269" s="1027"/>
      <c r="AE269" s="1027"/>
      <c r="AF269" s="1027"/>
      <c r="AG269" s="54"/>
      <c r="AH269" s="54"/>
      <c r="AK269" s="154">
        <f>SUM(AK256:AK268)</f>
        <v>0</v>
      </c>
      <c r="AL269" s="154">
        <f>SUM(AL256:AL268)</f>
        <v>0</v>
      </c>
      <c r="AM269" s="154">
        <f>SUM(AM256:AM268)</f>
        <v>0</v>
      </c>
      <c r="AN269" s="154">
        <f>SUM(AN256:AN268)</f>
        <v>0</v>
      </c>
      <c r="AO269" s="55"/>
      <c r="AP269" s="111"/>
      <c r="AQ269" s="112"/>
      <c r="AR269" s="155"/>
      <c r="AS269" s="55"/>
    </row>
    <row r="270" spans="1:51" ht="15.75" customHeight="1">
      <c r="A270" s="1028"/>
      <c r="B270" s="1001"/>
      <c r="C270" s="1001"/>
      <c r="D270" s="1001"/>
      <c r="E270" s="1001"/>
      <c r="F270" s="1001"/>
      <c r="G270" s="1001"/>
      <c r="H270" s="1018"/>
      <c r="I270" s="190"/>
      <c r="J270" s="1026"/>
      <c r="K270" s="1026"/>
      <c r="L270" s="1026"/>
      <c r="M270" s="1026"/>
      <c r="N270" s="1013"/>
      <c r="O270" s="192"/>
      <c r="P270" s="1027"/>
      <c r="Q270" s="1027"/>
      <c r="R270" s="1027"/>
      <c r="S270" s="1027"/>
      <c r="T270" s="1029"/>
      <c r="U270" s="1030"/>
      <c r="V270" s="1027"/>
      <c r="W270" s="1027"/>
      <c r="X270" s="1027"/>
      <c r="Y270" s="1027"/>
      <c r="Z270" s="1031"/>
      <c r="AA270" s="1032"/>
      <c r="AB270" s="1033"/>
      <c r="AC270" s="1027"/>
      <c r="AD270" s="1027"/>
      <c r="AE270" s="1027"/>
      <c r="AF270" s="1027"/>
      <c r="AG270" s="54"/>
      <c r="AH270" s="1030"/>
      <c r="AK270" s="48"/>
      <c r="AL270" s="48"/>
      <c r="AM270" s="48"/>
      <c r="AN270" s="48"/>
      <c r="AO270" s="55"/>
      <c r="AP270" s="55"/>
      <c r="AQ270" s="55"/>
      <c r="AR270" s="157">
        <f>AR261+AR269</f>
        <v>0</v>
      </c>
      <c r="AS270" s="55"/>
    </row>
    <row r="271" spans="1:51" ht="19.5" customHeight="1" thickBot="1">
      <c r="A271" s="1007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007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54"/>
      <c r="AH271" s="54"/>
      <c r="AK271" s="48"/>
      <c r="AL271" s="48"/>
      <c r="AM271" s="48"/>
      <c r="AN271" s="48"/>
      <c r="AO271" s="48"/>
      <c r="AP271" s="48"/>
      <c r="AQ271" s="48"/>
      <c r="AR271" s="48"/>
      <c r="AS271" s="48"/>
    </row>
    <row r="272" spans="1:51" ht="14.25" customHeight="1" thickBot="1">
      <c r="A272" s="1252"/>
      <c r="B272" s="1253"/>
      <c r="C272" s="1254"/>
      <c r="D272" s="1254"/>
      <c r="E272" s="1254"/>
      <c r="F272" s="1254"/>
      <c r="G272" s="1254"/>
      <c r="H272" s="1253"/>
      <c r="I272" s="1254"/>
      <c r="J272" s="1253"/>
      <c r="K272" s="1253"/>
      <c r="L272" s="1253"/>
      <c r="M272" s="1253"/>
      <c r="N272" s="1255"/>
      <c r="O272" s="1258"/>
      <c r="P272" s="1254"/>
      <c r="Q272" s="1254"/>
      <c r="R272" s="1254"/>
      <c r="S272" s="1254"/>
      <c r="T272" s="1259"/>
      <c r="U272" s="1258"/>
      <c r="V272" s="1254"/>
      <c r="W272" s="1254"/>
      <c r="X272" s="1254"/>
      <c r="Y272" s="1254"/>
      <c r="Z272" s="1259"/>
      <c r="AA272" s="1258"/>
      <c r="AB272" s="1258"/>
      <c r="AC272" s="1260"/>
      <c r="AD272" s="1260"/>
      <c r="AE272" s="1260"/>
      <c r="AF272" s="1260"/>
      <c r="AG272" s="1259"/>
      <c r="AH272" s="1258"/>
      <c r="AK272" s="1257" t="s">
        <v>37</v>
      </c>
      <c r="AL272" s="1257"/>
      <c r="AM272" s="1257"/>
      <c r="AN272" s="1257"/>
      <c r="AO272" s="55"/>
      <c r="AP272" s="1250" t="s">
        <v>7</v>
      </c>
      <c r="AQ272" s="1250"/>
      <c r="AR272" s="1250"/>
      <c r="AS272" s="55"/>
      <c r="AT272" s="1251" t="s">
        <v>38</v>
      </c>
      <c r="AU272" s="1251"/>
      <c r="AV272" s="1251"/>
      <c r="AW272" s="1251"/>
      <c r="AX272" s="94" t="s">
        <v>39</v>
      </c>
      <c r="AY272" s="95" t="s">
        <v>12</v>
      </c>
    </row>
    <row r="273" spans="1:51" ht="18" customHeight="1" thickBot="1">
      <c r="A273" s="1252"/>
      <c r="B273" s="1252"/>
      <c r="C273" s="186"/>
      <c r="D273" s="186"/>
      <c r="E273" s="186"/>
      <c r="F273" s="186"/>
      <c r="G273" s="186"/>
      <c r="H273" s="1253"/>
      <c r="I273" s="1254"/>
      <c r="J273" s="185"/>
      <c r="K273" s="185"/>
      <c r="L273" s="185"/>
      <c r="M273" s="185"/>
      <c r="N273" s="1255"/>
      <c r="O273" s="1258"/>
      <c r="P273" s="186"/>
      <c r="Q273" s="185"/>
      <c r="R273" s="1008"/>
      <c r="S273" s="185"/>
      <c r="T273" s="1259"/>
      <c r="U273" s="1259"/>
      <c r="V273" s="186"/>
      <c r="W273" s="185"/>
      <c r="X273" s="1008"/>
      <c r="Y273" s="185"/>
      <c r="Z273" s="1259"/>
      <c r="AA273" s="1259"/>
      <c r="AB273" s="1258"/>
      <c r="AC273" s="186"/>
      <c r="AD273" s="185"/>
      <c r="AE273" s="1008"/>
      <c r="AF273" s="185"/>
      <c r="AG273" s="1259"/>
      <c r="AH273" s="1258"/>
      <c r="AK273" s="162" t="s">
        <v>49</v>
      </c>
      <c r="AL273" s="162" t="s">
        <v>50</v>
      </c>
      <c r="AM273" s="162" t="s">
        <v>51</v>
      </c>
      <c r="AN273" s="162" t="s">
        <v>52</v>
      </c>
      <c r="AO273" s="73">
        <v>130</v>
      </c>
      <c r="AP273" s="1250"/>
      <c r="AQ273" s="1250"/>
      <c r="AR273" s="1250"/>
      <c r="AS273" s="55"/>
      <c r="AT273" s="164" t="s">
        <v>45</v>
      </c>
      <c r="AU273" s="165" t="s">
        <v>46</v>
      </c>
      <c r="AV273" s="166" t="s">
        <v>47</v>
      </c>
      <c r="AW273" s="161" t="s">
        <v>48</v>
      </c>
      <c r="AX273" s="94"/>
      <c r="AY273" s="95"/>
    </row>
    <row r="274" spans="1:51" ht="15" customHeight="1" thickBot="1">
      <c r="A274" s="1009"/>
      <c r="B274" s="1010"/>
      <c r="C274" s="1011"/>
      <c r="D274" s="1011"/>
      <c r="E274" s="1011"/>
      <c r="F274" s="1012"/>
      <c r="G274" s="1012"/>
      <c r="H274" s="184"/>
      <c r="I274" s="190"/>
      <c r="J274" s="1001"/>
      <c r="K274" s="1001"/>
      <c r="L274" s="186"/>
      <c r="M274" s="1001"/>
      <c r="N274" s="1013"/>
      <c r="O274" s="192"/>
      <c r="P274" s="1014"/>
      <c r="Q274" s="1014"/>
      <c r="R274" s="1001"/>
      <c r="S274" s="1014"/>
      <c r="T274" s="1013"/>
      <c r="U274" s="1015"/>
      <c r="V274" s="1014"/>
      <c r="W274" s="1014"/>
      <c r="X274" s="1001"/>
      <c r="Y274" s="1014"/>
      <c r="Z274" s="1013"/>
      <c r="AA274" s="1015"/>
      <c r="AB274" s="1015"/>
      <c r="AC274" s="194"/>
      <c r="AD274" s="194"/>
      <c r="AE274" s="194"/>
      <c r="AF274" s="194"/>
      <c r="AG274" s="1013"/>
      <c r="AH274" s="1015"/>
      <c r="AJ274" s="79" t="str">
        <f t="shared" ref="AJ274:AJ285" si="115">IF(H274=130,0.132335,IF(H274=100,0.0785,IF(H274=110,0.095,IF(H274=160,0.198005,""))))</f>
        <v/>
      </c>
      <c r="AK274" s="16" t="str">
        <f t="shared" ref="AK274:AK285" si="116">IFERROR(P274*3*AJ274,"")</f>
        <v/>
      </c>
      <c r="AL274" s="16" t="str">
        <f t="shared" ref="AL274:AL285" si="117">IFERROR(Q274*4*AJ274,"")</f>
        <v/>
      </c>
      <c r="AM274" s="16" t="str">
        <f t="shared" ref="AM274:AM285" si="118">IFERROR(R274*5*AJ274,"")</f>
        <v/>
      </c>
      <c r="AN274" s="16" t="str">
        <f t="shared" ref="AN274:AN285" si="119">IFERROR(S274*6*AJ274,"")</f>
        <v/>
      </c>
      <c r="AO274" s="55"/>
      <c r="AP274" s="1250"/>
      <c r="AQ274" s="1250"/>
      <c r="AR274" s="1250"/>
      <c r="AS274" s="55"/>
      <c r="AT274" s="167"/>
      <c r="AU274" s="167"/>
      <c r="AV274" s="168"/>
      <c r="AW274" s="169"/>
      <c r="AX274" s="94">
        <f t="shared" ref="AX274:AX285" si="120">AT274*3+AU274*4+AV274*5+AW274*6</f>
        <v>0</v>
      </c>
      <c r="AY274" s="95">
        <f t="shared" ref="AY274:AY285" si="121">AX274*I274</f>
        <v>0</v>
      </c>
    </row>
    <row r="275" spans="1:51" ht="15" customHeight="1">
      <c r="A275" s="1001"/>
      <c r="B275" s="1010"/>
      <c r="C275" s="1011"/>
      <c r="D275" s="1011"/>
      <c r="E275" s="1011"/>
      <c r="F275" s="1012"/>
      <c r="G275" s="1012"/>
      <c r="H275" s="184"/>
      <c r="I275" s="190"/>
      <c r="J275" s="1001"/>
      <c r="K275" s="1001"/>
      <c r="L275" s="186"/>
      <c r="M275" s="1001"/>
      <c r="N275" s="1013"/>
      <c r="O275" s="192"/>
      <c r="P275" s="1014"/>
      <c r="Q275" s="1014"/>
      <c r="R275" s="1001"/>
      <c r="S275" s="1014"/>
      <c r="T275" s="1013"/>
      <c r="U275" s="1015"/>
      <c r="V275" s="1014"/>
      <c r="W275" s="1014"/>
      <c r="X275" s="186"/>
      <c r="Y275" s="1014"/>
      <c r="Z275" s="1013"/>
      <c r="AA275" s="1015"/>
      <c r="AB275" s="1015"/>
      <c r="AC275" s="194"/>
      <c r="AD275" s="194"/>
      <c r="AE275" s="194"/>
      <c r="AF275" s="194"/>
      <c r="AG275" s="1013"/>
      <c r="AH275" s="1015"/>
      <c r="AJ275" s="79" t="str">
        <f t="shared" si="115"/>
        <v/>
      </c>
      <c r="AK275" s="16" t="str">
        <f t="shared" si="116"/>
        <v/>
      </c>
      <c r="AL275" s="16" t="str">
        <f t="shared" si="117"/>
        <v/>
      </c>
      <c r="AM275" s="16" t="str">
        <f t="shared" si="118"/>
        <v/>
      </c>
      <c r="AN275" s="16" t="str">
        <f t="shared" si="119"/>
        <v/>
      </c>
      <c r="AO275" s="55"/>
      <c r="AP275" s="98">
        <v>6</v>
      </c>
      <c r="AQ275" s="99"/>
      <c r="AR275" s="100">
        <f>IFERROR(AP275*AQ275*AS278,0)</f>
        <v>0</v>
      </c>
      <c r="AS275" s="55"/>
      <c r="AT275" s="167"/>
      <c r="AU275" s="167"/>
      <c r="AV275" s="164"/>
      <c r="AW275" s="169"/>
      <c r="AX275" s="94">
        <f t="shared" si="120"/>
        <v>0</v>
      </c>
      <c r="AY275" s="95">
        <f t="shared" si="121"/>
        <v>0</v>
      </c>
    </row>
    <row r="276" spans="1:51" ht="15" customHeight="1">
      <c r="A276" s="1001"/>
      <c r="B276" s="1010"/>
      <c r="C276" s="1016"/>
      <c r="D276" s="1016"/>
      <c r="E276" s="1016"/>
      <c r="F276" s="1017"/>
      <c r="G276" s="1017"/>
      <c r="H276" s="184"/>
      <c r="I276" s="190"/>
      <c r="J276" s="1001"/>
      <c r="K276" s="1001"/>
      <c r="L276" s="186"/>
      <c r="M276" s="1001"/>
      <c r="N276" s="1013"/>
      <c r="O276" s="192"/>
      <c r="P276" s="1014"/>
      <c r="Q276" s="1014"/>
      <c r="R276" s="1001"/>
      <c r="S276" s="1014"/>
      <c r="T276" s="1013"/>
      <c r="U276" s="1015"/>
      <c r="V276" s="1014"/>
      <c r="W276" s="1014"/>
      <c r="X276" s="1001"/>
      <c r="Y276" s="1014"/>
      <c r="Z276" s="1013"/>
      <c r="AA276" s="1015"/>
      <c r="AB276" s="1015"/>
      <c r="AC276" s="194"/>
      <c r="AD276" s="194"/>
      <c r="AE276" s="194"/>
      <c r="AF276" s="194"/>
      <c r="AG276" s="1013"/>
      <c r="AH276" s="1015"/>
      <c r="AJ276" s="79" t="str">
        <f t="shared" si="115"/>
        <v/>
      </c>
      <c r="AK276" s="16" t="str">
        <f t="shared" si="116"/>
        <v/>
      </c>
      <c r="AL276" s="16" t="str">
        <f t="shared" si="117"/>
        <v/>
      </c>
      <c r="AM276" s="16" t="str">
        <f t="shared" si="118"/>
        <v/>
      </c>
      <c r="AN276" s="16" t="str">
        <f t="shared" si="119"/>
        <v/>
      </c>
      <c r="AO276" s="55"/>
      <c r="AP276" s="98">
        <v>5</v>
      </c>
      <c r="AQ276" s="99"/>
      <c r="AR276" s="100">
        <f>IFERROR(AP276*AQ276*AS278,0)</f>
        <v>0</v>
      </c>
      <c r="AS276" s="104"/>
      <c r="AT276" s="165"/>
      <c r="AU276" s="167"/>
      <c r="AV276" s="168"/>
      <c r="AW276" s="169"/>
      <c r="AX276" s="94">
        <f t="shared" si="120"/>
        <v>0</v>
      </c>
      <c r="AY276" s="95">
        <f t="shared" si="121"/>
        <v>0</v>
      </c>
    </row>
    <row r="277" spans="1:51" ht="15" customHeight="1">
      <c r="A277" s="1001"/>
      <c r="B277" s="1010"/>
      <c r="C277" s="1011"/>
      <c r="D277" s="1011"/>
      <c r="E277" s="1011"/>
      <c r="F277" s="1012"/>
      <c r="G277" s="1012"/>
      <c r="H277" s="184"/>
      <c r="I277" s="190"/>
      <c r="J277" s="1001"/>
      <c r="K277" s="1001"/>
      <c r="L277" s="186"/>
      <c r="M277" s="1001"/>
      <c r="N277" s="1013"/>
      <c r="O277" s="192"/>
      <c r="P277" s="1014"/>
      <c r="Q277" s="1014"/>
      <c r="R277" s="1001"/>
      <c r="S277" s="1014"/>
      <c r="T277" s="1013"/>
      <c r="U277" s="1015"/>
      <c r="V277" s="1014"/>
      <c r="W277" s="1014"/>
      <c r="X277" s="1001"/>
      <c r="Y277" s="1014"/>
      <c r="Z277" s="1013"/>
      <c r="AA277" s="1015"/>
      <c r="AB277" s="1015"/>
      <c r="AC277" s="194"/>
      <c r="AD277" s="194"/>
      <c r="AE277" s="194"/>
      <c r="AF277" s="194"/>
      <c r="AG277" s="1013"/>
      <c r="AH277" s="1015"/>
      <c r="AJ277" s="79" t="str">
        <f t="shared" si="115"/>
        <v/>
      </c>
      <c r="AK277" s="16" t="str">
        <f t="shared" si="116"/>
        <v/>
      </c>
      <c r="AL277" s="16" t="str">
        <f t="shared" si="117"/>
        <v/>
      </c>
      <c r="AM277" s="16" t="str">
        <f t="shared" si="118"/>
        <v/>
      </c>
      <c r="AN277" s="16" t="str">
        <f t="shared" si="119"/>
        <v/>
      </c>
      <c r="AO277" s="55"/>
      <c r="AP277" s="98">
        <v>4</v>
      </c>
      <c r="AQ277" s="99"/>
      <c r="AR277" s="100">
        <f>IFERROR(AP277*AQ277*AS278,0)</f>
        <v>0</v>
      </c>
      <c r="AS277" s="104"/>
      <c r="AT277" s="167"/>
      <c r="AU277" s="167"/>
      <c r="AV277" s="168"/>
      <c r="AW277" s="169"/>
      <c r="AX277" s="94">
        <f t="shared" si="120"/>
        <v>0</v>
      </c>
      <c r="AY277" s="95">
        <f t="shared" si="121"/>
        <v>0</v>
      </c>
    </row>
    <row r="278" spans="1:51" ht="15" customHeight="1">
      <c r="A278" s="1001"/>
      <c r="B278" s="1010"/>
      <c r="C278" s="1011"/>
      <c r="D278" s="188"/>
      <c r="E278" s="1011"/>
      <c r="F278" s="1012"/>
      <c r="G278" s="1012"/>
      <c r="H278" s="184"/>
      <c r="I278" s="190"/>
      <c r="J278" s="1001"/>
      <c r="K278" s="1001"/>
      <c r="L278" s="186"/>
      <c r="M278" s="1001"/>
      <c r="N278" s="1013"/>
      <c r="O278" s="192"/>
      <c r="P278" s="1014"/>
      <c r="Q278" s="1014"/>
      <c r="R278" s="1001"/>
      <c r="S278" s="1014"/>
      <c r="T278" s="1013"/>
      <c r="U278" s="1015"/>
      <c r="V278" s="1014"/>
      <c r="W278" s="1014"/>
      <c r="X278" s="1001"/>
      <c r="Y278" s="1014"/>
      <c r="Z278" s="1013"/>
      <c r="AA278" s="1015"/>
      <c r="AB278" s="1015"/>
      <c r="AC278" s="194"/>
      <c r="AD278" s="194"/>
      <c r="AE278" s="194"/>
      <c r="AF278" s="194"/>
      <c r="AG278" s="1013"/>
      <c r="AH278" s="1015"/>
      <c r="AJ278" s="79" t="str">
        <f t="shared" si="115"/>
        <v/>
      </c>
      <c r="AK278" s="16" t="str">
        <f t="shared" si="116"/>
        <v/>
      </c>
      <c r="AL278" s="16" t="str">
        <f t="shared" si="117"/>
        <v/>
      </c>
      <c r="AM278" s="16" t="str">
        <f t="shared" si="118"/>
        <v/>
      </c>
      <c r="AN278" s="16" t="str">
        <f t="shared" si="119"/>
        <v/>
      </c>
      <c r="AO278" s="55"/>
      <c r="AP278" s="98">
        <v>3</v>
      </c>
      <c r="AQ278" s="109"/>
      <c r="AR278" s="100">
        <f>IFERROR(AP278*AQ278*AS278,0)</f>
        <v>0</v>
      </c>
      <c r="AS278" s="48">
        <f>IFERROR(AR279/((AP278*AQ278)+(AP277*AQ277)+(AP276*AQ276)+(AP275*AQ275)),0)</f>
        <v>0</v>
      </c>
      <c r="AT278" s="167"/>
      <c r="AU278" s="167"/>
      <c r="AV278" s="168"/>
      <c r="AW278" s="169"/>
      <c r="AX278" s="94">
        <f t="shared" si="120"/>
        <v>0</v>
      </c>
      <c r="AY278" s="95">
        <f t="shared" si="121"/>
        <v>0</v>
      </c>
    </row>
    <row r="279" spans="1:51" ht="14.25" customHeight="1" thickBot="1">
      <c r="A279" s="1001"/>
      <c r="B279" s="1010"/>
      <c r="C279" s="1011"/>
      <c r="D279" s="1011"/>
      <c r="E279" s="1011"/>
      <c r="F279" s="1012"/>
      <c r="G279" s="1012"/>
      <c r="H279" s="184"/>
      <c r="I279" s="190"/>
      <c r="J279" s="1001"/>
      <c r="K279" s="1001"/>
      <c r="L279" s="186"/>
      <c r="M279" s="1001"/>
      <c r="N279" s="1013"/>
      <c r="O279" s="192"/>
      <c r="P279" s="185"/>
      <c r="Q279" s="1014"/>
      <c r="R279" s="1001"/>
      <c r="S279" s="1014"/>
      <c r="T279" s="1013"/>
      <c r="U279" s="1015"/>
      <c r="V279" s="185"/>
      <c r="W279" s="1014"/>
      <c r="X279" s="1001"/>
      <c r="Y279" s="1014"/>
      <c r="Z279" s="1013"/>
      <c r="AA279" s="1015"/>
      <c r="AB279" s="1015"/>
      <c r="AC279" s="194"/>
      <c r="AD279" s="194"/>
      <c r="AE279" s="194"/>
      <c r="AF279" s="194"/>
      <c r="AG279" s="1013"/>
      <c r="AH279" s="1015"/>
      <c r="AJ279" s="79" t="str">
        <f t="shared" si="115"/>
        <v/>
      </c>
      <c r="AK279" s="16" t="str">
        <f t="shared" si="116"/>
        <v/>
      </c>
      <c r="AL279" s="16" t="str">
        <f t="shared" si="117"/>
        <v/>
      </c>
      <c r="AM279" s="16" t="str">
        <f t="shared" si="118"/>
        <v/>
      </c>
      <c r="AN279" s="16" t="str">
        <f t="shared" si="119"/>
        <v/>
      </c>
      <c r="AO279" s="55"/>
      <c r="AP279" s="111"/>
      <c r="AQ279" s="112"/>
      <c r="AR279" s="113"/>
      <c r="AS279" s="104"/>
      <c r="AT279" s="167"/>
      <c r="AU279" s="167"/>
      <c r="AV279" s="168"/>
      <c r="AW279" s="169"/>
      <c r="AX279" s="94">
        <f t="shared" si="120"/>
        <v>0</v>
      </c>
      <c r="AY279" s="95">
        <f t="shared" si="121"/>
        <v>0</v>
      </c>
    </row>
    <row r="280" spans="1:51" ht="14.25" customHeight="1" thickBot="1">
      <c r="A280" s="1001"/>
      <c r="B280" s="1010"/>
      <c r="C280" s="1011"/>
      <c r="D280" s="1011"/>
      <c r="E280" s="1011"/>
      <c r="F280" s="1012"/>
      <c r="G280" s="1012"/>
      <c r="H280" s="184"/>
      <c r="I280" s="190"/>
      <c r="J280" s="1001"/>
      <c r="K280" s="1001"/>
      <c r="L280" s="186"/>
      <c r="M280" s="1001"/>
      <c r="N280" s="1013"/>
      <c r="O280" s="192"/>
      <c r="P280" s="1014"/>
      <c r="Q280" s="1014"/>
      <c r="R280" s="1001"/>
      <c r="S280" s="1014"/>
      <c r="T280" s="1013"/>
      <c r="U280" s="1015"/>
      <c r="V280" s="1014"/>
      <c r="W280" s="1014"/>
      <c r="X280" s="1001"/>
      <c r="Y280" s="1014"/>
      <c r="Z280" s="1013"/>
      <c r="AA280" s="1015"/>
      <c r="AB280" s="1015"/>
      <c r="AC280" s="194"/>
      <c r="AD280" s="194"/>
      <c r="AE280" s="194"/>
      <c r="AF280" s="194"/>
      <c r="AG280" s="1013"/>
      <c r="AH280" s="1015"/>
      <c r="AJ280" s="79" t="str">
        <f t="shared" si="115"/>
        <v/>
      </c>
      <c r="AK280" s="16" t="str">
        <f t="shared" si="116"/>
        <v/>
      </c>
      <c r="AL280" s="16" t="str">
        <f t="shared" si="117"/>
        <v/>
      </c>
      <c r="AM280" s="16" t="str">
        <f t="shared" si="118"/>
        <v/>
      </c>
      <c r="AN280" s="16" t="str">
        <f t="shared" si="119"/>
        <v/>
      </c>
      <c r="AO280" s="55"/>
      <c r="AP280" s="1250" t="s">
        <v>7</v>
      </c>
      <c r="AQ280" s="1250"/>
      <c r="AR280" s="1250"/>
      <c r="AS280" s="104"/>
      <c r="AT280" s="167"/>
      <c r="AU280" s="167"/>
      <c r="AV280" s="168"/>
      <c r="AW280" s="169"/>
      <c r="AX280" s="94">
        <f t="shared" si="120"/>
        <v>0</v>
      </c>
      <c r="AY280" s="95">
        <f t="shared" si="121"/>
        <v>0</v>
      </c>
    </row>
    <row r="281" spans="1:51" ht="15" customHeight="1" thickBot="1">
      <c r="A281" s="1001"/>
      <c r="B281" s="1010"/>
      <c r="C281" s="1011"/>
      <c r="D281" s="1011"/>
      <c r="E281" s="1011"/>
      <c r="F281" s="1012"/>
      <c r="G281" s="1012"/>
      <c r="H281" s="184"/>
      <c r="I281" s="190"/>
      <c r="J281" s="1001"/>
      <c r="K281" s="1001"/>
      <c r="L281" s="186"/>
      <c r="M281" s="1001"/>
      <c r="N281" s="1013"/>
      <c r="O281" s="192"/>
      <c r="P281" s="1014"/>
      <c r="Q281" s="1014"/>
      <c r="R281" s="1001"/>
      <c r="S281" s="1014"/>
      <c r="T281" s="1013"/>
      <c r="U281" s="1015"/>
      <c r="V281" s="1014"/>
      <c r="W281" s="185"/>
      <c r="X281" s="1001"/>
      <c r="Y281" s="1014"/>
      <c r="Z281" s="1013"/>
      <c r="AA281" s="1015"/>
      <c r="AB281" s="1015"/>
      <c r="AC281" s="194"/>
      <c r="AD281" s="194"/>
      <c r="AE281" s="194"/>
      <c r="AF281" s="194"/>
      <c r="AG281" s="1013"/>
      <c r="AH281" s="1015"/>
      <c r="AJ281" s="79" t="str">
        <f t="shared" si="115"/>
        <v/>
      </c>
      <c r="AK281" s="16" t="str">
        <f t="shared" si="116"/>
        <v/>
      </c>
      <c r="AL281" s="16" t="str">
        <f t="shared" si="117"/>
        <v/>
      </c>
      <c r="AM281" s="16" t="str">
        <f t="shared" si="118"/>
        <v/>
      </c>
      <c r="AN281" s="16" t="str">
        <f t="shared" si="119"/>
        <v/>
      </c>
      <c r="AO281" s="73">
        <v>160</v>
      </c>
      <c r="AP281" s="1250"/>
      <c r="AQ281" s="1250"/>
      <c r="AR281" s="1250"/>
      <c r="AS281" s="55"/>
      <c r="AT281" s="167"/>
      <c r="AU281" s="167"/>
      <c r="AV281" s="168"/>
      <c r="AW281" s="169"/>
      <c r="AX281" s="94">
        <f t="shared" si="120"/>
        <v>0</v>
      </c>
      <c r="AY281" s="95">
        <f t="shared" si="121"/>
        <v>0</v>
      </c>
    </row>
    <row r="282" spans="1:51" ht="15" customHeight="1" thickBot="1">
      <c r="A282" s="1001"/>
      <c r="B282" s="1010"/>
      <c r="C282" s="1011"/>
      <c r="D282" s="1011"/>
      <c r="E282" s="1011"/>
      <c r="F282" s="1012"/>
      <c r="G282" s="1012"/>
      <c r="H282" s="184"/>
      <c r="I282" s="190"/>
      <c r="J282" s="1001"/>
      <c r="K282" s="1001"/>
      <c r="L282" s="186"/>
      <c r="M282" s="1001"/>
      <c r="N282" s="1013"/>
      <c r="O282" s="192"/>
      <c r="P282" s="1014"/>
      <c r="Q282" s="185"/>
      <c r="R282" s="1018"/>
      <c r="S282" s="1014"/>
      <c r="T282" s="1013"/>
      <c r="U282" s="1015"/>
      <c r="V282" s="1014"/>
      <c r="W282" s="185"/>
      <c r="X282" s="1001"/>
      <c r="Y282" s="1014"/>
      <c r="Z282" s="1013"/>
      <c r="AA282" s="1015"/>
      <c r="AB282" s="1015"/>
      <c r="AC282" s="194"/>
      <c r="AD282" s="194"/>
      <c r="AE282" s="194"/>
      <c r="AF282" s="194"/>
      <c r="AG282" s="1013"/>
      <c r="AH282" s="1015"/>
      <c r="AJ282" s="79" t="str">
        <f t="shared" si="115"/>
        <v/>
      </c>
      <c r="AK282" s="16" t="str">
        <f t="shared" si="116"/>
        <v/>
      </c>
      <c r="AL282" s="16" t="str">
        <f t="shared" si="117"/>
        <v/>
      </c>
      <c r="AM282" s="16" t="str">
        <f t="shared" si="118"/>
        <v/>
      </c>
      <c r="AN282" s="16" t="str">
        <f t="shared" si="119"/>
        <v/>
      </c>
      <c r="AO282" s="55"/>
      <c r="AP282" s="1250"/>
      <c r="AQ282" s="1250"/>
      <c r="AR282" s="1250"/>
      <c r="AS282" s="55"/>
      <c r="AT282" s="167"/>
      <c r="AU282" s="167"/>
      <c r="AV282" s="168"/>
      <c r="AW282" s="169"/>
      <c r="AX282" s="94">
        <f t="shared" si="120"/>
        <v>0</v>
      </c>
      <c r="AY282" s="95">
        <f t="shared" si="121"/>
        <v>0</v>
      </c>
    </row>
    <row r="283" spans="1:51" ht="16.5" customHeight="1">
      <c r="A283" s="1001"/>
      <c r="B283" s="1010"/>
      <c r="C283" s="1011"/>
      <c r="D283" s="1011"/>
      <c r="E283" s="1011"/>
      <c r="F283" s="1012"/>
      <c r="G283" s="1012"/>
      <c r="H283" s="184"/>
      <c r="I283" s="190"/>
      <c r="J283" s="1001"/>
      <c r="K283" s="1001"/>
      <c r="L283" s="186"/>
      <c r="M283" s="1001"/>
      <c r="N283" s="1013"/>
      <c r="O283" s="192"/>
      <c r="P283" s="1014"/>
      <c r="Q283" s="185"/>
      <c r="R283" s="1014"/>
      <c r="S283" s="1014"/>
      <c r="T283" s="1013"/>
      <c r="U283" s="1015"/>
      <c r="V283" s="1014"/>
      <c r="W283" s="185"/>
      <c r="X283" s="1001"/>
      <c r="Y283" s="1014"/>
      <c r="Z283" s="1013"/>
      <c r="AA283" s="1015"/>
      <c r="AB283" s="1015"/>
      <c r="AC283" s="194"/>
      <c r="AD283" s="194"/>
      <c r="AE283" s="194"/>
      <c r="AF283" s="194"/>
      <c r="AG283" s="1013"/>
      <c r="AH283" s="1015"/>
      <c r="AJ283" s="79" t="str">
        <f t="shared" si="115"/>
        <v/>
      </c>
      <c r="AK283" s="16" t="str">
        <f t="shared" si="116"/>
        <v/>
      </c>
      <c r="AL283" s="16" t="str">
        <f t="shared" si="117"/>
        <v/>
      </c>
      <c r="AM283" s="16" t="str">
        <f t="shared" si="118"/>
        <v/>
      </c>
      <c r="AN283" s="16" t="str">
        <f t="shared" si="119"/>
        <v/>
      </c>
      <c r="AO283" s="55"/>
      <c r="AP283" s="117">
        <v>6</v>
      </c>
      <c r="AQ283" s="118"/>
      <c r="AR283" s="100">
        <f>IFERROR(AP283*AQ283*AS286,0)</f>
        <v>0</v>
      </c>
      <c r="AS283" s="55"/>
      <c r="AT283" s="167"/>
      <c r="AU283" s="167"/>
      <c r="AV283" s="168"/>
      <c r="AW283" s="169"/>
      <c r="AX283" s="94">
        <f t="shared" si="120"/>
        <v>0</v>
      </c>
      <c r="AY283" s="95">
        <f t="shared" si="121"/>
        <v>0</v>
      </c>
    </row>
    <row r="284" spans="1:51" ht="16.5" customHeight="1">
      <c r="A284" s="1001"/>
      <c r="B284" s="1010"/>
      <c r="C284" s="1011"/>
      <c r="D284" s="1011"/>
      <c r="E284" s="1011"/>
      <c r="F284" s="1012"/>
      <c r="G284" s="1012"/>
      <c r="H284" s="184"/>
      <c r="I284" s="190"/>
      <c r="J284" s="1001"/>
      <c r="K284" s="1001"/>
      <c r="L284" s="186"/>
      <c r="M284" s="1001"/>
      <c r="N284" s="1013"/>
      <c r="O284" s="192"/>
      <c r="P284" s="1014"/>
      <c r="Q284" s="184"/>
      <c r="R284" s="1018"/>
      <c r="S284" s="1019"/>
      <c r="T284" s="1013"/>
      <c r="U284" s="1015"/>
      <c r="V284" s="1014"/>
      <c r="W284" s="185"/>
      <c r="X284" s="1001"/>
      <c r="Y284" s="1014"/>
      <c r="Z284" s="1013"/>
      <c r="AA284" s="1015"/>
      <c r="AB284" s="1015"/>
      <c r="AC284" s="194"/>
      <c r="AD284" s="194"/>
      <c r="AE284" s="194"/>
      <c r="AF284" s="194"/>
      <c r="AG284" s="1013"/>
      <c r="AH284" s="1015"/>
      <c r="AJ284" s="79" t="str">
        <f t="shared" si="115"/>
        <v/>
      </c>
      <c r="AK284" s="16" t="str">
        <f t="shared" si="116"/>
        <v/>
      </c>
      <c r="AL284" s="16" t="str">
        <f t="shared" si="117"/>
        <v/>
      </c>
      <c r="AM284" s="16" t="str">
        <f t="shared" si="118"/>
        <v/>
      </c>
      <c r="AN284" s="16" t="str">
        <f t="shared" si="119"/>
        <v/>
      </c>
      <c r="AO284" s="55"/>
      <c r="AP284" s="98">
        <v>5</v>
      </c>
      <c r="AQ284" s="99"/>
      <c r="AR284" s="100">
        <f>IFERROR(AP284*AQ284*AS286,0)</f>
        <v>0</v>
      </c>
      <c r="AS284" s="55"/>
      <c r="AT284" s="177"/>
      <c r="AU284" s="178"/>
      <c r="AV284" s="177"/>
      <c r="AW284" s="179"/>
      <c r="AX284" s="94">
        <f t="shared" si="120"/>
        <v>0</v>
      </c>
      <c r="AY284" s="95">
        <f t="shared" si="121"/>
        <v>0</v>
      </c>
    </row>
    <row r="285" spans="1:51" ht="15.75" customHeight="1">
      <c r="A285" s="1001"/>
      <c r="B285" s="1010"/>
      <c r="C285" s="1020"/>
      <c r="D285" s="1021"/>
      <c r="E285" s="1020"/>
      <c r="F285" s="1022"/>
      <c r="G285" s="1022"/>
      <c r="H285" s="184"/>
      <c r="I285" s="190"/>
      <c r="J285" s="1001"/>
      <c r="K285" s="1001"/>
      <c r="L285" s="186"/>
      <c r="M285" s="1001"/>
      <c r="N285" s="1013"/>
      <c r="O285" s="192"/>
      <c r="P285" s="1019"/>
      <c r="Q285" s="184"/>
      <c r="R285" s="1018"/>
      <c r="S285" s="1019"/>
      <c r="T285" s="1013"/>
      <c r="U285" s="1015"/>
      <c r="V285" s="1014"/>
      <c r="W285" s="185"/>
      <c r="X285" s="1001"/>
      <c r="Y285" s="1014"/>
      <c r="Z285" s="1013"/>
      <c r="AA285" s="1015"/>
      <c r="AB285" s="1015"/>
      <c r="AC285" s="194"/>
      <c r="AD285" s="194"/>
      <c r="AE285" s="194"/>
      <c r="AF285" s="194"/>
      <c r="AG285" s="1013"/>
      <c r="AH285" s="1015"/>
      <c r="AJ285" s="79" t="str">
        <f t="shared" si="115"/>
        <v/>
      </c>
      <c r="AK285" s="16" t="str">
        <f t="shared" si="116"/>
        <v/>
      </c>
      <c r="AL285" s="16" t="str">
        <f t="shared" si="117"/>
        <v/>
      </c>
      <c r="AM285" s="16" t="str">
        <f t="shared" si="118"/>
        <v/>
      </c>
      <c r="AN285" s="16" t="str">
        <f t="shared" si="119"/>
        <v/>
      </c>
      <c r="AO285" s="104"/>
      <c r="AP285" s="98">
        <v>4</v>
      </c>
      <c r="AQ285" s="99"/>
      <c r="AR285" s="100">
        <f>IFERROR(AP285*AQ285*AS286,0)</f>
        <v>0</v>
      </c>
      <c r="AS285" s="55"/>
      <c r="AT285" s="167"/>
      <c r="AU285" s="165"/>
      <c r="AV285" s="168"/>
      <c r="AW285" s="169"/>
      <c r="AX285" s="94">
        <f t="shared" si="120"/>
        <v>0</v>
      </c>
      <c r="AY285" s="95">
        <f t="shared" si="121"/>
        <v>0</v>
      </c>
    </row>
    <row r="286" spans="1:51" ht="15" customHeight="1">
      <c r="A286" s="1001"/>
      <c r="B286" s="1001"/>
      <c r="C286" s="1023"/>
      <c r="D286" s="1023"/>
      <c r="E286" s="1023"/>
      <c r="F286" s="1024"/>
      <c r="G286" s="1024"/>
      <c r="H286" s="1001"/>
      <c r="I286" s="1001"/>
      <c r="J286" s="201"/>
      <c r="K286" s="201"/>
      <c r="L286" s="201"/>
      <c r="M286" s="201"/>
      <c r="N286" s="1025"/>
      <c r="O286" s="1002"/>
      <c r="P286" s="1001"/>
      <c r="Q286" s="1001"/>
      <c r="R286" s="1001"/>
      <c r="S286" s="1003"/>
      <c r="T286" s="1001"/>
      <c r="U286" s="1004"/>
      <c r="V286" s="1001"/>
      <c r="W286" s="1001"/>
      <c r="X286" s="1001"/>
      <c r="Y286" s="1001"/>
      <c r="Z286" s="1001"/>
      <c r="AA286" s="1004"/>
      <c r="AB286" s="1001"/>
      <c r="AC286" s="1001"/>
      <c r="AD286" s="1001"/>
      <c r="AE286" s="1001"/>
      <c r="AF286" s="1001"/>
      <c r="AG286" s="54"/>
      <c r="AH286" s="54"/>
      <c r="AK286" s="2"/>
      <c r="AL286" s="2"/>
      <c r="AM286" s="2"/>
      <c r="AN286" s="2"/>
      <c r="AO286" s="55"/>
      <c r="AP286" s="98">
        <v>3</v>
      </c>
      <c r="AQ286" s="109"/>
      <c r="AR286" s="100">
        <f>IFERROR(AP286*AQ286*AS286,0)</f>
        <v>0</v>
      </c>
      <c r="AS286" s="48">
        <f>IFERROR(AR287/((AP286*AQ286)+(AP285*AQ285)+(AP284*AQ284)+(AP283*AQ283)),0)</f>
        <v>0</v>
      </c>
    </row>
    <row r="287" spans="1:51" ht="15" customHeight="1" thickBot="1">
      <c r="A287" s="1001"/>
      <c r="B287" s="1001"/>
      <c r="C287" s="1023"/>
      <c r="D287" s="1023"/>
      <c r="E287" s="1023"/>
      <c r="F287" s="1024"/>
      <c r="G287" s="1024"/>
      <c r="H287" s="184"/>
      <c r="I287" s="190"/>
      <c r="J287" s="1026"/>
      <c r="K287" s="1026"/>
      <c r="L287" s="1026"/>
      <c r="M287" s="1026"/>
      <c r="N287" s="1013"/>
      <c r="O287" s="192"/>
      <c r="P287" s="1027"/>
      <c r="Q287" s="1027"/>
      <c r="R287" s="1027"/>
      <c r="S287" s="1027"/>
      <c r="T287" s="1018"/>
      <c r="U287" s="1018"/>
      <c r="V287" s="1027"/>
      <c r="W287" s="1027"/>
      <c r="X287" s="1027"/>
      <c r="Y287" s="1027"/>
      <c r="Z287" s="1001"/>
      <c r="AA287" s="1001"/>
      <c r="AB287" s="1001"/>
      <c r="AC287" s="1027"/>
      <c r="AD287" s="1027"/>
      <c r="AE287" s="1027"/>
      <c r="AF287" s="1027"/>
      <c r="AG287" s="54"/>
      <c r="AH287" s="54"/>
      <c r="AK287" s="154">
        <f>SUM(AK274:AK286)</f>
        <v>0</v>
      </c>
      <c r="AL287" s="154">
        <f>SUM(AL274:AL286)</f>
        <v>0</v>
      </c>
      <c r="AM287" s="154">
        <f>SUM(AM274:AM286)</f>
        <v>0</v>
      </c>
      <c r="AN287" s="154">
        <f>SUM(AN274:AN286)</f>
        <v>0</v>
      </c>
      <c r="AO287" s="55"/>
      <c r="AP287" s="111"/>
      <c r="AQ287" s="112"/>
      <c r="AR287" s="155"/>
      <c r="AS287" s="55"/>
    </row>
    <row r="288" spans="1:51" ht="15.75" customHeight="1">
      <c r="A288" s="1028"/>
      <c r="B288" s="1001"/>
      <c r="C288" s="1001"/>
      <c r="D288" s="1001"/>
      <c r="E288" s="1001"/>
      <c r="F288" s="1001"/>
      <c r="G288" s="1001"/>
      <c r="H288" s="1018"/>
      <c r="I288" s="190"/>
      <c r="J288" s="1026"/>
      <c r="K288" s="1026"/>
      <c r="L288" s="1026"/>
      <c r="M288" s="1026"/>
      <c r="N288" s="1013"/>
      <c r="O288" s="192"/>
      <c r="P288" s="1027"/>
      <c r="Q288" s="1027"/>
      <c r="R288" s="1027"/>
      <c r="S288" s="1027"/>
      <c r="T288" s="1029"/>
      <c r="U288" s="1030"/>
      <c r="V288" s="1027"/>
      <c r="W288" s="1027"/>
      <c r="X288" s="1027"/>
      <c r="Y288" s="1027"/>
      <c r="Z288" s="1031"/>
      <c r="AA288" s="1032"/>
      <c r="AB288" s="1033"/>
      <c r="AC288" s="1027"/>
      <c r="AD288" s="1027"/>
      <c r="AE288" s="1027"/>
      <c r="AF288" s="1027"/>
      <c r="AG288" s="54"/>
      <c r="AH288" s="1030"/>
      <c r="AK288" s="48"/>
      <c r="AL288" s="48"/>
      <c r="AM288" s="48"/>
      <c r="AN288" s="48"/>
      <c r="AO288" s="55"/>
      <c r="AP288" s="55"/>
      <c r="AQ288" s="55"/>
      <c r="AR288" s="157">
        <f>AR279+AR287</f>
        <v>0</v>
      </c>
      <c r="AS288" s="55"/>
    </row>
    <row r="289" spans="1:51" ht="19.5" customHeight="1" thickBot="1">
      <c r="A289" s="1007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007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  <c r="AC289" s="182"/>
      <c r="AD289" s="182"/>
      <c r="AE289" s="182"/>
      <c r="AF289" s="182"/>
      <c r="AG289" s="54"/>
      <c r="AH289" s="54"/>
      <c r="AK289" s="48"/>
      <c r="AL289" s="48"/>
      <c r="AM289" s="48"/>
      <c r="AN289" s="48"/>
      <c r="AO289" s="48"/>
      <c r="AP289" s="48"/>
      <c r="AQ289" s="48"/>
      <c r="AR289" s="48"/>
      <c r="AS289" s="48"/>
    </row>
    <row r="290" spans="1:51" ht="14.25" customHeight="1" thickBot="1">
      <c r="A290" s="1252"/>
      <c r="B290" s="1253"/>
      <c r="C290" s="1254"/>
      <c r="D290" s="1254"/>
      <c r="E290" s="1254"/>
      <c r="F290" s="1254"/>
      <c r="G290" s="1254"/>
      <c r="H290" s="1253"/>
      <c r="I290" s="1254"/>
      <c r="J290" s="1253"/>
      <c r="K290" s="1253"/>
      <c r="L290" s="1253"/>
      <c r="M290" s="1253"/>
      <c r="N290" s="1255"/>
      <c r="O290" s="1258"/>
      <c r="P290" s="1254"/>
      <c r="Q290" s="1254"/>
      <c r="R290" s="1254"/>
      <c r="S290" s="1254"/>
      <c r="T290" s="1259"/>
      <c r="U290" s="1258"/>
      <c r="V290" s="1254"/>
      <c r="W290" s="1254"/>
      <c r="X290" s="1254"/>
      <c r="Y290" s="1254"/>
      <c r="Z290" s="1259"/>
      <c r="AA290" s="1258"/>
      <c r="AB290" s="1258"/>
      <c r="AC290" s="1260"/>
      <c r="AD290" s="1260"/>
      <c r="AE290" s="1260"/>
      <c r="AF290" s="1260"/>
      <c r="AG290" s="1259"/>
      <c r="AH290" s="1258"/>
      <c r="AK290" s="1257" t="s">
        <v>37</v>
      </c>
      <c r="AL290" s="1257"/>
      <c r="AM290" s="1257"/>
      <c r="AN290" s="1257"/>
      <c r="AO290" s="55"/>
      <c r="AP290" s="1250" t="s">
        <v>7</v>
      </c>
      <c r="AQ290" s="1250"/>
      <c r="AR290" s="1250"/>
      <c r="AS290" s="55"/>
      <c r="AT290" s="1251" t="s">
        <v>38</v>
      </c>
      <c r="AU290" s="1251"/>
      <c r="AV290" s="1251"/>
      <c r="AW290" s="1251"/>
      <c r="AX290" s="94" t="s">
        <v>39</v>
      </c>
      <c r="AY290" s="95" t="s">
        <v>12</v>
      </c>
    </row>
    <row r="291" spans="1:51" ht="18" customHeight="1" thickBot="1">
      <c r="A291" s="1252"/>
      <c r="B291" s="1252"/>
      <c r="C291" s="186"/>
      <c r="D291" s="186"/>
      <c r="E291" s="186"/>
      <c r="F291" s="186"/>
      <c r="G291" s="186"/>
      <c r="H291" s="1253"/>
      <c r="I291" s="1254"/>
      <c r="J291" s="185"/>
      <c r="K291" s="185"/>
      <c r="L291" s="185"/>
      <c r="M291" s="185"/>
      <c r="N291" s="1255"/>
      <c r="O291" s="1258"/>
      <c r="P291" s="186"/>
      <c r="Q291" s="185"/>
      <c r="R291" s="1008"/>
      <c r="S291" s="185"/>
      <c r="T291" s="1259"/>
      <c r="U291" s="1259"/>
      <c r="V291" s="186"/>
      <c r="W291" s="185"/>
      <c r="X291" s="1008"/>
      <c r="Y291" s="185"/>
      <c r="Z291" s="1259"/>
      <c r="AA291" s="1259"/>
      <c r="AB291" s="1258"/>
      <c r="AC291" s="186"/>
      <c r="AD291" s="185"/>
      <c r="AE291" s="1008"/>
      <c r="AF291" s="185"/>
      <c r="AG291" s="1259"/>
      <c r="AH291" s="1258"/>
      <c r="AK291" s="162" t="s">
        <v>49</v>
      </c>
      <c r="AL291" s="162" t="s">
        <v>50</v>
      </c>
      <c r="AM291" s="162" t="s">
        <v>51</v>
      </c>
      <c r="AN291" s="162" t="s">
        <v>52</v>
      </c>
      <c r="AO291" s="73">
        <v>130</v>
      </c>
      <c r="AP291" s="1250"/>
      <c r="AQ291" s="1250"/>
      <c r="AR291" s="1250"/>
      <c r="AS291" s="55"/>
      <c r="AT291" s="164" t="s">
        <v>45</v>
      </c>
      <c r="AU291" s="165" t="s">
        <v>46</v>
      </c>
      <c r="AV291" s="166" t="s">
        <v>47</v>
      </c>
      <c r="AW291" s="161" t="s">
        <v>48</v>
      </c>
      <c r="AX291" s="94"/>
      <c r="AY291" s="95"/>
    </row>
    <row r="292" spans="1:51" ht="15" customHeight="1" thickBot="1">
      <c r="A292" s="1009"/>
      <c r="B292" s="1010"/>
      <c r="C292" s="1011"/>
      <c r="D292" s="1011"/>
      <c r="E292" s="1011"/>
      <c r="F292" s="1012"/>
      <c r="G292" s="1012"/>
      <c r="H292" s="184"/>
      <c r="I292" s="190"/>
      <c r="J292" s="1001"/>
      <c r="K292" s="1001"/>
      <c r="L292" s="186"/>
      <c r="M292" s="1001"/>
      <c r="N292" s="1013"/>
      <c r="O292" s="192"/>
      <c r="P292" s="1014"/>
      <c r="Q292" s="1014"/>
      <c r="R292" s="1001"/>
      <c r="S292" s="1014"/>
      <c r="T292" s="1013"/>
      <c r="U292" s="1015"/>
      <c r="V292" s="1014"/>
      <c r="W292" s="1014"/>
      <c r="X292" s="1001"/>
      <c r="Y292" s="1014"/>
      <c r="Z292" s="1013"/>
      <c r="AA292" s="1015"/>
      <c r="AB292" s="1015"/>
      <c r="AC292" s="194"/>
      <c r="AD292" s="194"/>
      <c r="AE292" s="194"/>
      <c r="AF292" s="194"/>
      <c r="AG292" s="1013"/>
      <c r="AH292" s="1015"/>
      <c r="AJ292" s="79" t="str">
        <f t="shared" ref="AJ292:AJ303" si="122">IF(H292=130,0.132335,IF(H292=100,0.0785,IF(H292=110,0.095,IF(H292=160,0.198005,""))))</f>
        <v/>
      </c>
      <c r="AK292" s="16" t="str">
        <f t="shared" ref="AK292:AK303" si="123">IFERROR(P292*3*AJ292,"")</f>
        <v/>
      </c>
      <c r="AL292" s="16" t="str">
        <f t="shared" ref="AL292:AL303" si="124">IFERROR(Q292*4*AJ292,"")</f>
        <v/>
      </c>
      <c r="AM292" s="16" t="str">
        <f t="shared" ref="AM292:AM303" si="125">IFERROR(R292*5*AJ292,"")</f>
        <v/>
      </c>
      <c r="AN292" s="16" t="str">
        <f t="shared" ref="AN292:AN303" si="126">IFERROR(S292*6*AJ292,"")</f>
        <v/>
      </c>
      <c r="AO292" s="55"/>
      <c r="AP292" s="1250"/>
      <c r="AQ292" s="1250"/>
      <c r="AR292" s="1250"/>
      <c r="AS292" s="55"/>
      <c r="AT292" s="167"/>
      <c r="AU292" s="167"/>
      <c r="AV292" s="168"/>
      <c r="AW292" s="169"/>
      <c r="AX292" s="94">
        <f t="shared" ref="AX292:AX303" si="127">AT292*3+AU292*4+AV292*5+AW292*6</f>
        <v>0</v>
      </c>
      <c r="AY292" s="95">
        <f t="shared" ref="AY292:AY303" si="128">AX292*I292</f>
        <v>0</v>
      </c>
    </row>
    <row r="293" spans="1:51" ht="15" customHeight="1">
      <c r="A293" s="1001"/>
      <c r="B293" s="1010"/>
      <c r="C293" s="1011"/>
      <c r="D293" s="1011"/>
      <c r="E293" s="1011"/>
      <c r="F293" s="1012"/>
      <c r="G293" s="1012"/>
      <c r="H293" s="184"/>
      <c r="I293" s="190"/>
      <c r="J293" s="1001"/>
      <c r="K293" s="1001"/>
      <c r="L293" s="186"/>
      <c r="M293" s="1001"/>
      <c r="N293" s="1013"/>
      <c r="O293" s="192"/>
      <c r="P293" s="1014"/>
      <c r="Q293" s="1014"/>
      <c r="R293" s="1001"/>
      <c r="S293" s="1014"/>
      <c r="T293" s="1013"/>
      <c r="U293" s="1015"/>
      <c r="V293" s="1014"/>
      <c r="W293" s="1014"/>
      <c r="X293" s="186"/>
      <c r="Y293" s="1014"/>
      <c r="Z293" s="1013"/>
      <c r="AA293" s="1015"/>
      <c r="AB293" s="1015"/>
      <c r="AC293" s="194"/>
      <c r="AD293" s="194"/>
      <c r="AE293" s="194"/>
      <c r="AF293" s="194"/>
      <c r="AG293" s="1013"/>
      <c r="AH293" s="1015"/>
      <c r="AJ293" s="79" t="str">
        <f t="shared" si="122"/>
        <v/>
      </c>
      <c r="AK293" s="16" t="str">
        <f t="shared" si="123"/>
        <v/>
      </c>
      <c r="AL293" s="16" t="str">
        <f t="shared" si="124"/>
        <v/>
      </c>
      <c r="AM293" s="16" t="str">
        <f t="shared" si="125"/>
        <v/>
      </c>
      <c r="AN293" s="16" t="str">
        <f t="shared" si="126"/>
        <v/>
      </c>
      <c r="AO293" s="55"/>
      <c r="AP293" s="98">
        <v>6</v>
      </c>
      <c r="AQ293" s="99"/>
      <c r="AR293" s="100">
        <f>IFERROR(AP293*AQ293*AS296,0)</f>
        <v>0</v>
      </c>
      <c r="AS293" s="55"/>
      <c r="AT293" s="167"/>
      <c r="AU293" s="167"/>
      <c r="AV293" s="164"/>
      <c r="AW293" s="169"/>
      <c r="AX293" s="94">
        <f t="shared" si="127"/>
        <v>0</v>
      </c>
      <c r="AY293" s="95">
        <f t="shared" si="128"/>
        <v>0</v>
      </c>
    </row>
    <row r="294" spans="1:51" ht="15" customHeight="1">
      <c r="A294" s="1001"/>
      <c r="B294" s="1010"/>
      <c r="C294" s="1016"/>
      <c r="D294" s="1016"/>
      <c r="E294" s="1016"/>
      <c r="F294" s="1017"/>
      <c r="G294" s="1017"/>
      <c r="H294" s="184"/>
      <c r="I294" s="190"/>
      <c r="J294" s="1001"/>
      <c r="K294" s="1001"/>
      <c r="L294" s="186"/>
      <c r="M294" s="1001"/>
      <c r="N294" s="1013"/>
      <c r="O294" s="192"/>
      <c r="P294" s="1014"/>
      <c r="Q294" s="1014"/>
      <c r="R294" s="1001"/>
      <c r="S294" s="1014"/>
      <c r="T294" s="1013"/>
      <c r="U294" s="1015"/>
      <c r="V294" s="1014"/>
      <c r="W294" s="1014"/>
      <c r="X294" s="1001"/>
      <c r="Y294" s="1014"/>
      <c r="Z294" s="1013"/>
      <c r="AA294" s="1015"/>
      <c r="AB294" s="1015"/>
      <c r="AC294" s="194"/>
      <c r="AD294" s="194"/>
      <c r="AE294" s="194"/>
      <c r="AF294" s="194"/>
      <c r="AG294" s="1013"/>
      <c r="AH294" s="1015"/>
      <c r="AJ294" s="79" t="str">
        <f t="shared" si="122"/>
        <v/>
      </c>
      <c r="AK294" s="16" t="str">
        <f t="shared" si="123"/>
        <v/>
      </c>
      <c r="AL294" s="16" t="str">
        <f t="shared" si="124"/>
        <v/>
      </c>
      <c r="AM294" s="16" t="str">
        <f t="shared" si="125"/>
        <v/>
      </c>
      <c r="AN294" s="16" t="str">
        <f t="shared" si="126"/>
        <v/>
      </c>
      <c r="AO294" s="55"/>
      <c r="AP294" s="98">
        <v>5</v>
      </c>
      <c r="AQ294" s="99"/>
      <c r="AR294" s="100">
        <f>IFERROR(AP294*AQ294*AS296,0)</f>
        <v>0</v>
      </c>
      <c r="AS294" s="104"/>
      <c r="AT294" s="165"/>
      <c r="AU294" s="167"/>
      <c r="AV294" s="168"/>
      <c r="AW294" s="169"/>
      <c r="AX294" s="94">
        <f t="shared" si="127"/>
        <v>0</v>
      </c>
      <c r="AY294" s="95">
        <f t="shared" si="128"/>
        <v>0</v>
      </c>
    </row>
    <row r="295" spans="1:51" ht="15" customHeight="1">
      <c r="A295" s="1001"/>
      <c r="B295" s="1010"/>
      <c r="C295" s="1011"/>
      <c r="D295" s="1011"/>
      <c r="E295" s="1011"/>
      <c r="F295" s="1012"/>
      <c r="G295" s="1012"/>
      <c r="H295" s="184"/>
      <c r="I295" s="190"/>
      <c r="J295" s="1001"/>
      <c r="K295" s="1001"/>
      <c r="L295" s="186"/>
      <c r="M295" s="1001"/>
      <c r="N295" s="1013"/>
      <c r="O295" s="192"/>
      <c r="P295" s="1014"/>
      <c r="Q295" s="1014"/>
      <c r="R295" s="1001"/>
      <c r="S295" s="1014"/>
      <c r="T295" s="1013"/>
      <c r="U295" s="1015"/>
      <c r="V295" s="1014"/>
      <c r="W295" s="1014"/>
      <c r="X295" s="1001"/>
      <c r="Y295" s="1014"/>
      <c r="Z295" s="1013"/>
      <c r="AA295" s="1015"/>
      <c r="AB295" s="1015"/>
      <c r="AC295" s="194"/>
      <c r="AD295" s="194"/>
      <c r="AE295" s="194"/>
      <c r="AF295" s="194"/>
      <c r="AG295" s="1013"/>
      <c r="AH295" s="1015"/>
      <c r="AJ295" s="79" t="str">
        <f t="shared" si="122"/>
        <v/>
      </c>
      <c r="AK295" s="16" t="str">
        <f t="shared" si="123"/>
        <v/>
      </c>
      <c r="AL295" s="16" t="str">
        <f t="shared" si="124"/>
        <v/>
      </c>
      <c r="AM295" s="16" t="str">
        <f t="shared" si="125"/>
        <v/>
      </c>
      <c r="AN295" s="16" t="str">
        <f t="shared" si="126"/>
        <v/>
      </c>
      <c r="AO295" s="55"/>
      <c r="AP295" s="98">
        <v>4</v>
      </c>
      <c r="AQ295" s="99"/>
      <c r="AR295" s="100">
        <f>IFERROR(AP295*AQ295*AS296,0)</f>
        <v>0</v>
      </c>
      <c r="AS295" s="104"/>
      <c r="AT295" s="167"/>
      <c r="AU295" s="167"/>
      <c r="AV295" s="168"/>
      <c r="AW295" s="169"/>
      <c r="AX295" s="94">
        <f t="shared" si="127"/>
        <v>0</v>
      </c>
      <c r="AY295" s="95">
        <f t="shared" si="128"/>
        <v>0</v>
      </c>
    </row>
    <row r="296" spans="1:51" ht="15" customHeight="1">
      <c r="A296" s="1001"/>
      <c r="B296" s="1010"/>
      <c r="C296" s="1011"/>
      <c r="D296" s="188"/>
      <c r="E296" s="1011"/>
      <c r="F296" s="1012"/>
      <c r="G296" s="1012"/>
      <c r="H296" s="184"/>
      <c r="I296" s="190"/>
      <c r="J296" s="1001"/>
      <c r="K296" s="1001"/>
      <c r="L296" s="186"/>
      <c r="M296" s="1001"/>
      <c r="N296" s="1013"/>
      <c r="O296" s="192"/>
      <c r="P296" s="1014"/>
      <c r="Q296" s="1014"/>
      <c r="R296" s="1001"/>
      <c r="S296" s="1014"/>
      <c r="T296" s="1013"/>
      <c r="U296" s="1015"/>
      <c r="V296" s="1014"/>
      <c r="W296" s="1014"/>
      <c r="X296" s="1001"/>
      <c r="Y296" s="1014"/>
      <c r="Z296" s="1013"/>
      <c r="AA296" s="1015"/>
      <c r="AB296" s="1015"/>
      <c r="AC296" s="194"/>
      <c r="AD296" s="194"/>
      <c r="AE296" s="194"/>
      <c r="AF296" s="194"/>
      <c r="AG296" s="1013"/>
      <c r="AH296" s="1015"/>
      <c r="AJ296" s="79" t="str">
        <f t="shared" si="122"/>
        <v/>
      </c>
      <c r="AK296" s="16" t="str">
        <f t="shared" si="123"/>
        <v/>
      </c>
      <c r="AL296" s="16" t="str">
        <f t="shared" si="124"/>
        <v/>
      </c>
      <c r="AM296" s="16" t="str">
        <f t="shared" si="125"/>
        <v/>
      </c>
      <c r="AN296" s="16" t="str">
        <f t="shared" si="126"/>
        <v/>
      </c>
      <c r="AO296" s="55"/>
      <c r="AP296" s="98">
        <v>3</v>
      </c>
      <c r="AQ296" s="109"/>
      <c r="AR296" s="100">
        <f>IFERROR(AP296*AQ296*AS296,0)</f>
        <v>0</v>
      </c>
      <c r="AS296" s="48">
        <f>IFERROR(AR297/((AP296*AQ296)+(AP295*AQ295)+(AP294*AQ294)+(AP293*AQ293)),0)</f>
        <v>0</v>
      </c>
      <c r="AT296" s="167"/>
      <c r="AU296" s="167"/>
      <c r="AV296" s="168"/>
      <c r="AW296" s="169"/>
      <c r="AX296" s="94">
        <f t="shared" si="127"/>
        <v>0</v>
      </c>
      <c r="AY296" s="95">
        <f t="shared" si="128"/>
        <v>0</v>
      </c>
    </row>
    <row r="297" spans="1:51" ht="14.25" customHeight="1" thickBot="1">
      <c r="A297" s="1001"/>
      <c r="B297" s="1010"/>
      <c r="C297" s="1011"/>
      <c r="D297" s="1011"/>
      <c r="E297" s="1011"/>
      <c r="F297" s="1012"/>
      <c r="G297" s="1012"/>
      <c r="H297" s="184"/>
      <c r="I297" s="190"/>
      <c r="J297" s="1001"/>
      <c r="K297" s="1001"/>
      <c r="L297" s="186"/>
      <c r="M297" s="1001"/>
      <c r="N297" s="1013"/>
      <c r="O297" s="192"/>
      <c r="P297" s="185"/>
      <c r="Q297" s="1014"/>
      <c r="R297" s="1001"/>
      <c r="S297" s="1014"/>
      <c r="T297" s="1013"/>
      <c r="U297" s="1015"/>
      <c r="V297" s="185"/>
      <c r="W297" s="1014"/>
      <c r="X297" s="1001"/>
      <c r="Y297" s="1014"/>
      <c r="Z297" s="1013"/>
      <c r="AA297" s="1015"/>
      <c r="AB297" s="1015"/>
      <c r="AC297" s="194"/>
      <c r="AD297" s="194"/>
      <c r="AE297" s="194"/>
      <c r="AF297" s="194"/>
      <c r="AG297" s="1013"/>
      <c r="AH297" s="1015"/>
      <c r="AJ297" s="79" t="str">
        <f t="shared" si="122"/>
        <v/>
      </c>
      <c r="AK297" s="16" t="str">
        <f t="shared" si="123"/>
        <v/>
      </c>
      <c r="AL297" s="16" t="str">
        <f t="shared" si="124"/>
        <v/>
      </c>
      <c r="AM297" s="16" t="str">
        <f t="shared" si="125"/>
        <v/>
      </c>
      <c r="AN297" s="16" t="str">
        <f t="shared" si="126"/>
        <v/>
      </c>
      <c r="AO297" s="55"/>
      <c r="AP297" s="111"/>
      <c r="AQ297" s="112"/>
      <c r="AR297" s="113"/>
      <c r="AS297" s="104"/>
      <c r="AT297" s="167"/>
      <c r="AU297" s="167"/>
      <c r="AV297" s="168"/>
      <c r="AW297" s="169"/>
      <c r="AX297" s="94">
        <f t="shared" si="127"/>
        <v>0</v>
      </c>
      <c r="AY297" s="95">
        <f t="shared" si="128"/>
        <v>0</v>
      </c>
    </row>
    <row r="298" spans="1:51" ht="14.25" customHeight="1" thickBot="1">
      <c r="A298" s="1001"/>
      <c r="B298" s="1010"/>
      <c r="C298" s="1011"/>
      <c r="D298" s="1011"/>
      <c r="E298" s="1011"/>
      <c r="F298" s="1012"/>
      <c r="G298" s="1012"/>
      <c r="H298" s="184"/>
      <c r="I298" s="190"/>
      <c r="J298" s="1001"/>
      <c r="K298" s="1001"/>
      <c r="L298" s="186"/>
      <c r="M298" s="1001"/>
      <c r="N298" s="1013"/>
      <c r="O298" s="192"/>
      <c r="P298" s="1014"/>
      <c r="Q298" s="1014"/>
      <c r="R298" s="1001"/>
      <c r="S298" s="1014"/>
      <c r="T298" s="1013"/>
      <c r="U298" s="1015"/>
      <c r="V298" s="1014"/>
      <c r="W298" s="1014"/>
      <c r="X298" s="1001"/>
      <c r="Y298" s="1014"/>
      <c r="Z298" s="1013"/>
      <c r="AA298" s="1015"/>
      <c r="AB298" s="1015"/>
      <c r="AC298" s="194"/>
      <c r="AD298" s="194"/>
      <c r="AE298" s="194"/>
      <c r="AF298" s="194"/>
      <c r="AG298" s="1013"/>
      <c r="AH298" s="1015"/>
      <c r="AJ298" s="79" t="str">
        <f t="shared" si="122"/>
        <v/>
      </c>
      <c r="AK298" s="16" t="str">
        <f t="shared" si="123"/>
        <v/>
      </c>
      <c r="AL298" s="16" t="str">
        <f t="shared" si="124"/>
        <v/>
      </c>
      <c r="AM298" s="16" t="str">
        <f t="shared" si="125"/>
        <v/>
      </c>
      <c r="AN298" s="16" t="str">
        <f t="shared" si="126"/>
        <v/>
      </c>
      <c r="AO298" s="55"/>
      <c r="AP298" s="1250" t="s">
        <v>7</v>
      </c>
      <c r="AQ298" s="1250"/>
      <c r="AR298" s="1250"/>
      <c r="AS298" s="104"/>
      <c r="AT298" s="167"/>
      <c r="AU298" s="167"/>
      <c r="AV298" s="168"/>
      <c r="AW298" s="169"/>
      <c r="AX298" s="94">
        <f t="shared" si="127"/>
        <v>0</v>
      </c>
      <c r="AY298" s="95">
        <f t="shared" si="128"/>
        <v>0</v>
      </c>
    </row>
    <row r="299" spans="1:51" ht="15" customHeight="1" thickBot="1">
      <c r="A299" s="1001"/>
      <c r="B299" s="1010"/>
      <c r="C299" s="1011"/>
      <c r="D299" s="1011"/>
      <c r="E299" s="1011"/>
      <c r="F299" s="1012"/>
      <c r="G299" s="1012"/>
      <c r="H299" s="184"/>
      <c r="I299" s="190"/>
      <c r="J299" s="1001"/>
      <c r="K299" s="1001"/>
      <c r="L299" s="186"/>
      <c r="M299" s="1001"/>
      <c r="N299" s="1013"/>
      <c r="O299" s="192"/>
      <c r="P299" s="1014"/>
      <c r="Q299" s="1014"/>
      <c r="R299" s="1001"/>
      <c r="S299" s="1014"/>
      <c r="T299" s="1013"/>
      <c r="U299" s="1015"/>
      <c r="V299" s="1014"/>
      <c r="W299" s="185"/>
      <c r="X299" s="1001"/>
      <c r="Y299" s="1014"/>
      <c r="Z299" s="1013"/>
      <c r="AA299" s="1015"/>
      <c r="AB299" s="1015"/>
      <c r="AC299" s="194"/>
      <c r="AD299" s="194"/>
      <c r="AE299" s="194"/>
      <c r="AF299" s="194"/>
      <c r="AG299" s="1013"/>
      <c r="AH299" s="1015"/>
      <c r="AJ299" s="79" t="str">
        <f t="shared" si="122"/>
        <v/>
      </c>
      <c r="AK299" s="16" t="str">
        <f t="shared" si="123"/>
        <v/>
      </c>
      <c r="AL299" s="16" t="str">
        <f t="shared" si="124"/>
        <v/>
      </c>
      <c r="AM299" s="16" t="str">
        <f t="shared" si="125"/>
        <v/>
      </c>
      <c r="AN299" s="16" t="str">
        <f t="shared" si="126"/>
        <v/>
      </c>
      <c r="AO299" s="73">
        <v>160</v>
      </c>
      <c r="AP299" s="1250"/>
      <c r="AQ299" s="1250"/>
      <c r="AR299" s="1250"/>
      <c r="AS299" s="55"/>
      <c r="AT299" s="167"/>
      <c r="AU299" s="167"/>
      <c r="AV299" s="168"/>
      <c r="AW299" s="169"/>
      <c r="AX299" s="94">
        <f t="shared" si="127"/>
        <v>0</v>
      </c>
      <c r="AY299" s="95">
        <f t="shared" si="128"/>
        <v>0</v>
      </c>
    </row>
    <row r="300" spans="1:51" ht="15" customHeight="1" thickBot="1">
      <c r="A300" s="1001"/>
      <c r="B300" s="1010"/>
      <c r="C300" s="1011"/>
      <c r="D300" s="1011"/>
      <c r="E300" s="1011"/>
      <c r="F300" s="1012"/>
      <c r="G300" s="1012"/>
      <c r="H300" s="184"/>
      <c r="I300" s="190"/>
      <c r="J300" s="1001"/>
      <c r="K300" s="1001"/>
      <c r="L300" s="186"/>
      <c r="M300" s="1001"/>
      <c r="N300" s="1013"/>
      <c r="O300" s="192"/>
      <c r="P300" s="1014"/>
      <c r="Q300" s="185"/>
      <c r="R300" s="1018"/>
      <c r="S300" s="1014"/>
      <c r="T300" s="1013"/>
      <c r="U300" s="1015"/>
      <c r="V300" s="1014"/>
      <c r="W300" s="185"/>
      <c r="X300" s="1001"/>
      <c r="Y300" s="1014"/>
      <c r="Z300" s="1013"/>
      <c r="AA300" s="1015"/>
      <c r="AB300" s="1015"/>
      <c r="AC300" s="194"/>
      <c r="AD300" s="194"/>
      <c r="AE300" s="194"/>
      <c r="AF300" s="194"/>
      <c r="AG300" s="1013"/>
      <c r="AH300" s="1015"/>
      <c r="AJ300" s="79" t="str">
        <f t="shared" si="122"/>
        <v/>
      </c>
      <c r="AK300" s="16" t="str">
        <f t="shared" si="123"/>
        <v/>
      </c>
      <c r="AL300" s="16" t="str">
        <f t="shared" si="124"/>
        <v/>
      </c>
      <c r="AM300" s="16" t="str">
        <f t="shared" si="125"/>
        <v/>
      </c>
      <c r="AN300" s="16" t="str">
        <f t="shared" si="126"/>
        <v/>
      </c>
      <c r="AO300" s="55"/>
      <c r="AP300" s="1250"/>
      <c r="AQ300" s="1250"/>
      <c r="AR300" s="1250"/>
      <c r="AS300" s="55"/>
      <c r="AT300" s="167"/>
      <c r="AU300" s="167"/>
      <c r="AV300" s="168"/>
      <c r="AW300" s="169"/>
      <c r="AX300" s="94">
        <f t="shared" si="127"/>
        <v>0</v>
      </c>
      <c r="AY300" s="95">
        <f t="shared" si="128"/>
        <v>0</v>
      </c>
    </row>
    <row r="301" spans="1:51" ht="16.5" customHeight="1">
      <c r="A301" s="1001"/>
      <c r="B301" s="1010"/>
      <c r="C301" s="1011"/>
      <c r="D301" s="1011"/>
      <c r="E301" s="1011"/>
      <c r="F301" s="1012"/>
      <c r="G301" s="1012"/>
      <c r="H301" s="184"/>
      <c r="I301" s="190"/>
      <c r="J301" s="1001"/>
      <c r="K301" s="1001"/>
      <c r="L301" s="186"/>
      <c r="M301" s="1001"/>
      <c r="N301" s="1013"/>
      <c r="O301" s="192"/>
      <c r="P301" s="1014"/>
      <c r="Q301" s="185"/>
      <c r="R301" s="1014"/>
      <c r="S301" s="1014"/>
      <c r="T301" s="1013"/>
      <c r="U301" s="1015"/>
      <c r="V301" s="1014"/>
      <c r="W301" s="185"/>
      <c r="X301" s="1001"/>
      <c r="Y301" s="1014"/>
      <c r="Z301" s="1013"/>
      <c r="AA301" s="1015"/>
      <c r="AB301" s="1015"/>
      <c r="AC301" s="194"/>
      <c r="AD301" s="194"/>
      <c r="AE301" s="194"/>
      <c r="AF301" s="194"/>
      <c r="AG301" s="1013"/>
      <c r="AH301" s="1015"/>
      <c r="AJ301" s="79" t="str">
        <f t="shared" si="122"/>
        <v/>
      </c>
      <c r="AK301" s="16" t="str">
        <f t="shared" si="123"/>
        <v/>
      </c>
      <c r="AL301" s="16" t="str">
        <f t="shared" si="124"/>
        <v/>
      </c>
      <c r="AM301" s="16" t="str">
        <f t="shared" si="125"/>
        <v/>
      </c>
      <c r="AN301" s="16" t="str">
        <f t="shared" si="126"/>
        <v/>
      </c>
      <c r="AO301" s="55"/>
      <c r="AP301" s="117">
        <v>6</v>
      </c>
      <c r="AQ301" s="118"/>
      <c r="AR301" s="100">
        <f>IFERROR(AP301*AQ301*AS304,0)</f>
        <v>0</v>
      </c>
      <c r="AS301" s="55"/>
      <c r="AT301" s="167"/>
      <c r="AU301" s="167"/>
      <c r="AV301" s="168"/>
      <c r="AW301" s="169"/>
      <c r="AX301" s="94">
        <f t="shared" si="127"/>
        <v>0</v>
      </c>
      <c r="AY301" s="95">
        <f t="shared" si="128"/>
        <v>0</v>
      </c>
    </row>
    <row r="302" spans="1:51" ht="16.5" customHeight="1">
      <c r="A302" s="1001"/>
      <c r="B302" s="1010"/>
      <c r="C302" s="1011"/>
      <c r="D302" s="1011"/>
      <c r="E302" s="1011"/>
      <c r="F302" s="1012"/>
      <c r="G302" s="1012"/>
      <c r="H302" s="184"/>
      <c r="I302" s="190"/>
      <c r="J302" s="1001"/>
      <c r="K302" s="1001"/>
      <c r="L302" s="186"/>
      <c r="M302" s="1001"/>
      <c r="N302" s="1013"/>
      <c r="O302" s="192"/>
      <c r="P302" s="1014"/>
      <c r="Q302" s="184"/>
      <c r="R302" s="1018"/>
      <c r="S302" s="1019"/>
      <c r="T302" s="1013"/>
      <c r="U302" s="1015"/>
      <c r="V302" s="1014"/>
      <c r="W302" s="185"/>
      <c r="X302" s="1001"/>
      <c r="Y302" s="1014"/>
      <c r="Z302" s="1013"/>
      <c r="AA302" s="1015"/>
      <c r="AB302" s="1015"/>
      <c r="AC302" s="194"/>
      <c r="AD302" s="194"/>
      <c r="AE302" s="194"/>
      <c r="AF302" s="194"/>
      <c r="AG302" s="1013"/>
      <c r="AH302" s="1015"/>
      <c r="AJ302" s="79" t="str">
        <f t="shared" si="122"/>
        <v/>
      </c>
      <c r="AK302" s="16" t="str">
        <f t="shared" si="123"/>
        <v/>
      </c>
      <c r="AL302" s="16" t="str">
        <f t="shared" si="124"/>
        <v/>
      </c>
      <c r="AM302" s="16" t="str">
        <f t="shared" si="125"/>
        <v/>
      </c>
      <c r="AN302" s="16" t="str">
        <f t="shared" si="126"/>
        <v/>
      </c>
      <c r="AO302" s="55"/>
      <c r="AP302" s="98">
        <v>5</v>
      </c>
      <c r="AQ302" s="99"/>
      <c r="AR302" s="100">
        <f>IFERROR(AP302*AQ302*AS304,0)</f>
        <v>0</v>
      </c>
      <c r="AS302" s="55"/>
      <c r="AT302" s="177"/>
      <c r="AU302" s="178"/>
      <c r="AV302" s="177"/>
      <c r="AW302" s="179"/>
      <c r="AX302" s="94">
        <f t="shared" si="127"/>
        <v>0</v>
      </c>
      <c r="AY302" s="95">
        <f t="shared" si="128"/>
        <v>0</v>
      </c>
    </row>
    <row r="303" spans="1:51" ht="15.75" customHeight="1">
      <c r="A303" s="1001"/>
      <c r="B303" s="1010"/>
      <c r="C303" s="1020"/>
      <c r="D303" s="1021"/>
      <c r="E303" s="1020"/>
      <c r="F303" s="1022"/>
      <c r="G303" s="1022"/>
      <c r="H303" s="184"/>
      <c r="I303" s="190"/>
      <c r="J303" s="1001"/>
      <c r="K303" s="1001"/>
      <c r="L303" s="186"/>
      <c r="M303" s="1001"/>
      <c r="N303" s="1013"/>
      <c r="O303" s="192"/>
      <c r="P303" s="1019"/>
      <c r="Q303" s="184"/>
      <c r="R303" s="1018"/>
      <c r="S303" s="1019"/>
      <c r="T303" s="1013"/>
      <c r="U303" s="1015"/>
      <c r="V303" s="1014"/>
      <c r="W303" s="185"/>
      <c r="X303" s="1001"/>
      <c r="Y303" s="1014"/>
      <c r="Z303" s="1013"/>
      <c r="AA303" s="1015"/>
      <c r="AB303" s="1015"/>
      <c r="AC303" s="194"/>
      <c r="AD303" s="194"/>
      <c r="AE303" s="194"/>
      <c r="AF303" s="194"/>
      <c r="AG303" s="1013"/>
      <c r="AH303" s="1015"/>
      <c r="AJ303" s="79" t="str">
        <f t="shared" si="122"/>
        <v/>
      </c>
      <c r="AK303" s="16" t="str">
        <f t="shared" si="123"/>
        <v/>
      </c>
      <c r="AL303" s="16" t="str">
        <f t="shared" si="124"/>
        <v/>
      </c>
      <c r="AM303" s="16" t="str">
        <f t="shared" si="125"/>
        <v/>
      </c>
      <c r="AN303" s="16" t="str">
        <f t="shared" si="126"/>
        <v/>
      </c>
      <c r="AO303" s="104"/>
      <c r="AP303" s="98">
        <v>4</v>
      </c>
      <c r="AQ303" s="99"/>
      <c r="AR303" s="100">
        <f>IFERROR(AP303*AQ303*AS304,0)</f>
        <v>0</v>
      </c>
      <c r="AS303" s="55"/>
      <c r="AT303" s="167"/>
      <c r="AU303" s="165"/>
      <c r="AV303" s="168"/>
      <c r="AW303" s="169"/>
      <c r="AX303" s="94">
        <f t="shared" si="127"/>
        <v>0</v>
      </c>
      <c r="AY303" s="95">
        <f t="shared" si="128"/>
        <v>0</v>
      </c>
    </row>
    <row r="304" spans="1:51" ht="15" customHeight="1">
      <c r="A304" s="1001"/>
      <c r="B304" s="1001"/>
      <c r="C304" s="1023"/>
      <c r="D304" s="1023"/>
      <c r="E304" s="1023"/>
      <c r="F304" s="1024"/>
      <c r="G304" s="1024"/>
      <c r="H304" s="1001"/>
      <c r="I304" s="1001"/>
      <c r="J304" s="201"/>
      <c r="K304" s="201"/>
      <c r="L304" s="201"/>
      <c r="M304" s="201"/>
      <c r="N304" s="1025"/>
      <c r="O304" s="1002"/>
      <c r="P304" s="1001"/>
      <c r="Q304" s="1001"/>
      <c r="R304" s="1001"/>
      <c r="S304" s="1003"/>
      <c r="T304" s="1001"/>
      <c r="U304" s="1004"/>
      <c r="V304" s="1001"/>
      <c r="W304" s="1001"/>
      <c r="X304" s="1001"/>
      <c r="Y304" s="1001"/>
      <c r="Z304" s="1001"/>
      <c r="AA304" s="1004"/>
      <c r="AB304" s="1001"/>
      <c r="AC304" s="1001"/>
      <c r="AD304" s="1001"/>
      <c r="AE304" s="1001"/>
      <c r="AF304" s="1001"/>
      <c r="AG304" s="54"/>
      <c r="AH304" s="54"/>
      <c r="AK304" s="2"/>
      <c r="AL304" s="2"/>
      <c r="AM304" s="2"/>
      <c r="AN304" s="2"/>
      <c r="AO304" s="55"/>
      <c r="AP304" s="98">
        <v>3</v>
      </c>
      <c r="AQ304" s="109"/>
      <c r="AR304" s="100">
        <f>IFERROR(AP304*AQ304*AS304,0)</f>
        <v>0</v>
      </c>
      <c r="AS304" s="48">
        <f>IFERROR(AR305/((AP304*AQ304)+(AP303*AQ303)+(AP302*AQ302)+(AP301*AQ301)),0)</f>
        <v>0</v>
      </c>
    </row>
    <row r="305" spans="1:51" ht="15.75" customHeight="1" thickBot="1">
      <c r="A305" s="1001"/>
      <c r="B305" s="1001"/>
      <c r="C305" s="1023"/>
      <c r="D305" s="1023"/>
      <c r="E305" s="1023"/>
      <c r="F305" s="1024"/>
      <c r="G305" s="1024"/>
      <c r="H305" s="184"/>
      <c r="I305" s="190"/>
      <c r="J305" s="1026"/>
      <c r="K305" s="1026"/>
      <c r="L305" s="1026"/>
      <c r="M305" s="1026"/>
      <c r="N305" s="1013"/>
      <c r="O305" s="192"/>
      <c r="P305" s="1027"/>
      <c r="Q305" s="1027"/>
      <c r="R305" s="1027"/>
      <c r="S305" s="1027"/>
      <c r="T305" s="1018"/>
      <c r="U305" s="1018"/>
      <c r="V305" s="1027"/>
      <c r="W305" s="1027"/>
      <c r="X305" s="1027"/>
      <c r="Y305" s="1027"/>
      <c r="Z305" s="1001"/>
      <c r="AA305" s="1001"/>
      <c r="AB305" s="1001"/>
      <c r="AC305" s="1027"/>
      <c r="AD305" s="1027"/>
      <c r="AE305" s="1027"/>
      <c r="AF305" s="1027"/>
      <c r="AG305" s="54"/>
      <c r="AH305" s="54"/>
      <c r="AK305" s="154">
        <f>SUM(AK292:AK304)</f>
        <v>0</v>
      </c>
      <c r="AL305" s="154">
        <f>SUM(AL292:AL304)</f>
        <v>0</v>
      </c>
      <c r="AM305" s="154">
        <f>SUM(AM292:AM304)</f>
        <v>0</v>
      </c>
      <c r="AN305" s="154">
        <f>SUM(AN292:AN304)</f>
        <v>0</v>
      </c>
      <c r="AO305" s="55"/>
      <c r="AP305" s="111"/>
      <c r="AQ305" s="112"/>
      <c r="AR305" s="155"/>
      <c r="AS305" s="55"/>
    </row>
    <row r="306" spans="1:51" ht="15.75" customHeight="1">
      <c r="A306" s="1028"/>
      <c r="B306" s="1001"/>
      <c r="C306" s="1001"/>
      <c r="D306" s="1001"/>
      <c r="E306" s="1001"/>
      <c r="F306" s="1001"/>
      <c r="G306" s="1001"/>
      <c r="H306" s="1018"/>
      <c r="I306" s="190"/>
      <c r="J306" s="1026"/>
      <c r="K306" s="1026"/>
      <c r="L306" s="1026"/>
      <c r="M306" s="1026"/>
      <c r="N306" s="1013"/>
      <c r="O306" s="192"/>
      <c r="P306" s="1027"/>
      <c r="Q306" s="1027"/>
      <c r="R306" s="1027"/>
      <c r="S306" s="1027"/>
      <c r="T306" s="1029"/>
      <c r="U306" s="1030"/>
      <c r="V306" s="1027"/>
      <c r="W306" s="1027"/>
      <c r="X306" s="1027"/>
      <c r="Y306" s="1027"/>
      <c r="Z306" s="1031"/>
      <c r="AA306" s="1032"/>
      <c r="AB306" s="1033"/>
      <c r="AC306" s="1027"/>
      <c r="AD306" s="1027"/>
      <c r="AE306" s="1027"/>
      <c r="AF306" s="1027"/>
      <c r="AG306" s="54"/>
      <c r="AH306" s="1030"/>
      <c r="AK306" s="48"/>
      <c r="AL306" s="48"/>
      <c r="AM306" s="48"/>
      <c r="AN306" s="48"/>
      <c r="AO306" s="55"/>
      <c r="AP306" s="55"/>
      <c r="AQ306" s="55"/>
      <c r="AR306" s="157">
        <f>AR297+AR305</f>
        <v>0</v>
      </c>
      <c r="AS306" s="55"/>
    </row>
    <row r="307" spans="1:51" ht="19.5" customHeight="1" thickBot="1">
      <c r="A307" s="1007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007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  <c r="AC307" s="182"/>
      <c r="AD307" s="182"/>
      <c r="AE307" s="182"/>
      <c r="AF307" s="182"/>
      <c r="AG307" s="54"/>
      <c r="AH307" s="54"/>
      <c r="AK307" s="48"/>
      <c r="AL307" s="48"/>
      <c r="AM307" s="48"/>
      <c r="AN307" s="48"/>
      <c r="AO307" s="48"/>
      <c r="AP307" s="48"/>
      <c r="AQ307" s="48"/>
      <c r="AR307" s="48"/>
      <c r="AS307" s="48"/>
    </row>
    <row r="308" spans="1:51" ht="14.25" customHeight="1" thickBot="1">
      <c r="A308" s="1252"/>
      <c r="B308" s="1253"/>
      <c r="C308" s="1254"/>
      <c r="D308" s="1254"/>
      <c r="E308" s="1254"/>
      <c r="F308" s="1254"/>
      <c r="G308" s="1254"/>
      <c r="H308" s="1253"/>
      <c r="I308" s="1254"/>
      <c r="J308" s="1253"/>
      <c r="K308" s="1253"/>
      <c r="L308" s="1253"/>
      <c r="M308" s="1253"/>
      <c r="N308" s="1255"/>
      <c r="O308" s="1258"/>
      <c r="P308" s="1254"/>
      <c r="Q308" s="1254"/>
      <c r="R308" s="1254"/>
      <c r="S308" s="1254"/>
      <c r="T308" s="1259"/>
      <c r="U308" s="1258"/>
      <c r="V308" s="1254"/>
      <c r="W308" s="1254"/>
      <c r="X308" s="1254"/>
      <c r="Y308" s="1254"/>
      <c r="Z308" s="1259"/>
      <c r="AA308" s="1258"/>
      <c r="AB308" s="1258"/>
      <c r="AC308" s="1260"/>
      <c r="AD308" s="1260"/>
      <c r="AE308" s="1260"/>
      <c r="AF308" s="1260"/>
      <c r="AG308" s="1259"/>
      <c r="AH308" s="1258"/>
      <c r="AK308" s="1257" t="s">
        <v>37</v>
      </c>
      <c r="AL308" s="1257"/>
      <c r="AM308" s="1257"/>
      <c r="AN308" s="1257"/>
      <c r="AO308" s="55"/>
      <c r="AP308" s="1250" t="s">
        <v>7</v>
      </c>
      <c r="AQ308" s="1250"/>
      <c r="AR308" s="1250"/>
      <c r="AS308" s="55"/>
      <c r="AT308" s="1251" t="s">
        <v>38</v>
      </c>
      <c r="AU308" s="1251"/>
      <c r="AV308" s="1251"/>
      <c r="AW308" s="1251"/>
      <c r="AX308" s="94" t="s">
        <v>39</v>
      </c>
      <c r="AY308" s="95" t="s">
        <v>12</v>
      </c>
    </row>
    <row r="309" spans="1:51" ht="18" customHeight="1" thickBot="1">
      <c r="A309" s="1252"/>
      <c r="B309" s="1252"/>
      <c r="C309" s="186"/>
      <c r="D309" s="186"/>
      <c r="E309" s="186"/>
      <c r="F309" s="186"/>
      <c r="G309" s="186"/>
      <c r="H309" s="1253"/>
      <c r="I309" s="1254"/>
      <c r="J309" s="185"/>
      <c r="K309" s="185"/>
      <c r="L309" s="185"/>
      <c r="M309" s="185"/>
      <c r="N309" s="1255"/>
      <c r="O309" s="1258"/>
      <c r="P309" s="186"/>
      <c r="Q309" s="185"/>
      <c r="R309" s="1008"/>
      <c r="S309" s="185"/>
      <c r="T309" s="1259"/>
      <c r="U309" s="1259"/>
      <c r="V309" s="186"/>
      <c r="W309" s="185"/>
      <c r="X309" s="1008"/>
      <c r="Y309" s="185"/>
      <c r="Z309" s="1259"/>
      <c r="AA309" s="1259"/>
      <c r="AB309" s="1258"/>
      <c r="AC309" s="186"/>
      <c r="AD309" s="185"/>
      <c r="AE309" s="1008"/>
      <c r="AF309" s="185"/>
      <c r="AG309" s="1259"/>
      <c r="AH309" s="1258"/>
      <c r="AK309" s="162" t="s">
        <v>49</v>
      </c>
      <c r="AL309" s="162" t="s">
        <v>50</v>
      </c>
      <c r="AM309" s="162" t="s">
        <v>51</v>
      </c>
      <c r="AN309" s="162" t="s">
        <v>52</v>
      </c>
      <c r="AO309" s="73">
        <v>130</v>
      </c>
      <c r="AP309" s="1250"/>
      <c r="AQ309" s="1250"/>
      <c r="AR309" s="1250"/>
      <c r="AS309" s="55"/>
      <c r="AT309" s="164" t="s">
        <v>45</v>
      </c>
      <c r="AU309" s="165" t="s">
        <v>46</v>
      </c>
      <c r="AV309" s="166" t="s">
        <v>47</v>
      </c>
      <c r="AW309" s="161" t="s">
        <v>48</v>
      </c>
      <c r="AX309" s="94"/>
      <c r="AY309" s="95"/>
    </row>
    <row r="310" spans="1:51" ht="15" customHeight="1" thickBot="1">
      <c r="A310" s="1009"/>
      <c r="B310" s="1010"/>
      <c r="C310" s="1011"/>
      <c r="D310" s="1011"/>
      <c r="E310" s="1011"/>
      <c r="F310" s="1012"/>
      <c r="G310" s="1012"/>
      <c r="H310" s="184"/>
      <c r="I310" s="190"/>
      <c r="J310" s="1001"/>
      <c r="K310" s="1001"/>
      <c r="L310" s="186"/>
      <c r="M310" s="1001"/>
      <c r="N310" s="1013"/>
      <c r="O310" s="192"/>
      <c r="P310" s="1014"/>
      <c r="Q310" s="1014"/>
      <c r="R310" s="1001"/>
      <c r="S310" s="1014"/>
      <c r="T310" s="1013"/>
      <c r="U310" s="1015"/>
      <c r="V310" s="1014"/>
      <c r="W310" s="1014"/>
      <c r="X310" s="1001"/>
      <c r="Y310" s="1014"/>
      <c r="Z310" s="1013"/>
      <c r="AA310" s="1015"/>
      <c r="AB310" s="1015"/>
      <c r="AC310" s="194"/>
      <c r="AD310" s="194"/>
      <c r="AE310" s="194"/>
      <c r="AF310" s="194"/>
      <c r="AG310" s="1013"/>
      <c r="AH310" s="1015"/>
      <c r="AJ310" s="79" t="str">
        <f t="shared" ref="AJ310:AJ321" si="129">IF(H310=130,0.132335,IF(H310=100,0.0785,IF(H310=110,0.095,IF(H310=160,0.198005,""))))</f>
        <v/>
      </c>
      <c r="AK310" s="16" t="str">
        <f t="shared" ref="AK310:AK321" si="130">IFERROR(P310*3*AJ310,"")</f>
        <v/>
      </c>
      <c r="AL310" s="16" t="str">
        <f t="shared" ref="AL310:AL321" si="131">IFERROR(Q310*4*AJ310,"")</f>
        <v/>
      </c>
      <c r="AM310" s="16" t="str">
        <f t="shared" ref="AM310:AM321" si="132">IFERROR(R310*5*AJ310,"")</f>
        <v/>
      </c>
      <c r="AN310" s="16" t="str">
        <f t="shared" ref="AN310:AN321" si="133">IFERROR(S310*6*AJ310,"")</f>
        <v/>
      </c>
      <c r="AO310" s="55"/>
      <c r="AP310" s="1250"/>
      <c r="AQ310" s="1250"/>
      <c r="AR310" s="1250"/>
      <c r="AS310" s="55"/>
      <c r="AT310" s="167"/>
      <c r="AU310" s="167"/>
      <c r="AV310" s="168"/>
      <c r="AW310" s="169"/>
      <c r="AX310" s="94">
        <f t="shared" ref="AX310:AX321" si="134">AT310*3+AU310*4+AV310*5+AW310*6</f>
        <v>0</v>
      </c>
      <c r="AY310" s="95">
        <f t="shared" ref="AY310:AY321" si="135">AX310*I310</f>
        <v>0</v>
      </c>
    </row>
    <row r="311" spans="1:51" ht="15" customHeight="1">
      <c r="A311" s="1001"/>
      <c r="B311" s="1010"/>
      <c r="C311" s="1011"/>
      <c r="D311" s="1011"/>
      <c r="E311" s="1011"/>
      <c r="F311" s="1012"/>
      <c r="G311" s="1012"/>
      <c r="H311" s="184"/>
      <c r="I311" s="190"/>
      <c r="J311" s="1001"/>
      <c r="K311" s="1001"/>
      <c r="L311" s="186"/>
      <c r="M311" s="1001"/>
      <c r="N311" s="1013"/>
      <c r="O311" s="192"/>
      <c r="P311" s="1014"/>
      <c r="Q311" s="1014"/>
      <c r="R311" s="1001"/>
      <c r="S311" s="1014"/>
      <c r="T311" s="1013"/>
      <c r="U311" s="1015"/>
      <c r="V311" s="1014"/>
      <c r="W311" s="1014"/>
      <c r="X311" s="186"/>
      <c r="Y311" s="1014"/>
      <c r="Z311" s="1013"/>
      <c r="AA311" s="1015"/>
      <c r="AB311" s="1015"/>
      <c r="AC311" s="194"/>
      <c r="AD311" s="194"/>
      <c r="AE311" s="194"/>
      <c r="AF311" s="194"/>
      <c r="AG311" s="1013"/>
      <c r="AH311" s="1015"/>
      <c r="AJ311" s="79" t="str">
        <f t="shared" si="129"/>
        <v/>
      </c>
      <c r="AK311" s="16" t="str">
        <f t="shared" si="130"/>
        <v/>
      </c>
      <c r="AL311" s="16" t="str">
        <f t="shared" si="131"/>
        <v/>
      </c>
      <c r="AM311" s="16" t="str">
        <f t="shared" si="132"/>
        <v/>
      </c>
      <c r="AN311" s="16" t="str">
        <f t="shared" si="133"/>
        <v/>
      </c>
      <c r="AO311" s="55"/>
      <c r="AP311" s="98">
        <v>6</v>
      </c>
      <c r="AQ311" s="99"/>
      <c r="AR311" s="100">
        <f>IFERROR(AP311*AQ311*AS314,0)</f>
        <v>0</v>
      </c>
      <c r="AS311" s="55"/>
      <c r="AT311" s="167"/>
      <c r="AU311" s="167"/>
      <c r="AV311" s="164"/>
      <c r="AW311" s="169"/>
      <c r="AX311" s="94">
        <f t="shared" si="134"/>
        <v>0</v>
      </c>
      <c r="AY311" s="95">
        <f t="shared" si="135"/>
        <v>0</v>
      </c>
    </row>
    <row r="312" spans="1:51" ht="15" customHeight="1">
      <c r="A312" s="1001"/>
      <c r="B312" s="1010"/>
      <c r="C312" s="1016"/>
      <c r="D312" s="1016"/>
      <c r="E312" s="1016"/>
      <c r="F312" s="1017"/>
      <c r="G312" s="1017"/>
      <c r="H312" s="184"/>
      <c r="I312" s="190"/>
      <c r="J312" s="1001"/>
      <c r="K312" s="1001"/>
      <c r="L312" s="186"/>
      <c r="M312" s="1001"/>
      <c r="N312" s="1013"/>
      <c r="O312" s="192"/>
      <c r="P312" s="1014"/>
      <c r="Q312" s="1014"/>
      <c r="R312" s="1001"/>
      <c r="S312" s="1014"/>
      <c r="T312" s="1013"/>
      <c r="U312" s="1015"/>
      <c r="V312" s="1014"/>
      <c r="W312" s="1014"/>
      <c r="X312" s="1001"/>
      <c r="Y312" s="1014"/>
      <c r="Z312" s="1013"/>
      <c r="AA312" s="1015"/>
      <c r="AB312" s="1015"/>
      <c r="AC312" s="194"/>
      <c r="AD312" s="194"/>
      <c r="AE312" s="194"/>
      <c r="AF312" s="194"/>
      <c r="AG312" s="1013"/>
      <c r="AH312" s="1015"/>
      <c r="AJ312" s="79" t="str">
        <f t="shared" si="129"/>
        <v/>
      </c>
      <c r="AK312" s="16" t="str">
        <f t="shared" si="130"/>
        <v/>
      </c>
      <c r="AL312" s="16" t="str">
        <f t="shared" si="131"/>
        <v/>
      </c>
      <c r="AM312" s="16" t="str">
        <f t="shared" si="132"/>
        <v/>
      </c>
      <c r="AN312" s="16" t="str">
        <f t="shared" si="133"/>
        <v/>
      </c>
      <c r="AO312" s="55"/>
      <c r="AP312" s="98">
        <v>5</v>
      </c>
      <c r="AQ312" s="99"/>
      <c r="AR312" s="100">
        <f>IFERROR(AP312*AQ312*AS314,0)</f>
        <v>0</v>
      </c>
      <c r="AS312" s="104"/>
      <c r="AT312" s="165"/>
      <c r="AU312" s="167"/>
      <c r="AV312" s="168"/>
      <c r="AW312" s="169"/>
      <c r="AX312" s="94">
        <f t="shared" si="134"/>
        <v>0</v>
      </c>
      <c r="AY312" s="95">
        <f t="shared" si="135"/>
        <v>0</v>
      </c>
    </row>
    <row r="313" spans="1:51" ht="15" customHeight="1">
      <c r="A313" s="1001"/>
      <c r="B313" s="1010"/>
      <c r="C313" s="1011"/>
      <c r="D313" s="1011"/>
      <c r="E313" s="1011"/>
      <c r="F313" s="1012"/>
      <c r="G313" s="1012"/>
      <c r="H313" s="184"/>
      <c r="I313" s="190"/>
      <c r="J313" s="1001"/>
      <c r="K313" s="1001"/>
      <c r="L313" s="186"/>
      <c r="M313" s="1001"/>
      <c r="N313" s="1013"/>
      <c r="O313" s="192"/>
      <c r="P313" s="1014"/>
      <c r="Q313" s="1014"/>
      <c r="R313" s="1001"/>
      <c r="S313" s="1014"/>
      <c r="T313" s="1013"/>
      <c r="U313" s="1015"/>
      <c r="V313" s="1014"/>
      <c r="W313" s="1014"/>
      <c r="X313" s="1001"/>
      <c r="Y313" s="1014"/>
      <c r="Z313" s="1013"/>
      <c r="AA313" s="1015"/>
      <c r="AB313" s="1015"/>
      <c r="AC313" s="194"/>
      <c r="AD313" s="194"/>
      <c r="AE313" s="194"/>
      <c r="AF313" s="194"/>
      <c r="AG313" s="1013"/>
      <c r="AH313" s="1015"/>
      <c r="AJ313" s="79" t="str">
        <f t="shared" si="129"/>
        <v/>
      </c>
      <c r="AK313" s="16" t="str">
        <f t="shared" si="130"/>
        <v/>
      </c>
      <c r="AL313" s="16" t="str">
        <f t="shared" si="131"/>
        <v/>
      </c>
      <c r="AM313" s="16" t="str">
        <f t="shared" si="132"/>
        <v/>
      </c>
      <c r="AN313" s="16" t="str">
        <f t="shared" si="133"/>
        <v/>
      </c>
      <c r="AO313" s="55"/>
      <c r="AP313" s="98">
        <v>4</v>
      </c>
      <c r="AQ313" s="99"/>
      <c r="AR313" s="100">
        <f>IFERROR(AP313*AQ313*AS314,0)</f>
        <v>0</v>
      </c>
      <c r="AS313" s="104"/>
      <c r="AT313" s="167"/>
      <c r="AU313" s="167"/>
      <c r="AV313" s="168"/>
      <c r="AW313" s="169"/>
      <c r="AX313" s="94">
        <f t="shared" si="134"/>
        <v>0</v>
      </c>
      <c r="AY313" s="95">
        <f t="shared" si="135"/>
        <v>0</v>
      </c>
    </row>
    <row r="314" spans="1:51" ht="15" customHeight="1">
      <c r="A314" s="1001"/>
      <c r="B314" s="1010"/>
      <c r="C314" s="1011"/>
      <c r="D314" s="188"/>
      <c r="E314" s="1011"/>
      <c r="F314" s="1012"/>
      <c r="G314" s="1012"/>
      <c r="H314" s="184"/>
      <c r="I314" s="190"/>
      <c r="J314" s="1001"/>
      <c r="K314" s="1001"/>
      <c r="L314" s="186"/>
      <c r="M314" s="1001"/>
      <c r="N314" s="1013"/>
      <c r="O314" s="192"/>
      <c r="P314" s="1014"/>
      <c r="Q314" s="1014"/>
      <c r="R314" s="1001"/>
      <c r="S314" s="1014"/>
      <c r="T314" s="1013"/>
      <c r="U314" s="1015"/>
      <c r="V314" s="1014"/>
      <c r="W314" s="1014"/>
      <c r="X314" s="1001"/>
      <c r="Y314" s="1014"/>
      <c r="Z314" s="1013"/>
      <c r="AA314" s="1015"/>
      <c r="AB314" s="1015"/>
      <c r="AC314" s="194"/>
      <c r="AD314" s="194"/>
      <c r="AE314" s="194"/>
      <c r="AF314" s="194"/>
      <c r="AG314" s="1013"/>
      <c r="AH314" s="1015"/>
      <c r="AJ314" s="79" t="str">
        <f t="shared" si="129"/>
        <v/>
      </c>
      <c r="AK314" s="16" t="str">
        <f t="shared" si="130"/>
        <v/>
      </c>
      <c r="AL314" s="16" t="str">
        <f t="shared" si="131"/>
        <v/>
      </c>
      <c r="AM314" s="16" t="str">
        <f t="shared" si="132"/>
        <v/>
      </c>
      <c r="AN314" s="16" t="str">
        <f t="shared" si="133"/>
        <v/>
      </c>
      <c r="AO314" s="55"/>
      <c r="AP314" s="98">
        <v>3</v>
      </c>
      <c r="AQ314" s="109"/>
      <c r="AR314" s="100">
        <f>IFERROR(AP314*AQ314*AS314,0)</f>
        <v>0</v>
      </c>
      <c r="AS314" s="48">
        <f>IFERROR(AR315/((AP314*AQ314)+(AP313*AQ313)+(AP312*AQ312)+(AP311*AQ311)),0)</f>
        <v>0</v>
      </c>
      <c r="AT314" s="167"/>
      <c r="AU314" s="167"/>
      <c r="AV314" s="168"/>
      <c r="AW314" s="169"/>
      <c r="AX314" s="94">
        <f t="shared" si="134"/>
        <v>0</v>
      </c>
      <c r="AY314" s="95">
        <f t="shared" si="135"/>
        <v>0</v>
      </c>
    </row>
    <row r="315" spans="1:51" ht="14.25" customHeight="1" thickBot="1">
      <c r="A315" s="1001"/>
      <c r="B315" s="1010"/>
      <c r="C315" s="1011"/>
      <c r="D315" s="1011"/>
      <c r="E315" s="1011"/>
      <c r="F315" s="1012"/>
      <c r="G315" s="1012"/>
      <c r="H315" s="184"/>
      <c r="I315" s="190"/>
      <c r="J315" s="1001"/>
      <c r="K315" s="1001"/>
      <c r="L315" s="186"/>
      <c r="M315" s="1001"/>
      <c r="N315" s="1013"/>
      <c r="O315" s="192"/>
      <c r="P315" s="185"/>
      <c r="Q315" s="1014"/>
      <c r="R315" s="1001"/>
      <c r="S315" s="1014"/>
      <c r="T315" s="1013"/>
      <c r="U315" s="1015"/>
      <c r="V315" s="185"/>
      <c r="W315" s="1014"/>
      <c r="X315" s="1001"/>
      <c r="Y315" s="1014"/>
      <c r="Z315" s="1013"/>
      <c r="AA315" s="1015"/>
      <c r="AB315" s="1015"/>
      <c r="AC315" s="194"/>
      <c r="AD315" s="194"/>
      <c r="AE315" s="194"/>
      <c r="AF315" s="194"/>
      <c r="AG315" s="1013"/>
      <c r="AH315" s="1015"/>
      <c r="AJ315" s="79" t="str">
        <f t="shared" si="129"/>
        <v/>
      </c>
      <c r="AK315" s="16" t="str">
        <f t="shared" si="130"/>
        <v/>
      </c>
      <c r="AL315" s="16" t="str">
        <f t="shared" si="131"/>
        <v/>
      </c>
      <c r="AM315" s="16" t="str">
        <f t="shared" si="132"/>
        <v/>
      </c>
      <c r="AN315" s="16" t="str">
        <f t="shared" si="133"/>
        <v/>
      </c>
      <c r="AO315" s="55"/>
      <c r="AP315" s="111"/>
      <c r="AQ315" s="112"/>
      <c r="AR315" s="113"/>
      <c r="AS315" s="104"/>
      <c r="AT315" s="167"/>
      <c r="AU315" s="167"/>
      <c r="AV315" s="168"/>
      <c r="AW315" s="169"/>
      <c r="AX315" s="94">
        <f t="shared" si="134"/>
        <v>0</v>
      </c>
      <c r="AY315" s="95">
        <f t="shared" si="135"/>
        <v>0</v>
      </c>
    </row>
    <row r="316" spans="1:51" ht="14.25" customHeight="1" thickBot="1">
      <c r="A316" s="1001"/>
      <c r="B316" s="1010"/>
      <c r="C316" s="1011"/>
      <c r="D316" s="1011"/>
      <c r="E316" s="1011"/>
      <c r="F316" s="1012"/>
      <c r="G316" s="1012"/>
      <c r="H316" s="184"/>
      <c r="I316" s="190"/>
      <c r="J316" s="1001"/>
      <c r="K316" s="1001"/>
      <c r="L316" s="186"/>
      <c r="M316" s="1001"/>
      <c r="N316" s="1013"/>
      <c r="O316" s="192"/>
      <c r="P316" s="1014"/>
      <c r="Q316" s="1014"/>
      <c r="R316" s="1001"/>
      <c r="S316" s="1014"/>
      <c r="T316" s="1013"/>
      <c r="U316" s="1015"/>
      <c r="V316" s="1014"/>
      <c r="W316" s="1014"/>
      <c r="X316" s="1001"/>
      <c r="Y316" s="1014"/>
      <c r="Z316" s="1013"/>
      <c r="AA316" s="1015"/>
      <c r="AB316" s="1015"/>
      <c r="AC316" s="194"/>
      <c r="AD316" s="194"/>
      <c r="AE316" s="194"/>
      <c r="AF316" s="194"/>
      <c r="AG316" s="1013"/>
      <c r="AH316" s="1015"/>
      <c r="AJ316" s="79" t="str">
        <f t="shared" si="129"/>
        <v/>
      </c>
      <c r="AK316" s="16" t="str">
        <f t="shared" si="130"/>
        <v/>
      </c>
      <c r="AL316" s="16" t="str">
        <f t="shared" si="131"/>
        <v/>
      </c>
      <c r="AM316" s="16" t="str">
        <f t="shared" si="132"/>
        <v/>
      </c>
      <c r="AN316" s="16" t="str">
        <f t="shared" si="133"/>
        <v/>
      </c>
      <c r="AO316" s="55"/>
      <c r="AP316" s="1250" t="s">
        <v>7</v>
      </c>
      <c r="AQ316" s="1250"/>
      <c r="AR316" s="1250"/>
      <c r="AS316" s="104"/>
      <c r="AT316" s="167"/>
      <c r="AU316" s="167"/>
      <c r="AV316" s="168"/>
      <c r="AW316" s="169"/>
      <c r="AX316" s="94">
        <f t="shared" si="134"/>
        <v>0</v>
      </c>
      <c r="AY316" s="95">
        <f t="shared" si="135"/>
        <v>0</v>
      </c>
    </row>
    <row r="317" spans="1:51" ht="15" customHeight="1" thickBot="1">
      <c r="A317" s="1001"/>
      <c r="B317" s="1010"/>
      <c r="C317" s="1011"/>
      <c r="D317" s="1011"/>
      <c r="E317" s="1011"/>
      <c r="F317" s="1012"/>
      <c r="G317" s="1012"/>
      <c r="H317" s="184"/>
      <c r="I317" s="190"/>
      <c r="J317" s="1001"/>
      <c r="K317" s="1001"/>
      <c r="L317" s="186"/>
      <c r="M317" s="1001"/>
      <c r="N317" s="1013"/>
      <c r="O317" s="192"/>
      <c r="P317" s="1014"/>
      <c r="Q317" s="1014"/>
      <c r="R317" s="1001"/>
      <c r="S317" s="1014"/>
      <c r="T317" s="1013"/>
      <c r="U317" s="1015"/>
      <c r="V317" s="1014"/>
      <c r="W317" s="185"/>
      <c r="X317" s="1001"/>
      <c r="Y317" s="1014"/>
      <c r="Z317" s="1013"/>
      <c r="AA317" s="1015"/>
      <c r="AB317" s="1015"/>
      <c r="AC317" s="194"/>
      <c r="AD317" s="194"/>
      <c r="AE317" s="194"/>
      <c r="AF317" s="194"/>
      <c r="AG317" s="1013"/>
      <c r="AH317" s="1015"/>
      <c r="AJ317" s="79" t="str">
        <f t="shared" si="129"/>
        <v/>
      </c>
      <c r="AK317" s="16" t="str">
        <f t="shared" si="130"/>
        <v/>
      </c>
      <c r="AL317" s="16" t="str">
        <f t="shared" si="131"/>
        <v/>
      </c>
      <c r="AM317" s="16" t="str">
        <f t="shared" si="132"/>
        <v/>
      </c>
      <c r="AN317" s="16" t="str">
        <f t="shared" si="133"/>
        <v/>
      </c>
      <c r="AO317" s="73">
        <v>160</v>
      </c>
      <c r="AP317" s="1250"/>
      <c r="AQ317" s="1250"/>
      <c r="AR317" s="1250"/>
      <c r="AS317" s="55"/>
      <c r="AT317" s="167"/>
      <c r="AU317" s="167"/>
      <c r="AV317" s="168"/>
      <c r="AW317" s="169"/>
      <c r="AX317" s="94">
        <f t="shared" si="134"/>
        <v>0</v>
      </c>
      <c r="AY317" s="95">
        <f t="shared" si="135"/>
        <v>0</v>
      </c>
    </row>
    <row r="318" spans="1:51" ht="15" customHeight="1" thickBot="1">
      <c r="A318" s="1001"/>
      <c r="B318" s="1010"/>
      <c r="C318" s="1011"/>
      <c r="D318" s="1011"/>
      <c r="E318" s="1011"/>
      <c r="F318" s="1012"/>
      <c r="G318" s="1012"/>
      <c r="H318" s="184"/>
      <c r="I318" s="190"/>
      <c r="J318" s="1001"/>
      <c r="K318" s="1001"/>
      <c r="L318" s="186"/>
      <c r="M318" s="1001"/>
      <c r="N318" s="1013"/>
      <c r="O318" s="192"/>
      <c r="P318" s="1014"/>
      <c r="Q318" s="185"/>
      <c r="R318" s="1018"/>
      <c r="S318" s="1014"/>
      <c r="T318" s="1013"/>
      <c r="U318" s="1015"/>
      <c r="V318" s="1014"/>
      <c r="W318" s="185"/>
      <c r="X318" s="1001"/>
      <c r="Y318" s="1014"/>
      <c r="Z318" s="1013"/>
      <c r="AA318" s="1015"/>
      <c r="AB318" s="1015"/>
      <c r="AC318" s="194"/>
      <c r="AD318" s="194"/>
      <c r="AE318" s="194"/>
      <c r="AF318" s="194"/>
      <c r="AG318" s="1013"/>
      <c r="AH318" s="1015"/>
      <c r="AJ318" s="79" t="str">
        <f t="shared" si="129"/>
        <v/>
      </c>
      <c r="AK318" s="16" t="str">
        <f t="shared" si="130"/>
        <v/>
      </c>
      <c r="AL318" s="16" t="str">
        <f t="shared" si="131"/>
        <v/>
      </c>
      <c r="AM318" s="16" t="str">
        <f t="shared" si="132"/>
        <v/>
      </c>
      <c r="AN318" s="16" t="str">
        <f t="shared" si="133"/>
        <v/>
      </c>
      <c r="AO318" s="55"/>
      <c r="AP318" s="1250"/>
      <c r="AQ318" s="1250"/>
      <c r="AR318" s="1250"/>
      <c r="AS318" s="55"/>
      <c r="AT318" s="167"/>
      <c r="AU318" s="167"/>
      <c r="AV318" s="168"/>
      <c r="AW318" s="169"/>
      <c r="AX318" s="94">
        <f t="shared" si="134"/>
        <v>0</v>
      </c>
      <c r="AY318" s="95">
        <f t="shared" si="135"/>
        <v>0</v>
      </c>
    </row>
    <row r="319" spans="1:51" ht="16.5" customHeight="1">
      <c r="A319" s="1001"/>
      <c r="B319" s="1010"/>
      <c r="C319" s="1011"/>
      <c r="D319" s="1011"/>
      <c r="E319" s="1011"/>
      <c r="F319" s="1012"/>
      <c r="G319" s="1012"/>
      <c r="H319" s="184"/>
      <c r="I319" s="190"/>
      <c r="J319" s="1001"/>
      <c r="K319" s="1001"/>
      <c r="L319" s="186"/>
      <c r="M319" s="1001"/>
      <c r="N319" s="1013"/>
      <c r="O319" s="192"/>
      <c r="P319" s="1014"/>
      <c r="Q319" s="185"/>
      <c r="R319" s="1014"/>
      <c r="S319" s="1014"/>
      <c r="T319" s="1013"/>
      <c r="U319" s="1015"/>
      <c r="V319" s="1014"/>
      <c r="W319" s="185"/>
      <c r="X319" s="1001"/>
      <c r="Y319" s="1014"/>
      <c r="Z319" s="1013"/>
      <c r="AA319" s="1015"/>
      <c r="AB319" s="1015"/>
      <c r="AC319" s="194"/>
      <c r="AD319" s="194"/>
      <c r="AE319" s="194"/>
      <c r="AF319" s="194"/>
      <c r="AG319" s="1013"/>
      <c r="AH319" s="1015"/>
      <c r="AJ319" s="79" t="str">
        <f t="shared" si="129"/>
        <v/>
      </c>
      <c r="AK319" s="16" t="str">
        <f t="shared" si="130"/>
        <v/>
      </c>
      <c r="AL319" s="16" t="str">
        <f t="shared" si="131"/>
        <v/>
      </c>
      <c r="AM319" s="16" t="str">
        <f t="shared" si="132"/>
        <v/>
      </c>
      <c r="AN319" s="16" t="str">
        <f t="shared" si="133"/>
        <v/>
      </c>
      <c r="AO319" s="55"/>
      <c r="AP319" s="117">
        <v>6</v>
      </c>
      <c r="AQ319" s="118"/>
      <c r="AR319" s="100">
        <f>IFERROR(AP319*AQ319*AS322,0)</f>
        <v>0</v>
      </c>
      <c r="AS319" s="55"/>
      <c r="AT319" s="167"/>
      <c r="AU319" s="167"/>
      <c r="AV319" s="168"/>
      <c r="AW319" s="169"/>
      <c r="AX319" s="94">
        <f t="shared" si="134"/>
        <v>0</v>
      </c>
      <c r="AY319" s="95">
        <f t="shared" si="135"/>
        <v>0</v>
      </c>
    </row>
    <row r="320" spans="1:51" ht="16.5" customHeight="1">
      <c r="A320" s="1001"/>
      <c r="B320" s="1010"/>
      <c r="C320" s="1011"/>
      <c r="D320" s="1011"/>
      <c r="E320" s="1011"/>
      <c r="F320" s="1012"/>
      <c r="G320" s="1012"/>
      <c r="H320" s="184"/>
      <c r="I320" s="190"/>
      <c r="J320" s="1001"/>
      <c r="K320" s="1001"/>
      <c r="L320" s="186"/>
      <c r="M320" s="1001"/>
      <c r="N320" s="1013"/>
      <c r="O320" s="192"/>
      <c r="P320" s="1014"/>
      <c r="Q320" s="184"/>
      <c r="R320" s="1018"/>
      <c r="S320" s="1019"/>
      <c r="T320" s="1013"/>
      <c r="U320" s="1015"/>
      <c r="V320" s="1014"/>
      <c r="W320" s="185"/>
      <c r="X320" s="1001"/>
      <c r="Y320" s="1014"/>
      <c r="Z320" s="1013"/>
      <c r="AA320" s="1015"/>
      <c r="AB320" s="1015"/>
      <c r="AC320" s="194"/>
      <c r="AD320" s="194"/>
      <c r="AE320" s="194"/>
      <c r="AF320" s="194"/>
      <c r="AG320" s="1013"/>
      <c r="AH320" s="1015"/>
      <c r="AJ320" s="79" t="str">
        <f t="shared" si="129"/>
        <v/>
      </c>
      <c r="AK320" s="16" t="str">
        <f t="shared" si="130"/>
        <v/>
      </c>
      <c r="AL320" s="16" t="str">
        <f t="shared" si="131"/>
        <v/>
      </c>
      <c r="AM320" s="16" t="str">
        <f t="shared" si="132"/>
        <v/>
      </c>
      <c r="AN320" s="16" t="str">
        <f t="shared" si="133"/>
        <v/>
      </c>
      <c r="AO320" s="55"/>
      <c r="AP320" s="98">
        <v>5</v>
      </c>
      <c r="AQ320" s="99"/>
      <c r="AR320" s="100">
        <f>IFERROR(AP320*AQ320*AS322,0)</f>
        <v>0</v>
      </c>
      <c r="AS320" s="55"/>
      <c r="AT320" s="177"/>
      <c r="AU320" s="178"/>
      <c r="AV320" s="177"/>
      <c r="AW320" s="179"/>
      <c r="AX320" s="94">
        <f t="shared" si="134"/>
        <v>0</v>
      </c>
      <c r="AY320" s="95">
        <f t="shared" si="135"/>
        <v>0</v>
      </c>
    </row>
    <row r="321" spans="1:51" ht="15.75" customHeight="1">
      <c r="A321" s="1001"/>
      <c r="B321" s="1010"/>
      <c r="C321" s="1020"/>
      <c r="D321" s="1021"/>
      <c r="E321" s="1020"/>
      <c r="F321" s="1022"/>
      <c r="G321" s="1022"/>
      <c r="H321" s="184"/>
      <c r="I321" s="190"/>
      <c r="J321" s="1001"/>
      <c r="K321" s="1001"/>
      <c r="L321" s="186"/>
      <c r="M321" s="1001"/>
      <c r="N321" s="1013"/>
      <c r="O321" s="192"/>
      <c r="P321" s="1019"/>
      <c r="Q321" s="184"/>
      <c r="R321" s="1018"/>
      <c r="S321" s="1019"/>
      <c r="T321" s="1013"/>
      <c r="U321" s="1015"/>
      <c r="V321" s="1014"/>
      <c r="W321" s="185"/>
      <c r="X321" s="1001"/>
      <c r="Y321" s="1014"/>
      <c r="Z321" s="1013"/>
      <c r="AA321" s="1015"/>
      <c r="AB321" s="1015"/>
      <c r="AC321" s="194"/>
      <c r="AD321" s="194"/>
      <c r="AE321" s="194"/>
      <c r="AF321" s="194"/>
      <c r="AG321" s="1013"/>
      <c r="AH321" s="1015"/>
      <c r="AJ321" s="79" t="str">
        <f t="shared" si="129"/>
        <v/>
      </c>
      <c r="AK321" s="16" t="str">
        <f t="shared" si="130"/>
        <v/>
      </c>
      <c r="AL321" s="16" t="str">
        <f t="shared" si="131"/>
        <v/>
      </c>
      <c r="AM321" s="16" t="str">
        <f t="shared" si="132"/>
        <v/>
      </c>
      <c r="AN321" s="16" t="str">
        <f t="shared" si="133"/>
        <v/>
      </c>
      <c r="AO321" s="104"/>
      <c r="AP321" s="98">
        <v>4</v>
      </c>
      <c r="AQ321" s="99"/>
      <c r="AR321" s="100">
        <f>IFERROR(AP321*AQ321*AS322,0)</f>
        <v>0</v>
      </c>
      <c r="AS321" s="55"/>
      <c r="AT321" s="167"/>
      <c r="AU321" s="165"/>
      <c r="AV321" s="168"/>
      <c r="AW321" s="169"/>
      <c r="AX321" s="94">
        <f t="shared" si="134"/>
        <v>0</v>
      </c>
      <c r="AY321" s="95">
        <f t="shared" si="135"/>
        <v>0</v>
      </c>
    </row>
    <row r="322" spans="1:51" ht="15" customHeight="1">
      <c r="A322" s="1001"/>
      <c r="B322" s="1001"/>
      <c r="C322" s="1023"/>
      <c r="D322" s="1023"/>
      <c r="E322" s="1023"/>
      <c r="F322" s="1024"/>
      <c r="G322" s="1024"/>
      <c r="H322" s="1001"/>
      <c r="I322" s="1001"/>
      <c r="J322" s="201"/>
      <c r="K322" s="201"/>
      <c r="L322" s="201"/>
      <c r="M322" s="201"/>
      <c r="N322" s="1025"/>
      <c r="O322" s="1002"/>
      <c r="P322" s="1001"/>
      <c r="Q322" s="1001"/>
      <c r="R322" s="1001"/>
      <c r="S322" s="1003"/>
      <c r="T322" s="1001"/>
      <c r="U322" s="1004"/>
      <c r="V322" s="1001"/>
      <c r="W322" s="1001"/>
      <c r="X322" s="1001"/>
      <c r="Y322" s="1001"/>
      <c r="Z322" s="1001"/>
      <c r="AA322" s="1004"/>
      <c r="AB322" s="1001"/>
      <c r="AC322" s="1001"/>
      <c r="AD322" s="1001"/>
      <c r="AE322" s="1001"/>
      <c r="AF322" s="1001"/>
      <c r="AG322" s="54"/>
      <c r="AH322" s="54"/>
      <c r="AK322" s="2"/>
      <c r="AL322" s="2"/>
      <c r="AM322" s="2"/>
      <c r="AN322" s="2"/>
      <c r="AO322" s="55"/>
      <c r="AP322" s="98">
        <v>3</v>
      </c>
      <c r="AQ322" s="109"/>
      <c r="AR322" s="100">
        <f>IFERROR(AP322*AQ322*AS322,0)</f>
        <v>0</v>
      </c>
      <c r="AS322" s="48">
        <f>IFERROR(AR323/((AP322*AQ322)+(AP321*AQ321)+(AP320*AQ320)+(AP319*AQ319)),0)</f>
        <v>0</v>
      </c>
    </row>
    <row r="323" spans="1:51" ht="15" customHeight="1" thickBot="1">
      <c r="A323" s="1001"/>
      <c r="B323" s="1001"/>
      <c r="C323" s="1023"/>
      <c r="D323" s="1023"/>
      <c r="E323" s="1023"/>
      <c r="F323" s="1024"/>
      <c r="G323" s="1024"/>
      <c r="H323" s="184"/>
      <c r="I323" s="190"/>
      <c r="J323" s="1026"/>
      <c r="K323" s="1026"/>
      <c r="L323" s="1026"/>
      <c r="M323" s="1026"/>
      <c r="N323" s="1013"/>
      <c r="O323" s="192"/>
      <c r="P323" s="1027"/>
      <c r="Q323" s="1027"/>
      <c r="R323" s="1027"/>
      <c r="S323" s="1027"/>
      <c r="T323" s="1018"/>
      <c r="U323" s="1018"/>
      <c r="V323" s="1027"/>
      <c r="W323" s="1027"/>
      <c r="X323" s="1027"/>
      <c r="Y323" s="1027"/>
      <c r="Z323" s="1001"/>
      <c r="AA323" s="1001"/>
      <c r="AB323" s="1001"/>
      <c r="AC323" s="1027"/>
      <c r="AD323" s="1027"/>
      <c r="AE323" s="1027"/>
      <c r="AF323" s="1027"/>
      <c r="AG323" s="54"/>
      <c r="AH323" s="54"/>
      <c r="AK323" s="154">
        <f>SUM(AK310:AK322)</f>
        <v>0</v>
      </c>
      <c r="AL323" s="154">
        <f>SUM(AL310:AL322)</f>
        <v>0</v>
      </c>
      <c r="AM323" s="154">
        <f>SUM(AM310:AM322)</f>
        <v>0</v>
      </c>
      <c r="AN323" s="154">
        <f>SUM(AN310:AN322)</f>
        <v>0</v>
      </c>
      <c r="AO323" s="55"/>
      <c r="AP323" s="111"/>
      <c r="AQ323" s="112"/>
      <c r="AR323" s="155"/>
      <c r="AS323" s="55"/>
    </row>
    <row r="324" spans="1:51" ht="15.75" customHeight="1">
      <c r="A324" s="1028"/>
      <c r="B324" s="1001"/>
      <c r="C324" s="1001"/>
      <c r="D324" s="1001"/>
      <c r="E324" s="1001"/>
      <c r="F324" s="1001"/>
      <c r="G324" s="1001"/>
      <c r="H324" s="1018"/>
      <c r="I324" s="190"/>
      <c r="J324" s="1026"/>
      <c r="K324" s="1026"/>
      <c r="L324" s="1026"/>
      <c r="M324" s="1026"/>
      <c r="N324" s="1013"/>
      <c r="O324" s="192"/>
      <c r="P324" s="1027"/>
      <c r="Q324" s="1027"/>
      <c r="R324" s="1027"/>
      <c r="S324" s="1027"/>
      <c r="T324" s="1029"/>
      <c r="U324" s="1030"/>
      <c r="V324" s="1027"/>
      <c r="W324" s="1027"/>
      <c r="X324" s="1027"/>
      <c r="Y324" s="1027"/>
      <c r="Z324" s="1031"/>
      <c r="AA324" s="1032"/>
      <c r="AB324" s="1033"/>
      <c r="AC324" s="1027"/>
      <c r="AD324" s="1027"/>
      <c r="AE324" s="1027"/>
      <c r="AF324" s="1027"/>
      <c r="AG324" s="54"/>
      <c r="AH324" s="1030"/>
      <c r="AK324" s="48"/>
      <c r="AL324" s="48"/>
      <c r="AM324" s="48"/>
      <c r="AN324" s="48"/>
      <c r="AO324" s="55"/>
      <c r="AP324" s="55"/>
      <c r="AQ324" s="55"/>
      <c r="AR324" s="157">
        <f>AR315+AR323</f>
        <v>0</v>
      </c>
      <c r="AS324" s="55"/>
    </row>
    <row r="325" spans="1:51" ht="19.5" customHeight="1" thickBot="1">
      <c r="A325" s="1007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007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  <c r="AC325" s="182"/>
      <c r="AD325" s="182"/>
      <c r="AE325" s="182"/>
      <c r="AF325" s="182"/>
      <c r="AG325" s="54"/>
      <c r="AH325" s="54"/>
      <c r="AK325" s="48"/>
      <c r="AL325" s="48"/>
      <c r="AM325" s="48"/>
      <c r="AN325" s="48"/>
      <c r="AO325" s="48"/>
      <c r="AP325" s="48"/>
      <c r="AQ325" s="48"/>
      <c r="AR325" s="48"/>
      <c r="AS325" s="48"/>
    </row>
    <row r="326" spans="1:51" ht="14.25" customHeight="1" thickBot="1">
      <c r="A326" s="1252"/>
      <c r="B326" s="1253"/>
      <c r="C326" s="1254"/>
      <c r="D326" s="1254"/>
      <c r="E326" s="1254"/>
      <c r="F326" s="1254"/>
      <c r="G326" s="1254"/>
      <c r="H326" s="1253"/>
      <c r="I326" s="1254"/>
      <c r="J326" s="1253"/>
      <c r="K326" s="1253"/>
      <c r="L326" s="1253"/>
      <c r="M326" s="1253"/>
      <c r="N326" s="1255"/>
      <c r="O326" s="1258"/>
      <c r="P326" s="1254"/>
      <c r="Q326" s="1254"/>
      <c r="R326" s="1254"/>
      <c r="S326" s="1254"/>
      <c r="T326" s="1259"/>
      <c r="U326" s="1258"/>
      <c r="V326" s="1254"/>
      <c r="W326" s="1254"/>
      <c r="X326" s="1254"/>
      <c r="Y326" s="1254"/>
      <c r="Z326" s="1259"/>
      <c r="AA326" s="1258"/>
      <c r="AB326" s="1258"/>
      <c r="AC326" s="1260"/>
      <c r="AD326" s="1260"/>
      <c r="AE326" s="1260"/>
      <c r="AF326" s="1260"/>
      <c r="AG326" s="1259"/>
      <c r="AH326" s="1258"/>
      <c r="AK326" s="1257" t="s">
        <v>37</v>
      </c>
      <c r="AL326" s="1257"/>
      <c r="AM326" s="1257"/>
      <c r="AN326" s="1257"/>
      <c r="AO326" s="55"/>
      <c r="AP326" s="1250" t="s">
        <v>7</v>
      </c>
      <c r="AQ326" s="1250"/>
      <c r="AR326" s="1250"/>
      <c r="AS326" s="55"/>
      <c r="AT326" s="1251" t="s">
        <v>38</v>
      </c>
      <c r="AU326" s="1251"/>
      <c r="AV326" s="1251"/>
      <c r="AW326" s="1251"/>
      <c r="AX326" s="94" t="s">
        <v>39</v>
      </c>
      <c r="AY326" s="95" t="s">
        <v>12</v>
      </c>
    </row>
    <row r="327" spans="1:51" ht="18" customHeight="1" thickBot="1">
      <c r="A327" s="1252"/>
      <c r="B327" s="1252"/>
      <c r="C327" s="186"/>
      <c r="D327" s="186"/>
      <c r="E327" s="186"/>
      <c r="F327" s="186"/>
      <c r="G327" s="186"/>
      <c r="H327" s="1253"/>
      <c r="I327" s="1254"/>
      <c r="J327" s="185"/>
      <c r="K327" s="185"/>
      <c r="L327" s="185"/>
      <c r="M327" s="185"/>
      <c r="N327" s="1255"/>
      <c r="O327" s="1258"/>
      <c r="P327" s="186"/>
      <c r="Q327" s="185"/>
      <c r="R327" s="1008"/>
      <c r="S327" s="185"/>
      <c r="T327" s="1259"/>
      <c r="U327" s="1259"/>
      <c r="V327" s="186"/>
      <c r="W327" s="185"/>
      <c r="X327" s="1008"/>
      <c r="Y327" s="185"/>
      <c r="Z327" s="1259"/>
      <c r="AA327" s="1259"/>
      <c r="AB327" s="1258"/>
      <c r="AC327" s="186"/>
      <c r="AD327" s="185"/>
      <c r="AE327" s="1008"/>
      <c r="AF327" s="185"/>
      <c r="AG327" s="1259"/>
      <c r="AH327" s="1258"/>
      <c r="AK327" s="162" t="s">
        <v>49</v>
      </c>
      <c r="AL327" s="162" t="s">
        <v>50</v>
      </c>
      <c r="AM327" s="162" t="s">
        <v>51</v>
      </c>
      <c r="AN327" s="162" t="s">
        <v>52</v>
      </c>
      <c r="AO327" s="73">
        <v>130</v>
      </c>
      <c r="AP327" s="1250"/>
      <c r="AQ327" s="1250"/>
      <c r="AR327" s="1250"/>
      <c r="AS327" s="55"/>
      <c r="AT327" s="164" t="s">
        <v>45</v>
      </c>
      <c r="AU327" s="165" t="s">
        <v>46</v>
      </c>
      <c r="AV327" s="166" t="s">
        <v>47</v>
      </c>
      <c r="AW327" s="161" t="s">
        <v>48</v>
      </c>
      <c r="AX327" s="94"/>
      <c r="AY327" s="95"/>
    </row>
    <row r="328" spans="1:51" ht="15" customHeight="1" thickBot="1">
      <c r="A328" s="1009"/>
      <c r="B328" s="1010"/>
      <c r="C328" s="1011"/>
      <c r="D328" s="1011"/>
      <c r="E328" s="1011"/>
      <c r="F328" s="1012"/>
      <c r="G328" s="1012"/>
      <c r="H328" s="184"/>
      <c r="I328" s="190"/>
      <c r="J328" s="1001"/>
      <c r="K328" s="1001"/>
      <c r="L328" s="186"/>
      <c r="M328" s="1001"/>
      <c r="N328" s="1013"/>
      <c r="O328" s="192"/>
      <c r="P328" s="1014"/>
      <c r="Q328" s="1014"/>
      <c r="R328" s="1001"/>
      <c r="S328" s="1014"/>
      <c r="T328" s="1013"/>
      <c r="U328" s="1015"/>
      <c r="V328" s="1014"/>
      <c r="W328" s="1014"/>
      <c r="X328" s="1001"/>
      <c r="Y328" s="1014"/>
      <c r="Z328" s="1013"/>
      <c r="AA328" s="1015"/>
      <c r="AB328" s="1015"/>
      <c r="AC328" s="194"/>
      <c r="AD328" s="194"/>
      <c r="AE328" s="194"/>
      <c r="AF328" s="194"/>
      <c r="AG328" s="1013"/>
      <c r="AH328" s="1015"/>
      <c r="AJ328" s="79" t="str">
        <f t="shared" ref="AJ328:AJ339" si="136">IF(H328=130,0.132335,IF(H328=100,0.0785,IF(H328=110,0.095,IF(H328=160,0.198005,""))))</f>
        <v/>
      </c>
      <c r="AK328" s="16" t="str">
        <f t="shared" ref="AK328:AK339" si="137">IFERROR(P328*3*AJ328,"")</f>
        <v/>
      </c>
      <c r="AL328" s="16" t="str">
        <f t="shared" ref="AL328:AL339" si="138">IFERROR(Q328*4*AJ328,"")</f>
        <v/>
      </c>
      <c r="AM328" s="16" t="str">
        <f t="shared" ref="AM328:AM339" si="139">IFERROR(R328*5*AJ328,"")</f>
        <v/>
      </c>
      <c r="AN328" s="16" t="str">
        <f t="shared" ref="AN328:AN339" si="140">IFERROR(S328*6*AJ328,"")</f>
        <v/>
      </c>
      <c r="AO328" s="55"/>
      <c r="AP328" s="1250"/>
      <c r="AQ328" s="1250"/>
      <c r="AR328" s="1250"/>
      <c r="AS328" s="55"/>
      <c r="AT328" s="167"/>
      <c r="AU328" s="167"/>
      <c r="AV328" s="168"/>
      <c r="AW328" s="169"/>
      <c r="AX328" s="94">
        <f t="shared" ref="AX328:AX339" si="141">AT328*3+AU328*4+AV328*5+AW328*6</f>
        <v>0</v>
      </c>
      <c r="AY328" s="95">
        <f t="shared" ref="AY328:AY339" si="142">AX328*I328</f>
        <v>0</v>
      </c>
    </row>
    <row r="329" spans="1:51" ht="15" customHeight="1">
      <c r="A329" s="1001"/>
      <c r="B329" s="1010"/>
      <c r="C329" s="1011"/>
      <c r="D329" s="1011"/>
      <c r="E329" s="1011"/>
      <c r="F329" s="1012"/>
      <c r="G329" s="1012"/>
      <c r="H329" s="184"/>
      <c r="I329" s="190"/>
      <c r="J329" s="1001"/>
      <c r="K329" s="1001"/>
      <c r="L329" s="186"/>
      <c r="M329" s="1001"/>
      <c r="N329" s="1013"/>
      <c r="O329" s="192"/>
      <c r="P329" s="1014"/>
      <c r="Q329" s="1014"/>
      <c r="R329" s="1001"/>
      <c r="S329" s="1014"/>
      <c r="T329" s="1013"/>
      <c r="U329" s="1015"/>
      <c r="V329" s="1014"/>
      <c r="W329" s="1014"/>
      <c r="X329" s="186"/>
      <c r="Y329" s="1014"/>
      <c r="Z329" s="1013"/>
      <c r="AA329" s="1015"/>
      <c r="AB329" s="1015"/>
      <c r="AC329" s="194"/>
      <c r="AD329" s="194"/>
      <c r="AE329" s="194"/>
      <c r="AF329" s="194"/>
      <c r="AG329" s="1013"/>
      <c r="AH329" s="1015"/>
      <c r="AJ329" s="79" t="str">
        <f t="shared" si="136"/>
        <v/>
      </c>
      <c r="AK329" s="16" t="str">
        <f t="shared" si="137"/>
        <v/>
      </c>
      <c r="AL329" s="16" t="str">
        <f t="shared" si="138"/>
        <v/>
      </c>
      <c r="AM329" s="16" t="str">
        <f t="shared" si="139"/>
        <v/>
      </c>
      <c r="AN329" s="16" t="str">
        <f t="shared" si="140"/>
        <v/>
      </c>
      <c r="AO329" s="55"/>
      <c r="AP329" s="98">
        <v>6</v>
      </c>
      <c r="AQ329" s="99"/>
      <c r="AR329" s="100">
        <f>IFERROR(AP329*AQ329*AS332,0)</f>
        <v>0</v>
      </c>
      <c r="AS329" s="55"/>
      <c r="AT329" s="167"/>
      <c r="AU329" s="167"/>
      <c r="AV329" s="164"/>
      <c r="AW329" s="169"/>
      <c r="AX329" s="94">
        <f t="shared" si="141"/>
        <v>0</v>
      </c>
      <c r="AY329" s="95">
        <f t="shared" si="142"/>
        <v>0</v>
      </c>
    </row>
    <row r="330" spans="1:51" ht="15" customHeight="1">
      <c r="A330" s="1001"/>
      <c r="B330" s="1010"/>
      <c r="C330" s="1016"/>
      <c r="D330" s="1016"/>
      <c r="E330" s="1016"/>
      <c r="F330" s="1017"/>
      <c r="G330" s="1017"/>
      <c r="H330" s="184"/>
      <c r="I330" s="190"/>
      <c r="J330" s="1001"/>
      <c r="K330" s="1001"/>
      <c r="L330" s="186"/>
      <c r="M330" s="1001"/>
      <c r="N330" s="1013"/>
      <c r="O330" s="192"/>
      <c r="P330" s="1014"/>
      <c r="Q330" s="1014"/>
      <c r="R330" s="1001"/>
      <c r="S330" s="1014"/>
      <c r="T330" s="1013"/>
      <c r="U330" s="1015"/>
      <c r="V330" s="1014"/>
      <c r="W330" s="1014"/>
      <c r="X330" s="1001"/>
      <c r="Y330" s="1014"/>
      <c r="Z330" s="1013"/>
      <c r="AA330" s="1015"/>
      <c r="AB330" s="1015"/>
      <c r="AC330" s="194"/>
      <c r="AD330" s="194"/>
      <c r="AE330" s="194"/>
      <c r="AF330" s="194"/>
      <c r="AG330" s="1013"/>
      <c r="AH330" s="1015"/>
      <c r="AJ330" s="79" t="str">
        <f t="shared" si="136"/>
        <v/>
      </c>
      <c r="AK330" s="16" t="str">
        <f t="shared" si="137"/>
        <v/>
      </c>
      <c r="AL330" s="16" t="str">
        <f t="shared" si="138"/>
        <v/>
      </c>
      <c r="AM330" s="16" t="str">
        <f t="shared" si="139"/>
        <v/>
      </c>
      <c r="AN330" s="16" t="str">
        <f t="shared" si="140"/>
        <v/>
      </c>
      <c r="AO330" s="55"/>
      <c r="AP330" s="98">
        <v>5</v>
      </c>
      <c r="AQ330" s="99"/>
      <c r="AR330" s="100">
        <f>IFERROR(AP330*AQ330*AS332,0)</f>
        <v>0</v>
      </c>
      <c r="AS330" s="104"/>
      <c r="AT330" s="167"/>
      <c r="AU330" s="167"/>
      <c r="AV330" s="168"/>
      <c r="AW330" s="169"/>
      <c r="AX330" s="94">
        <f t="shared" si="141"/>
        <v>0</v>
      </c>
      <c r="AY330" s="95">
        <f t="shared" si="142"/>
        <v>0</v>
      </c>
    </row>
    <row r="331" spans="1:51" ht="15" customHeight="1">
      <c r="A331" s="1001"/>
      <c r="B331" s="1010"/>
      <c r="C331" s="1011"/>
      <c r="D331" s="1011"/>
      <c r="E331" s="1011"/>
      <c r="F331" s="1012"/>
      <c r="G331" s="1012"/>
      <c r="H331" s="184"/>
      <c r="I331" s="190"/>
      <c r="J331" s="1001"/>
      <c r="K331" s="1001"/>
      <c r="L331" s="186"/>
      <c r="M331" s="1001"/>
      <c r="N331" s="1013"/>
      <c r="O331" s="192"/>
      <c r="P331" s="1014"/>
      <c r="Q331" s="1014"/>
      <c r="R331" s="1001"/>
      <c r="S331" s="1014"/>
      <c r="T331" s="1013"/>
      <c r="U331" s="1015"/>
      <c r="V331" s="1014"/>
      <c r="W331" s="1014"/>
      <c r="X331" s="1001"/>
      <c r="Y331" s="1014"/>
      <c r="Z331" s="1013"/>
      <c r="AA331" s="1015"/>
      <c r="AB331" s="1015"/>
      <c r="AC331" s="194"/>
      <c r="AD331" s="194"/>
      <c r="AE331" s="194"/>
      <c r="AF331" s="194"/>
      <c r="AG331" s="1013"/>
      <c r="AH331" s="1015"/>
      <c r="AJ331" s="79" t="str">
        <f t="shared" si="136"/>
        <v/>
      </c>
      <c r="AK331" s="16" t="str">
        <f t="shared" si="137"/>
        <v/>
      </c>
      <c r="AL331" s="16" t="str">
        <f t="shared" si="138"/>
        <v/>
      </c>
      <c r="AM331" s="16" t="str">
        <f t="shared" si="139"/>
        <v/>
      </c>
      <c r="AN331" s="16" t="str">
        <f t="shared" si="140"/>
        <v/>
      </c>
      <c r="AO331" s="55"/>
      <c r="AP331" s="98">
        <v>4</v>
      </c>
      <c r="AQ331" s="99"/>
      <c r="AR331" s="100">
        <f>IFERROR(AP331*AQ331*AS332,0)</f>
        <v>0</v>
      </c>
      <c r="AS331" s="104"/>
      <c r="AT331" s="167"/>
      <c r="AU331" s="167"/>
      <c r="AV331" s="168"/>
      <c r="AW331" s="169"/>
      <c r="AX331" s="94">
        <f t="shared" si="141"/>
        <v>0</v>
      </c>
      <c r="AY331" s="95">
        <f t="shared" si="142"/>
        <v>0</v>
      </c>
    </row>
    <row r="332" spans="1:51" ht="15" customHeight="1">
      <c r="A332" s="1001"/>
      <c r="B332" s="1010"/>
      <c r="C332" s="1011"/>
      <c r="D332" s="188"/>
      <c r="E332" s="1011"/>
      <c r="F332" s="1012"/>
      <c r="G332" s="1012"/>
      <c r="H332" s="184"/>
      <c r="I332" s="190"/>
      <c r="J332" s="1001"/>
      <c r="K332" s="1001"/>
      <c r="L332" s="186"/>
      <c r="M332" s="1001"/>
      <c r="N332" s="1013"/>
      <c r="O332" s="192"/>
      <c r="P332" s="1014"/>
      <c r="Q332" s="1014"/>
      <c r="R332" s="1001"/>
      <c r="S332" s="1014"/>
      <c r="T332" s="1013"/>
      <c r="U332" s="1015"/>
      <c r="V332" s="1014"/>
      <c r="W332" s="1014"/>
      <c r="X332" s="1001"/>
      <c r="Y332" s="1014"/>
      <c r="Z332" s="1013"/>
      <c r="AA332" s="1015"/>
      <c r="AB332" s="1015"/>
      <c r="AC332" s="194"/>
      <c r="AD332" s="194"/>
      <c r="AE332" s="194"/>
      <c r="AF332" s="194"/>
      <c r="AG332" s="1013"/>
      <c r="AH332" s="1015"/>
      <c r="AJ332" s="79" t="str">
        <f t="shared" si="136"/>
        <v/>
      </c>
      <c r="AK332" s="16" t="str">
        <f t="shared" si="137"/>
        <v/>
      </c>
      <c r="AL332" s="16" t="str">
        <f t="shared" si="138"/>
        <v/>
      </c>
      <c r="AM332" s="16" t="str">
        <f t="shared" si="139"/>
        <v/>
      </c>
      <c r="AN332" s="16" t="str">
        <f t="shared" si="140"/>
        <v/>
      </c>
      <c r="AO332" s="55"/>
      <c r="AP332" s="98">
        <v>3</v>
      </c>
      <c r="AQ332" s="109"/>
      <c r="AR332" s="100">
        <f>IFERROR(AP332*AQ332*AS332,0)</f>
        <v>0</v>
      </c>
      <c r="AS332" s="48">
        <f>IFERROR(AR333/((AP332*AQ332)+(AP331*AQ331)+(AP330*AQ330)+(AP329*AQ329)),0)</f>
        <v>0</v>
      </c>
      <c r="AT332" s="167"/>
      <c r="AU332" s="167"/>
      <c r="AV332" s="168"/>
      <c r="AW332" s="169"/>
      <c r="AX332" s="94">
        <f t="shared" si="141"/>
        <v>0</v>
      </c>
      <c r="AY332" s="95">
        <f t="shared" si="142"/>
        <v>0</v>
      </c>
    </row>
    <row r="333" spans="1:51" ht="14.25" customHeight="1" thickBot="1">
      <c r="A333" s="1001"/>
      <c r="B333" s="1010"/>
      <c r="C333" s="1011"/>
      <c r="D333" s="1011"/>
      <c r="E333" s="1011"/>
      <c r="F333" s="1012"/>
      <c r="G333" s="1012"/>
      <c r="H333" s="184"/>
      <c r="I333" s="190"/>
      <c r="J333" s="1001"/>
      <c r="K333" s="1001"/>
      <c r="L333" s="186"/>
      <c r="M333" s="1001"/>
      <c r="N333" s="1013"/>
      <c r="O333" s="192"/>
      <c r="P333" s="185"/>
      <c r="Q333" s="1014"/>
      <c r="R333" s="1001"/>
      <c r="S333" s="1014"/>
      <c r="T333" s="1013"/>
      <c r="U333" s="1015"/>
      <c r="V333" s="185"/>
      <c r="W333" s="1014"/>
      <c r="X333" s="1001"/>
      <c r="Y333" s="1014"/>
      <c r="Z333" s="1013"/>
      <c r="AA333" s="1015"/>
      <c r="AB333" s="1015"/>
      <c r="AC333" s="194"/>
      <c r="AD333" s="194"/>
      <c r="AE333" s="194"/>
      <c r="AF333" s="194"/>
      <c r="AG333" s="1013"/>
      <c r="AH333" s="1015"/>
      <c r="AJ333" s="79" t="str">
        <f t="shared" si="136"/>
        <v/>
      </c>
      <c r="AK333" s="16" t="str">
        <f t="shared" si="137"/>
        <v/>
      </c>
      <c r="AL333" s="16" t="str">
        <f t="shared" si="138"/>
        <v/>
      </c>
      <c r="AM333" s="16" t="str">
        <f t="shared" si="139"/>
        <v/>
      </c>
      <c r="AN333" s="16" t="str">
        <f t="shared" si="140"/>
        <v/>
      </c>
      <c r="AO333" s="55"/>
      <c r="AP333" s="111"/>
      <c r="AQ333" s="112"/>
      <c r="AR333" s="113"/>
      <c r="AS333" s="104"/>
      <c r="AT333" s="167"/>
      <c r="AU333" s="167"/>
      <c r="AV333" s="168"/>
      <c r="AW333" s="169"/>
      <c r="AX333" s="94">
        <f t="shared" si="141"/>
        <v>0</v>
      </c>
      <c r="AY333" s="95">
        <f t="shared" si="142"/>
        <v>0</v>
      </c>
    </row>
    <row r="334" spans="1:51" ht="14.25" customHeight="1" thickBot="1">
      <c r="A334" s="1001"/>
      <c r="B334" s="1010"/>
      <c r="C334" s="1011"/>
      <c r="D334" s="1011"/>
      <c r="E334" s="1011"/>
      <c r="F334" s="1012"/>
      <c r="G334" s="1012"/>
      <c r="H334" s="184"/>
      <c r="I334" s="190"/>
      <c r="J334" s="1001"/>
      <c r="K334" s="1001"/>
      <c r="L334" s="186"/>
      <c r="M334" s="1001"/>
      <c r="N334" s="1013"/>
      <c r="O334" s="192"/>
      <c r="P334" s="1014"/>
      <c r="Q334" s="1014"/>
      <c r="R334" s="1001"/>
      <c r="S334" s="1014"/>
      <c r="T334" s="1013"/>
      <c r="U334" s="1015"/>
      <c r="V334" s="1014"/>
      <c r="W334" s="1014"/>
      <c r="X334" s="1001"/>
      <c r="Y334" s="1014"/>
      <c r="Z334" s="1013"/>
      <c r="AA334" s="1015"/>
      <c r="AB334" s="1015"/>
      <c r="AC334" s="194"/>
      <c r="AD334" s="194"/>
      <c r="AE334" s="194"/>
      <c r="AF334" s="194"/>
      <c r="AG334" s="1013"/>
      <c r="AH334" s="1015"/>
      <c r="AJ334" s="79" t="str">
        <f t="shared" si="136"/>
        <v/>
      </c>
      <c r="AK334" s="16" t="str">
        <f t="shared" si="137"/>
        <v/>
      </c>
      <c r="AL334" s="16" t="str">
        <f t="shared" si="138"/>
        <v/>
      </c>
      <c r="AM334" s="16" t="str">
        <f t="shared" si="139"/>
        <v/>
      </c>
      <c r="AN334" s="16" t="str">
        <f t="shared" si="140"/>
        <v/>
      </c>
      <c r="AO334" s="55"/>
      <c r="AP334" s="1250" t="s">
        <v>7</v>
      </c>
      <c r="AQ334" s="1250"/>
      <c r="AR334" s="1250"/>
      <c r="AS334" s="104"/>
      <c r="AT334" s="167"/>
      <c r="AU334" s="167"/>
      <c r="AV334" s="168"/>
      <c r="AW334" s="169"/>
      <c r="AX334" s="94">
        <f t="shared" si="141"/>
        <v>0</v>
      </c>
      <c r="AY334" s="95">
        <f t="shared" si="142"/>
        <v>0</v>
      </c>
    </row>
    <row r="335" spans="1:51" ht="15" customHeight="1" thickBot="1">
      <c r="A335" s="1001"/>
      <c r="B335" s="1010"/>
      <c r="C335" s="1011"/>
      <c r="D335" s="1011"/>
      <c r="E335" s="1011"/>
      <c r="F335" s="1012"/>
      <c r="G335" s="1012"/>
      <c r="H335" s="184"/>
      <c r="I335" s="190"/>
      <c r="J335" s="1001"/>
      <c r="K335" s="1001"/>
      <c r="L335" s="186"/>
      <c r="M335" s="1001"/>
      <c r="N335" s="1013"/>
      <c r="O335" s="192"/>
      <c r="P335" s="1014"/>
      <c r="Q335" s="1014"/>
      <c r="R335" s="1001"/>
      <c r="S335" s="1014"/>
      <c r="T335" s="1013"/>
      <c r="U335" s="1015"/>
      <c r="V335" s="1014"/>
      <c r="W335" s="185"/>
      <c r="X335" s="1001"/>
      <c r="Y335" s="1014"/>
      <c r="Z335" s="1013"/>
      <c r="AA335" s="1015"/>
      <c r="AB335" s="1015"/>
      <c r="AC335" s="194"/>
      <c r="AD335" s="194"/>
      <c r="AE335" s="194"/>
      <c r="AF335" s="194"/>
      <c r="AG335" s="1013"/>
      <c r="AH335" s="1015"/>
      <c r="AJ335" s="79" t="str">
        <f t="shared" si="136"/>
        <v/>
      </c>
      <c r="AK335" s="16" t="str">
        <f t="shared" si="137"/>
        <v/>
      </c>
      <c r="AL335" s="16" t="str">
        <f t="shared" si="138"/>
        <v/>
      </c>
      <c r="AM335" s="16" t="str">
        <f t="shared" si="139"/>
        <v/>
      </c>
      <c r="AN335" s="16" t="str">
        <f t="shared" si="140"/>
        <v/>
      </c>
      <c r="AO335" s="73">
        <v>160</v>
      </c>
      <c r="AP335" s="1250"/>
      <c r="AQ335" s="1250"/>
      <c r="AR335" s="1250"/>
      <c r="AS335" s="55"/>
      <c r="AT335" s="167"/>
      <c r="AU335" s="167"/>
      <c r="AV335" s="168"/>
      <c r="AW335" s="169"/>
      <c r="AX335" s="94">
        <f t="shared" si="141"/>
        <v>0</v>
      </c>
      <c r="AY335" s="95">
        <f t="shared" si="142"/>
        <v>0</v>
      </c>
    </row>
    <row r="336" spans="1:51" ht="15" customHeight="1" thickBot="1">
      <c r="A336" s="1001"/>
      <c r="B336" s="1010"/>
      <c r="C336" s="1011"/>
      <c r="D336" s="1011"/>
      <c r="E336" s="1011"/>
      <c r="F336" s="1012"/>
      <c r="G336" s="1012"/>
      <c r="H336" s="184"/>
      <c r="I336" s="190"/>
      <c r="J336" s="1001"/>
      <c r="K336" s="1001"/>
      <c r="L336" s="186"/>
      <c r="M336" s="1001"/>
      <c r="N336" s="1013"/>
      <c r="O336" s="192"/>
      <c r="P336" s="1014"/>
      <c r="Q336" s="185"/>
      <c r="R336" s="1018"/>
      <c r="S336" s="1014"/>
      <c r="T336" s="1013"/>
      <c r="U336" s="1015"/>
      <c r="V336" s="1014"/>
      <c r="W336" s="185"/>
      <c r="X336" s="1001"/>
      <c r="Y336" s="1014"/>
      <c r="Z336" s="1013"/>
      <c r="AA336" s="1015"/>
      <c r="AB336" s="1015"/>
      <c r="AC336" s="194"/>
      <c r="AD336" s="194"/>
      <c r="AE336" s="194"/>
      <c r="AF336" s="194"/>
      <c r="AG336" s="1013"/>
      <c r="AH336" s="1015"/>
      <c r="AJ336" s="79" t="str">
        <f t="shared" si="136"/>
        <v/>
      </c>
      <c r="AK336" s="16" t="str">
        <f t="shared" si="137"/>
        <v/>
      </c>
      <c r="AL336" s="16" t="str">
        <f t="shared" si="138"/>
        <v/>
      </c>
      <c r="AM336" s="16" t="str">
        <f t="shared" si="139"/>
        <v/>
      </c>
      <c r="AN336" s="16" t="str">
        <f t="shared" si="140"/>
        <v/>
      </c>
      <c r="AO336" s="55"/>
      <c r="AP336" s="1250"/>
      <c r="AQ336" s="1250"/>
      <c r="AR336" s="1250"/>
      <c r="AS336" s="55"/>
      <c r="AT336" s="167"/>
      <c r="AU336" s="167"/>
      <c r="AV336" s="168"/>
      <c r="AW336" s="169"/>
      <c r="AX336" s="94">
        <f t="shared" si="141"/>
        <v>0</v>
      </c>
      <c r="AY336" s="95">
        <f t="shared" si="142"/>
        <v>0</v>
      </c>
    </row>
    <row r="337" spans="1:51" ht="16.5" customHeight="1">
      <c r="A337" s="1001"/>
      <c r="B337" s="1010"/>
      <c r="C337" s="1011"/>
      <c r="D337" s="1011"/>
      <c r="E337" s="1011"/>
      <c r="F337" s="1012"/>
      <c r="G337" s="1012"/>
      <c r="H337" s="184"/>
      <c r="I337" s="190"/>
      <c r="J337" s="1001"/>
      <c r="K337" s="1001"/>
      <c r="L337" s="186"/>
      <c r="M337" s="1001"/>
      <c r="N337" s="1013"/>
      <c r="O337" s="192"/>
      <c r="P337" s="1014"/>
      <c r="Q337" s="185"/>
      <c r="R337" s="1014"/>
      <c r="S337" s="1014"/>
      <c r="T337" s="1013"/>
      <c r="U337" s="1015"/>
      <c r="V337" s="1014"/>
      <c r="W337" s="185"/>
      <c r="X337" s="1001"/>
      <c r="Y337" s="1014"/>
      <c r="Z337" s="1013"/>
      <c r="AA337" s="1015"/>
      <c r="AB337" s="1015"/>
      <c r="AC337" s="194"/>
      <c r="AD337" s="194"/>
      <c r="AE337" s="194"/>
      <c r="AF337" s="194"/>
      <c r="AG337" s="1013"/>
      <c r="AH337" s="1015"/>
      <c r="AJ337" s="79" t="str">
        <f t="shared" si="136"/>
        <v/>
      </c>
      <c r="AK337" s="16" t="str">
        <f t="shared" si="137"/>
        <v/>
      </c>
      <c r="AL337" s="16" t="str">
        <f t="shared" si="138"/>
        <v/>
      </c>
      <c r="AM337" s="16" t="str">
        <f t="shared" si="139"/>
        <v/>
      </c>
      <c r="AN337" s="16" t="str">
        <f t="shared" si="140"/>
        <v/>
      </c>
      <c r="AO337" s="55"/>
      <c r="AP337" s="117">
        <v>6</v>
      </c>
      <c r="AQ337" s="118"/>
      <c r="AR337" s="100">
        <f>IFERROR(AP337*AQ337*AS340,0)</f>
        <v>0</v>
      </c>
      <c r="AS337" s="55"/>
      <c r="AT337" s="167"/>
      <c r="AU337" s="167"/>
      <c r="AV337" s="168"/>
      <c r="AW337" s="169"/>
      <c r="AX337" s="94">
        <f t="shared" si="141"/>
        <v>0</v>
      </c>
      <c r="AY337" s="95">
        <f t="shared" si="142"/>
        <v>0</v>
      </c>
    </row>
    <row r="338" spans="1:51" ht="16.5" customHeight="1">
      <c r="A338" s="1001"/>
      <c r="B338" s="1010"/>
      <c r="C338" s="1011"/>
      <c r="D338" s="1011"/>
      <c r="E338" s="1011"/>
      <c r="F338" s="1012"/>
      <c r="G338" s="1012"/>
      <c r="H338" s="184"/>
      <c r="I338" s="190"/>
      <c r="J338" s="1001"/>
      <c r="K338" s="1001"/>
      <c r="L338" s="186"/>
      <c r="M338" s="1001"/>
      <c r="N338" s="1013"/>
      <c r="O338" s="192"/>
      <c r="P338" s="1014"/>
      <c r="Q338" s="184"/>
      <c r="R338" s="1018"/>
      <c r="S338" s="1019"/>
      <c r="T338" s="1013"/>
      <c r="U338" s="1015"/>
      <c r="V338" s="1014"/>
      <c r="W338" s="185"/>
      <c r="X338" s="1001"/>
      <c r="Y338" s="1014"/>
      <c r="Z338" s="1013"/>
      <c r="AA338" s="1015"/>
      <c r="AB338" s="1015"/>
      <c r="AC338" s="194"/>
      <c r="AD338" s="194"/>
      <c r="AE338" s="194"/>
      <c r="AF338" s="194"/>
      <c r="AG338" s="1013"/>
      <c r="AH338" s="1015"/>
      <c r="AJ338" s="79" t="str">
        <f t="shared" si="136"/>
        <v/>
      </c>
      <c r="AK338" s="16" t="str">
        <f t="shared" si="137"/>
        <v/>
      </c>
      <c r="AL338" s="16" t="str">
        <f t="shared" si="138"/>
        <v/>
      </c>
      <c r="AM338" s="16" t="str">
        <f t="shared" si="139"/>
        <v/>
      </c>
      <c r="AN338" s="16" t="str">
        <f t="shared" si="140"/>
        <v/>
      </c>
      <c r="AO338" s="55"/>
      <c r="AP338" s="98">
        <v>5</v>
      </c>
      <c r="AQ338" s="99"/>
      <c r="AR338" s="100">
        <f>IFERROR(AP338*AQ338*AS340,0)</f>
        <v>0</v>
      </c>
      <c r="AS338" s="55"/>
      <c r="AT338" s="177"/>
      <c r="AU338" s="178"/>
      <c r="AV338" s="177"/>
      <c r="AW338" s="179"/>
      <c r="AX338" s="94">
        <f t="shared" si="141"/>
        <v>0</v>
      </c>
      <c r="AY338" s="95">
        <f t="shared" si="142"/>
        <v>0</v>
      </c>
    </row>
    <row r="339" spans="1:51" ht="15.75" customHeight="1">
      <c r="A339" s="1001"/>
      <c r="B339" s="1010"/>
      <c r="C339" s="1020"/>
      <c r="D339" s="1021"/>
      <c r="E339" s="1020"/>
      <c r="F339" s="1022"/>
      <c r="G339" s="1022"/>
      <c r="H339" s="184"/>
      <c r="I339" s="190"/>
      <c r="J339" s="1001"/>
      <c r="K339" s="1001"/>
      <c r="L339" s="186"/>
      <c r="M339" s="1001"/>
      <c r="N339" s="1013"/>
      <c r="O339" s="192"/>
      <c r="P339" s="1019"/>
      <c r="Q339" s="184"/>
      <c r="R339" s="1018"/>
      <c r="S339" s="1019"/>
      <c r="T339" s="1013"/>
      <c r="U339" s="1015"/>
      <c r="V339" s="1014"/>
      <c r="W339" s="185"/>
      <c r="X339" s="1001"/>
      <c r="Y339" s="1014"/>
      <c r="Z339" s="1013"/>
      <c r="AA339" s="1015"/>
      <c r="AB339" s="1015"/>
      <c r="AC339" s="194"/>
      <c r="AD339" s="194"/>
      <c r="AE339" s="194"/>
      <c r="AF339" s="194"/>
      <c r="AG339" s="1013"/>
      <c r="AH339" s="1015"/>
      <c r="AJ339" s="79" t="str">
        <f t="shared" si="136"/>
        <v/>
      </c>
      <c r="AK339" s="16" t="str">
        <f t="shared" si="137"/>
        <v/>
      </c>
      <c r="AL339" s="16" t="str">
        <f t="shared" si="138"/>
        <v/>
      </c>
      <c r="AM339" s="16" t="str">
        <f t="shared" si="139"/>
        <v/>
      </c>
      <c r="AN339" s="16" t="str">
        <f t="shared" si="140"/>
        <v/>
      </c>
      <c r="AO339" s="104"/>
      <c r="AP339" s="98">
        <v>4</v>
      </c>
      <c r="AQ339" s="99"/>
      <c r="AR339" s="100">
        <f>IFERROR(AP339*AQ339*AS340,0)</f>
        <v>0</v>
      </c>
      <c r="AS339" s="55"/>
      <c r="AT339" s="167"/>
      <c r="AU339" s="165"/>
      <c r="AV339" s="168"/>
      <c r="AW339" s="169"/>
      <c r="AX339" s="94">
        <f t="shared" si="141"/>
        <v>0</v>
      </c>
      <c r="AY339" s="95">
        <f t="shared" si="142"/>
        <v>0</v>
      </c>
    </row>
    <row r="340" spans="1:51" ht="15" customHeight="1">
      <c r="A340" s="1001"/>
      <c r="B340" s="1001"/>
      <c r="C340" s="1023"/>
      <c r="D340" s="1023"/>
      <c r="E340" s="1023"/>
      <c r="F340" s="1024"/>
      <c r="G340" s="1024"/>
      <c r="H340" s="1001"/>
      <c r="I340" s="1001"/>
      <c r="J340" s="201"/>
      <c r="K340" s="201"/>
      <c r="L340" s="201"/>
      <c r="M340" s="201"/>
      <c r="N340" s="1025"/>
      <c r="O340" s="1002"/>
      <c r="P340" s="1001"/>
      <c r="Q340" s="1001"/>
      <c r="R340" s="1001"/>
      <c r="S340" s="1003"/>
      <c r="T340" s="1001"/>
      <c r="U340" s="1004"/>
      <c r="V340" s="1001"/>
      <c r="W340" s="1001"/>
      <c r="X340" s="1001"/>
      <c r="Y340" s="1001"/>
      <c r="Z340" s="1001"/>
      <c r="AA340" s="1004"/>
      <c r="AB340" s="1001"/>
      <c r="AC340" s="1001"/>
      <c r="AD340" s="1001"/>
      <c r="AE340" s="1001"/>
      <c r="AF340" s="1001"/>
      <c r="AG340" s="54"/>
      <c r="AH340" s="54"/>
      <c r="AK340" s="2"/>
      <c r="AL340" s="2"/>
      <c r="AM340" s="2"/>
      <c r="AN340" s="2"/>
      <c r="AO340" s="55"/>
      <c r="AP340" s="98">
        <v>3</v>
      </c>
      <c r="AQ340" s="109"/>
      <c r="AR340" s="100">
        <f>IFERROR(AP340*AQ340*AS340,0)</f>
        <v>0</v>
      </c>
      <c r="AS340" s="48">
        <f>IFERROR(AR341/((AP340*AQ340)+(AP339*AQ339)+(AP338*AQ338)+(AP337*AQ337)),0)</f>
        <v>0</v>
      </c>
    </row>
    <row r="341" spans="1:51" ht="15" customHeight="1" thickBot="1">
      <c r="A341" s="1001"/>
      <c r="B341" s="1001"/>
      <c r="C341" s="1023"/>
      <c r="D341" s="1023"/>
      <c r="E341" s="1023"/>
      <c r="F341" s="1024"/>
      <c r="G341" s="1024"/>
      <c r="H341" s="184"/>
      <c r="I341" s="190"/>
      <c r="J341" s="1026"/>
      <c r="K341" s="1026"/>
      <c r="L341" s="1026"/>
      <c r="M341" s="1026"/>
      <c r="N341" s="1013"/>
      <c r="O341" s="192"/>
      <c r="P341" s="1027"/>
      <c r="Q341" s="1027"/>
      <c r="R341" s="1027"/>
      <c r="S341" s="1027"/>
      <c r="T341" s="1018"/>
      <c r="U341" s="1018"/>
      <c r="V341" s="1027"/>
      <c r="W341" s="1027"/>
      <c r="X341" s="1027"/>
      <c r="Y341" s="1027"/>
      <c r="Z341" s="1001"/>
      <c r="AA341" s="1001"/>
      <c r="AB341" s="1001"/>
      <c r="AC341" s="1027"/>
      <c r="AD341" s="1027"/>
      <c r="AE341" s="1027"/>
      <c r="AF341" s="1027"/>
      <c r="AG341" s="54"/>
      <c r="AH341" s="54"/>
      <c r="AK341" s="154">
        <f>SUM(AK328:AK340)</f>
        <v>0</v>
      </c>
      <c r="AL341" s="154">
        <f>SUM(AL328:AL340)</f>
        <v>0</v>
      </c>
      <c r="AM341" s="154">
        <f>SUM(AM328:AM340)</f>
        <v>0</v>
      </c>
      <c r="AN341" s="154">
        <f>SUM(AN328:AN340)</f>
        <v>0</v>
      </c>
      <c r="AO341" s="55"/>
      <c r="AP341" s="111"/>
      <c r="AQ341" s="112"/>
      <c r="AR341" s="155"/>
      <c r="AS341" s="55"/>
    </row>
    <row r="342" spans="1:51" ht="15.75" customHeight="1">
      <c r="A342" s="1028"/>
      <c r="B342" s="1001"/>
      <c r="C342" s="1001"/>
      <c r="D342" s="1001"/>
      <c r="E342" s="1001"/>
      <c r="F342" s="1001"/>
      <c r="G342" s="1001"/>
      <c r="H342" s="1018"/>
      <c r="I342" s="190"/>
      <c r="J342" s="1026"/>
      <c r="K342" s="1026"/>
      <c r="L342" s="1026"/>
      <c r="M342" s="1026"/>
      <c r="N342" s="1013"/>
      <c r="O342" s="192"/>
      <c r="P342" s="1027"/>
      <c r="Q342" s="1027"/>
      <c r="R342" s="1027"/>
      <c r="S342" s="1027"/>
      <c r="T342" s="1029"/>
      <c r="U342" s="1030"/>
      <c r="V342" s="1027"/>
      <c r="W342" s="1027"/>
      <c r="X342" s="1027"/>
      <c r="Y342" s="1027"/>
      <c r="Z342" s="1031"/>
      <c r="AA342" s="1032"/>
      <c r="AB342" s="1033"/>
      <c r="AC342" s="1027"/>
      <c r="AD342" s="1027"/>
      <c r="AE342" s="1027"/>
      <c r="AF342" s="1027"/>
      <c r="AG342" s="54"/>
      <c r="AH342" s="1030"/>
      <c r="AK342" s="48"/>
      <c r="AL342" s="48"/>
      <c r="AM342" s="48"/>
      <c r="AN342" s="48"/>
      <c r="AO342" s="55"/>
      <c r="AP342" s="55"/>
      <c r="AQ342" s="55"/>
      <c r="AR342" s="157">
        <f>AR333+AR341</f>
        <v>0</v>
      </c>
      <c r="AS342" s="55"/>
    </row>
    <row r="343" spans="1:51" ht="19.5" customHeight="1" thickBot="1">
      <c r="A343" s="1007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007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  <c r="AC343" s="182"/>
      <c r="AD343" s="182"/>
      <c r="AE343" s="182"/>
      <c r="AF343" s="182"/>
      <c r="AG343" s="54"/>
      <c r="AH343" s="54"/>
      <c r="AK343" s="48"/>
      <c r="AL343" s="48"/>
      <c r="AM343" s="48"/>
      <c r="AN343" s="48"/>
      <c r="AO343" s="48"/>
      <c r="AP343" s="48"/>
      <c r="AQ343" s="48"/>
      <c r="AR343" s="48"/>
      <c r="AS343" s="48"/>
    </row>
    <row r="344" spans="1:51" ht="14.25" customHeight="1" thickBot="1">
      <c r="A344" s="1252"/>
      <c r="B344" s="1253"/>
      <c r="C344" s="1254"/>
      <c r="D344" s="1254"/>
      <c r="E344" s="1254"/>
      <c r="F344" s="1254"/>
      <c r="G344" s="1254"/>
      <c r="H344" s="1253"/>
      <c r="I344" s="1254"/>
      <c r="J344" s="1253"/>
      <c r="K344" s="1253"/>
      <c r="L344" s="1253"/>
      <c r="M344" s="1253"/>
      <c r="N344" s="1255"/>
      <c r="O344" s="1258"/>
      <c r="P344" s="1254"/>
      <c r="Q344" s="1254"/>
      <c r="R344" s="1254"/>
      <c r="S344" s="1254"/>
      <c r="T344" s="1259"/>
      <c r="U344" s="1258"/>
      <c r="V344" s="1254"/>
      <c r="W344" s="1254"/>
      <c r="X344" s="1254"/>
      <c r="Y344" s="1254"/>
      <c r="Z344" s="1259"/>
      <c r="AA344" s="1258"/>
      <c r="AB344" s="1258"/>
      <c r="AC344" s="1260"/>
      <c r="AD344" s="1260"/>
      <c r="AE344" s="1260"/>
      <c r="AF344" s="1260"/>
      <c r="AG344" s="1259"/>
      <c r="AH344" s="1258"/>
      <c r="AK344" s="1257" t="s">
        <v>37</v>
      </c>
      <c r="AL344" s="1257"/>
      <c r="AM344" s="1257"/>
      <c r="AN344" s="1257"/>
      <c r="AO344" s="55"/>
      <c r="AP344" s="1250" t="s">
        <v>7</v>
      </c>
      <c r="AQ344" s="1250"/>
      <c r="AR344" s="1250"/>
      <c r="AS344" s="55"/>
      <c r="AT344" s="1251" t="s">
        <v>38</v>
      </c>
      <c r="AU344" s="1251"/>
      <c r="AV344" s="1251"/>
      <c r="AW344" s="1251"/>
      <c r="AX344" s="94" t="s">
        <v>39</v>
      </c>
      <c r="AY344" s="95" t="s">
        <v>12</v>
      </c>
    </row>
    <row r="345" spans="1:51" ht="18" customHeight="1" thickBot="1">
      <c r="A345" s="1252"/>
      <c r="B345" s="1252"/>
      <c r="C345" s="186"/>
      <c r="D345" s="186"/>
      <c r="E345" s="186"/>
      <c r="F345" s="186"/>
      <c r="G345" s="186"/>
      <c r="H345" s="1253"/>
      <c r="I345" s="1254"/>
      <c r="J345" s="185"/>
      <c r="K345" s="185"/>
      <c r="L345" s="185"/>
      <c r="M345" s="185"/>
      <c r="N345" s="1255"/>
      <c r="O345" s="1258"/>
      <c r="P345" s="186"/>
      <c r="Q345" s="185"/>
      <c r="R345" s="1008"/>
      <c r="S345" s="185"/>
      <c r="T345" s="1259"/>
      <c r="U345" s="1259"/>
      <c r="V345" s="186"/>
      <c r="W345" s="185"/>
      <c r="X345" s="1008"/>
      <c r="Y345" s="185"/>
      <c r="Z345" s="1259"/>
      <c r="AA345" s="1259"/>
      <c r="AB345" s="1258"/>
      <c r="AC345" s="186"/>
      <c r="AD345" s="185"/>
      <c r="AE345" s="1008"/>
      <c r="AF345" s="185"/>
      <c r="AG345" s="1259"/>
      <c r="AH345" s="1258"/>
      <c r="AK345" s="162" t="s">
        <v>49</v>
      </c>
      <c r="AL345" s="162" t="s">
        <v>50</v>
      </c>
      <c r="AM345" s="162" t="s">
        <v>51</v>
      </c>
      <c r="AN345" s="162" t="s">
        <v>52</v>
      </c>
      <c r="AO345" s="73">
        <v>130</v>
      </c>
      <c r="AP345" s="1250"/>
      <c r="AQ345" s="1250"/>
      <c r="AR345" s="1250"/>
      <c r="AS345" s="55"/>
      <c r="AT345" s="164" t="s">
        <v>45</v>
      </c>
      <c r="AU345" s="165" t="s">
        <v>46</v>
      </c>
      <c r="AV345" s="166" t="s">
        <v>47</v>
      </c>
      <c r="AW345" s="161" t="s">
        <v>48</v>
      </c>
      <c r="AX345" s="94"/>
      <c r="AY345" s="95"/>
    </row>
    <row r="346" spans="1:51" ht="15" customHeight="1" thickBot="1">
      <c r="A346" s="1009"/>
      <c r="B346" s="1010"/>
      <c r="C346" s="1011"/>
      <c r="D346" s="1011"/>
      <c r="E346" s="1011"/>
      <c r="F346" s="1012"/>
      <c r="G346" s="1012"/>
      <c r="H346" s="184"/>
      <c r="I346" s="190"/>
      <c r="J346" s="1001"/>
      <c r="K346" s="1001"/>
      <c r="L346" s="186"/>
      <c r="M346" s="1001"/>
      <c r="N346" s="1013"/>
      <c r="O346" s="192"/>
      <c r="P346" s="1014"/>
      <c r="Q346" s="1014"/>
      <c r="R346" s="1001"/>
      <c r="S346" s="1014"/>
      <c r="T346" s="1013"/>
      <c r="U346" s="1015"/>
      <c r="V346" s="1014"/>
      <c r="W346" s="1014"/>
      <c r="X346" s="1001"/>
      <c r="Y346" s="1014"/>
      <c r="Z346" s="1013"/>
      <c r="AA346" s="1015"/>
      <c r="AB346" s="1015"/>
      <c r="AC346" s="194"/>
      <c r="AD346" s="194"/>
      <c r="AE346" s="194"/>
      <c r="AF346" s="194"/>
      <c r="AG346" s="1013"/>
      <c r="AH346" s="1015"/>
      <c r="AJ346" s="79" t="str">
        <f t="shared" ref="AJ346:AJ357" si="143">IF(H346=130,0.132335,IF(H346=100,0.0785,IF(H346=110,0.095,IF(H346=160,0.198005,""))))</f>
        <v/>
      </c>
      <c r="AK346" s="16" t="str">
        <f t="shared" ref="AK346:AK357" si="144">IFERROR(P346*3*AJ346,"")</f>
        <v/>
      </c>
      <c r="AL346" s="16" t="str">
        <f t="shared" ref="AL346:AL357" si="145">IFERROR(Q346*4*AJ346,"")</f>
        <v/>
      </c>
      <c r="AM346" s="16" t="str">
        <f t="shared" ref="AM346:AM357" si="146">IFERROR(R346*5*AJ346,"")</f>
        <v/>
      </c>
      <c r="AN346" s="16" t="str">
        <f t="shared" ref="AN346:AN357" si="147">IFERROR(S346*6*AJ346,"")</f>
        <v/>
      </c>
      <c r="AO346" s="55"/>
      <c r="AP346" s="1250"/>
      <c r="AQ346" s="1250"/>
      <c r="AR346" s="1250"/>
      <c r="AS346" s="55"/>
      <c r="AT346" s="167"/>
      <c r="AU346" s="167"/>
      <c r="AV346" s="168"/>
      <c r="AW346" s="169"/>
      <c r="AX346" s="94">
        <f t="shared" ref="AX346:AX357" si="148">AT346*3+AU346*4+AV346*5+AW346*6</f>
        <v>0</v>
      </c>
      <c r="AY346" s="95">
        <f t="shared" ref="AY346:AY357" si="149">AX346*I346</f>
        <v>0</v>
      </c>
    </row>
    <row r="347" spans="1:51" ht="15" customHeight="1">
      <c r="A347" s="1001"/>
      <c r="B347" s="1010"/>
      <c r="C347" s="1011"/>
      <c r="D347" s="1011"/>
      <c r="E347" s="1011"/>
      <c r="F347" s="1012"/>
      <c r="G347" s="1012"/>
      <c r="H347" s="184"/>
      <c r="I347" s="190"/>
      <c r="J347" s="1001"/>
      <c r="K347" s="1001"/>
      <c r="L347" s="186"/>
      <c r="M347" s="1001"/>
      <c r="N347" s="1013"/>
      <c r="O347" s="192"/>
      <c r="P347" s="1014"/>
      <c r="Q347" s="1014"/>
      <c r="R347" s="1001"/>
      <c r="S347" s="1014"/>
      <c r="T347" s="1013"/>
      <c r="U347" s="1015"/>
      <c r="V347" s="1014"/>
      <c r="W347" s="1014"/>
      <c r="X347" s="186"/>
      <c r="Y347" s="1014"/>
      <c r="Z347" s="1013"/>
      <c r="AA347" s="1015"/>
      <c r="AB347" s="1015"/>
      <c r="AC347" s="194"/>
      <c r="AD347" s="194"/>
      <c r="AE347" s="194"/>
      <c r="AF347" s="194"/>
      <c r="AG347" s="1013"/>
      <c r="AH347" s="1015"/>
      <c r="AJ347" s="79" t="str">
        <f t="shared" si="143"/>
        <v/>
      </c>
      <c r="AK347" s="16" t="str">
        <f t="shared" si="144"/>
        <v/>
      </c>
      <c r="AL347" s="16" t="str">
        <f t="shared" si="145"/>
        <v/>
      </c>
      <c r="AM347" s="16" t="str">
        <f t="shared" si="146"/>
        <v/>
      </c>
      <c r="AN347" s="16" t="str">
        <f t="shared" si="147"/>
        <v/>
      </c>
      <c r="AO347" s="55"/>
      <c r="AP347" s="98">
        <v>6</v>
      </c>
      <c r="AQ347" s="99"/>
      <c r="AR347" s="100">
        <f>IFERROR(AP347*AQ347*AS350,0)</f>
        <v>0</v>
      </c>
      <c r="AS347" s="55"/>
      <c r="AT347" s="167"/>
      <c r="AU347" s="167"/>
      <c r="AV347" s="164"/>
      <c r="AW347" s="169"/>
      <c r="AX347" s="94">
        <f t="shared" si="148"/>
        <v>0</v>
      </c>
      <c r="AY347" s="95">
        <f t="shared" si="149"/>
        <v>0</v>
      </c>
    </row>
    <row r="348" spans="1:51" ht="15" customHeight="1">
      <c r="A348" s="1001"/>
      <c r="B348" s="1010"/>
      <c r="C348" s="1016"/>
      <c r="D348" s="1016"/>
      <c r="E348" s="1016"/>
      <c r="F348" s="1017"/>
      <c r="G348" s="1017"/>
      <c r="H348" s="184"/>
      <c r="I348" s="190"/>
      <c r="J348" s="1001"/>
      <c r="K348" s="1001"/>
      <c r="L348" s="186"/>
      <c r="M348" s="1001"/>
      <c r="N348" s="1013"/>
      <c r="O348" s="192"/>
      <c r="P348" s="1014"/>
      <c r="Q348" s="1014"/>
      <c r="R348" s="1001"/>
      <c r="S348" s="1014"/>
      <c r="T348" s="1013"/>
      <c r="U348" s="1015"/>
      <c r="V348" s="1014"/>
      <c r="W348" s="1014"/>
      <c r="X348" s="1001"/>
      <c r="Y348" s="1014"/>
      <c r="Z348" s="1013"/>
      <c r="AA348" s="1015"/>
      <c r="AB348" s="1015"/>
      <c r="AC348" s="194"/>
      <c r="AD348" s="194"/>
      <c r="AE348" s="194"/>
      <c r="AF348" s="194"/>
      <c r="AG348" s="1013"/>
      <c r="AH348" s="1015"/>
      <c r="AJ348" s="79" t="str">
        <f t="shared" si="143"/>
        <v/>
      </c>
      <c r="AK348" s="16" t="str">
        <f t="shared" si="144"/>
        <v/>
      </c>
      <c r="AL348" s="16" t="str">
        <f t="shared" si="145"/>
        <v/>
      </c>
      <c r="AM348" s="16" t="str">
        <f t="shared" si="146"/>
        <v/>
      </c>
      <c r="AN348" s="16" t="str">
        <f t="shared" si="147"/>
        <v/>
      </c>
      <c r="AO348" s="55"/>
      <c r="AP348" s="98">
        <v>5</v>
      </c>
      <c r="AQ348" s="99"/>
      <c r="AR348" s="100">
        <f>IFERROR(AP348*AQ348*AS350,0)</f>
        <v>0</v>
      </c>
      <c r="AS348" s="104"/>
      <c r="AT348" s="167"/>
      <c r="AU348" s="167"/>
      <c r="AV348" s="164"/>
      <c r="AW348" s="169"/>
      <c r="AX348" s="94">
        <f t="shared" si="148"/>
        <v>0</v>
      </c>
      <c r="AY348" s="95">
        <f t="shared" si="149"/>
        <v>0</v>
      </c>
    </row>
    <row r="349" spans="1:51" ht="15" customHeight="1">
      <c r="A349" s="1001"/>
      <c r="B349" s="1010"/>
      <c r="C349" s="1011"/>
      <c r="D349" s="1011"/>
      <c r="E349" s="1011"/>
      <c r="F349" s="1012"/>
      <c r="G349" s="1012"/>
      <c r="H349" s="184"/>
      <c r="I349" s="190"/>
      <c r="J349" s="1001"/>
      <c r="K349" s="1001"/>
      <c r="L349" s="186"/>
      <c r="M349" s="1001"/>
      <c r="N349" s="1013"/>
      <c r="O349" s="192"/>
      <c r="P349" s="1014"/>
      <c r="Q349" s="1014"/>
      <c r="R349" s="1001"/>
      <c r="S349" s="1014"/>
      <c r="T349" s="1013"/>
      <c r="U349" s="1015"/>
      <c r="V349" s="1014"/>
      <c r="W349" s="1014"/>
      <c r="X349" s="1001"/>
      <c r="Y349" s="1014"/>
      <c r="Z349" s="1013"/>
      <c r="AA349" s="1015"/>
      <c r="AB349" s="1015"/>
      <c r="AC349" s="194"/>
      <c r="AD349" s="194"/>
      <c r="AE349" s="194"/>
      <c r="AF349" s="194"/>
      <c r="AG349" s="1013"/>
      <c r="AH349" s="1015"/>
      <c r="AJ349" s="79" t="str">
        <f t="shared" si="143"/>
        <v/>
      </c>
      <c r="AK349" s="16" t="str">
        <f t="shared" si="144"/>
        <v/>
      </c>
      <c r="AL349" s="16" t="str">
        <f t="shared" si="145"/>
        <v/>
      </c>
      <c r="AM349" s="16" t="str">
        <f t="shared" si="146"/>
        <v/>
      </c>
      <c r="AN349" s="16" t="str">
        <f t="shared" si="147"/>
        <v/>
      </c>
      <c r="AO349" s="55"/>
      <c r="AP349" s="98">
        <v>4</v>
      </c>
      <c r="AQ349" s="99"/>
      <c r="AR349" s="100">
        <f>IFERROR(AP349*AQ349*AS350,0)</f>
        <v>0</v>
      </c>
      <c r="AS349" s="104"/>
      <c r="AT349" s="167"/>
      <c r="AU349" s="167"/>
      <c r="AV349" s="168"/>
      <c r="AW349" s="169"/>
      <c r="AX349" s="94">
        <f t="shared" si="148"/>
        <v>0</v>
      </c>
      <c r="AY349" s="95">
        <f t="shared" si="149"/>
        <v>0</v>
      </c>
    </row>
    <row r="350" spans="1:51" ht="15" customHeight="1">
      <c r="A350" s="1001"/>
      <c r="B350" s="1010"/>
      <c r="C350" s="1011"/>
      <c r="D350" s="188"/>
      <c r="E350" s="1011"/>
      <c r="F350" s="1012"/>
      <c r="G350" s="1012"/>
      <c r="H350" s="184"/>
      <c r="I350" s="190"/>
      <c r="J350" s="1001"/>
      <c r="K350" s="1001"/>
      <c r="L350" s="186"/>
      <c r="M350" s="1001"/>
      <c r="N350" s="1013"/>
      <c r="O350" s="192"/>
      <c r="P350" s="1014"/>
      <c r="Q350" s="1014"/>
      <c r="R350" s="1001"/>
      <c r="S350" s="1014"/>
      <c r="T350" s="1013"/>
      <c r="U350" s="1015"/>
      <c r="V350" s="1014"/>
      <c r="W350" s="1014"/>
      <c r="X350" s="1001"/>
      <c r="Y350" s="1014"/>
      <c r="Z350" s="1013"/>
      <c r="AA350" s="1015"/>
      <c r="AB350" s="1015"/>
      <c r="AC350" s="194"/>
      <c r="AD350" s="194"/>
      <c r="AE350" s="194"/>
      <c r="AF350" s="194"/>
      <c r="AG350" s="1013"/>
      <c r="AH350" s="1015"/>
      <c r="AJ350" s="79" t="str">
        <f t="shared" si="143"/>
        <v/>
      </c>
      <c r="AK350" s="16" t="str">
        <f t="shared" si="144"/>
        <v/>
      </c>
      <c r="AL350" s="16" t="str">
        <f t="shared" si="145"/>
        <v/>
      </c>
      <c r="AM350" s="16" t="str">
        <f t="shared" si="146"/>
        <v/>
      </c>
      <c r="AN350" s="16" t="str">
        <f t="shared" si="147"/>
        <v/>
      </c>
      <c r="AO350" s="55"/>
      <c r="AP350" s="98">
        <v>3</v>
      </c>
      <c r="AQ350" s="109"/>
      <c r="AR350" s="100">
        <f>IFERROR(AP350*AQ350*AS350,0)</f>
        <v>0</v>
      </c>
      <c r="AS350" s="48">
        <f>IFERROR(AR351/((AP350*AQ350)+(AP349*AQ349)+(AP348*AQ348)+(AP347*AQ347)),0)</f>
        <v>0</v>
      </c>
      <c r="AT350" s="167"/>
      <c r="AU350" s="167"/>
      <c r="AV350" s="168"/>
      <c r="AW350" s="169"/>
      <c r="AX350" s="94">
        <f t="shared" si="148"/>
        <v>0</v>
      </c>
      <c r="AY350" s="95">
        <f t="shared" si="149"/>
        <v>0</v>
      </c>
    </row>
    <row r="351" spans="1:51" ht="14.25" customHeight="1" thickBot="1">
      <c r="A351" s="1001"/>
      <c r="B351" s="1010"/>
      <c r="C351" s="1011"/>
      <c r="D351" s="1011"/>
      <c r="E351" s="1011"/>
      <c r="F351" s="1012"/>
      <c r="G351" s="1012"/>
      <c r="H351" s="184"/>
      <c r="I351" s="190"/>
      <c r="J351" s="1001"/>
      <c r="K351" s="1001"/>
      <c r="L351" s="186"/>
      <c r="M351" s="1001"/>
      <c r="N351" s="1013"/>
      <c r="O351" s="192"/>
      <c r="P351" s="185"/>
      <c r="Q351" s="1014"/>
      <c r="R351" s="1001"/>
      <c r="S351" s="1014"/>
      <c r="T351" s="1013"/>
      <c r="U351" s="1015"/>
      <c r="V351" s="185"/>
      <c r="W351" s="1014"/>
      <c r="X351" s="1001"/>
      <c r="Y351" s="1014"/>
      <c r="Z351" s="1013"/>
      <c r="AA351" s="1015"/>
      <c r="AB351" s="1015"/>
      <c r="AC351" s="194"/>
      <c r="AD351" s="194"/>
      <c r="AE351" s="194"/>
      <c r="AF351" s="194"/>
      <c r="AG351" s="1013"/>
      <c r="AH351" s="1015"/>
      <c r="AJ351" s="79" t="str">
        <f t="shared" si="143"/>
        <v/>
      </c>
      <c r="AK351" s="16" t="str">
        <f t="shared" si="144"/>
        <v/>
      </c>
      <c r="AL351" s="16" t="str">
        <f t="shared" si="145"/>
        <v/>
      </c>
      <c r="AM351" s="16" t="str">
        <f t="shared" si="146"/>
        <v/>
      </c>
      <c r="AN351" s="16" t="str">
        <f t="shared" si="147"/>
        <v/>
      </c>
      <c r="AO351" s="55"/>
      <c r="AP351" s="111"/>
      <c r="AQ351" s="112"/>
      <c r="AR351" s="113"/>
      <c r="AS351" s="104"/>
      <c r="AT351" s="167"/>
      <c r="AU351" s="167"/>
      <c r="AV351" s="168"/>
      <c r="AW351" s="169"/>
      <c r="AX351" s="94">
        <f t="shared" si="148"/>
        <v>0</v>
      </c>
      <c r="AY351" s="95">
        <f t="shared" si="149"/>
        <v>0</v>
      </c>
    </row>
    <row r="352" spans="1:51" ht="14.25" customHeight="1" thickBot="1">
      <c r="A352" s="1001"/>
      <c r="B352" s="1010"/>
      <c r="C352" s="1011"/>
      <c r="D352" s="1011"/>
      <c r="E352" s="1011"/>
      <c r="F352" s="1012"/>
      <c r="G352" s="1012"/>
      <c r="H352" s="184"/>
      <c r="I352" s="190"/>
      <c r="J352" s="1001"/>
      <c r="K352" s="1001"/>
      <c r="L352" s="186"/>
      <c r="M352" s="1001"/>
      <c r="N352" s="1013"/>
      <c r="O352" s="192"/>
      <c r="P352" s="1014"/>
      <c r="Q352" s="1014"/>
      <c r="R352" s="1001"/>
      <c r="S352" s="1014"/>
      <c r="T352" s="1013"/>
      <c r="U352" s="1015"/>
      <c r="V352" s="1014"/>
      <c r="W352" s="1014"/>
      <c r="X352" s="1001"/>
      <c r="Y352" s="1014"/>
      <c r="Z352" s="1013"/>
      <c r="AA352" s="1015"/>
      <c r="AB352" s="1015"/>
      <c r="AC352" s="194"/>
      <c r="AD352" s="194"/>
      <c r="AE352" s="194"/>
      <c r="AF352" s="194"/>
      <c r="AG352" s="1013"/>
      <c r="AH352" s="1015"/>
      <c r="AJ352" s="79" t="str">
        <f t="shared" si="143"/>
        <v/>
      </c>
      <c r="AK352" s="16" t="str">
        <f t="shared" si="144"/>
        <v/>
      </c>
      <c r="AL352" s="16" t="str">
        <f t="shared" si="145"/>
        <v/>
      </c>
      <c r="AM352" s="16" t="str">
        <f t="shared" si="146"/>
        <v/>
      </c>
      <c r="AN352" s="16" t="str">
        <f t="shared" si="147"/>
        <v/>
      </c>
      <c r="AO352" s="55"/>
      <c r="AP352" s="1250" t="s">
        <v>7</v>
      </c>
      <c r="AQ352" s="1250"/>
      <c r="AR352" s="1250"/>
      <c r="AS352" s="104"/>
      <c r="AT352" s="167"/>
      <c r="AU352" s="167"/>
      <c r="AV352" s="168"/>
      <c r="AW352" s="169"/>
      <c r="AX352" s="94">
        <f t="shared" si="148"/>
        <v>0</v>
      </c>
      <c r="AY352" s="95">
        <f t="shared" si="149"/>
        <v>0</v>
      </c>
    </row>
    <row r="353" spans="1:51" ht="15" customHeight="1" thickBot="1">
      <c r="A353" s="1001"/>
      <c r="B353" s="1010"/>
      <c r="C353" s="1011"/>
      <c r="D353" s="1011"/>
      <c r="E353" s="1011"/>
      <c r="F353" s="1012"/>
      <c r="G353" s="1012"/>
      <c r="H353" s="184"/>
      <c r="I353" s="190"/>
      <c r="J353" s="1001"/>
      <c r="K353" s="1001"/>
      <c r="L353" s="186"/>
      <c r="M353" s="1001"/>
      <c r="N353" s="1013"/>
      <c r="O353" s="192"/>
      <c r="P353" s="1014"/>
      <c r="Q353" s="1014"/>
      <c r="R353" s="1001"/>
      <c r="S353" s="1014"/>
      <c r="T353" s="1013"/>
      <c r="U353" s="1015"/>
      <c r="V353" s="1014"/>
      <c r="W353" s="185"/>
      <c r="X353" s="1001"/>
      <c r="Y353" s="1014"/>
      <c r="Z353" s="1013"/>
      <c r="AA353" s="1015"/>
      <c r="AB353" s="1015"/>
      <c r="AC353" s="194"/>
      <c r="AD353" s="194"/>
      <c r="AE353" s="194"/>
      <c r="AF353" s="194"/>
      <c r="AG353" s="1013"/>
      <c r="AH353" s="1015"/>
      <c r="AJ353" s="79" t="str">
        <f t="shared" si="143"/>
        <v/>
      </c>
      <c r="AK353" s="16" t="str">
        <f t="shared" si="144"/>
        <v/>
      </c>
      <c r="AL353" s="16" t="str">
        <f t="shared" si="145"/>
        <v/>
      </c>
      <c r="AM353" s="16" t="str">
        <f t="shared" si="146"/>
        <v/>
      </c>
      <c r="AN353" s="16" t="str">
        <f t="shared" si="147"/>
        <v/>
      </c>
      <c r="AO353" s="73">
        <v>160</v>
      </c>
      <c r="AP353" s="1250"/>
      <c r="AQ353" s="1250"/>
      <c r="AR353" s="1250"/>
      <c r="AS353" s="55"/>
      <c r="AT353" s="167"/>
      <c r="AU353" s="167"/>
      <c r="AV353" s="168"/>
      <c r="AW353" s="169"/>
      <c r="AX353" s="94">
        <f t="shared" si="148"/>
        <v>0</v>
      </c>
      <c r="AY353" s="95">
        <f t="shared" si="149"/>
        <v>0</v>
      </c>
    </row>
    <row r="354" spans="1:51" ht="15" customHeight="1" thickBot="1">
      <c r="A354" s="1001"/>
      <c r="B354" s="1010"/>
      <c r="C354" s="1011"/>
      <c r="D354" s="1011"/>
      <c r="E354" s="1011"/>
      <c r="F354" s="1012"/>
      <c r="G354" s="1012"/>
      <c r="H354" s="184"/>
      <c r="I354" s="190"/>
      <c r="J354" s="1001"/>
      <c r="K354" s="1001"/>
      <c r="L354" s="186"/>
      <c r="M354" s="1001"/>
      <c r="N354" s="1013"/>
      <c r="O354" s="192"/>
      <c r="P354" s="1014"/>
      <c r="Q354" s="185"/>
      <c r="R354" s="1018"/>
      <c r="S354" s="1014"/>
      <c r="T354" s="1013"/>
      <c r="U354" s="1015"/>
      <c r="V354" s="1014"/>
      <c r="W354" s="185"/>
      <c r="X354" s="1001"/>
      <c r="Y354" s="1014"/>
      <c r="Z354" s="1013"/>
      <c r="AA354" s="1015"/>
      <c r="AB354" s="1015"/>
      <c r="AC354" s="194"/>
      <c r="AD354" s="194"/>
      <c r="AE354" s="194"/>
      <c r="AF354" s="194"/>
      <c r="AG354" s="1013"/>
      <c r="AH354" s="1015"/>
      <c r="AJ354" s="79" t="str">
        <f t="shared" si="143"/>
        <v/>
      </c>
      <c r="AK354" s="16" t="str">
        <f t="shared" si="144"/>
        <v/>
      </c>
      <c r="AL354" s="16" t="str">
        <f t="shared" si="145"/>
        <v/>
      </c>
      <c r="AM354" s="16" t="str">
        <f t="shared" si="146"/>
        <v/>
      </c>
      <c r="AN354" s="16" t="str">
        <f t="shared" si="147"/>
        <v/>
      </c>
      <c r="AO354" s="55"/>
      <c r="AP354" s="1250"/>
      <c r="AQ354" s="1250"/>
      <c r="AR354" s="1250"/>
      <c r="AS354" s="55"/>
      <c r="AT354" s="167"/>
      <c r="AU354" s="167"/>
      <c r="AV354" s="168"/>
      <c r="AW354" s="169"/>
      <c r="AX354" s="94">
        <f t="shared" si="148"/>
        <v>0</v>
      </c>
      <c r="AY354" s="95">
        <f t="shared" si="149"/>
        <v>0</v>
      </c>
    </row>
    <row r="355" spans="1:51" ht="16.5" customHeight="1">
      <c r="A355" s="1001"/>
      <c r="B355" s="1010"/>
      <c r="C355" s="1011"/>
      <c r="D355" s="1011"/>
      <c r="E355" s="1011"/>
      <c r="F355" s="1012"/>
      <c r="G355" s="1012"/>
      <c r="H355" s="184"/>
      <c r="I355" s="190"/>
      <c r="J355" s="1001"/>
      <c r="K355" s="1001"/>
      <c r="L355" s="186"/>
      <c r="M355" s="1001"/>
      <c r="N355" s="1013"/>
      <c r="O355" s="192"/>
      <c r="P355" s="1014"/>
      <c r="Q355" s="185"/>
      <c r="R355" s="1014"/>
      <c r="S355" s="1014"/>
      <c r="T355" s="1013"/>
      <c r="U355" s="1015"/>
      <c r="V355" s="1014"/>
      <c r="W355" s="185"/>
      <c r="X355" s="1001"/>
      <c r="Y355" s="1014"/>
      <c r="Z355" s="1013"/>
      <c r="AA355" s="1015"/>
      <c r="AB355" s="1015"/>
      <c r="AC355" s="194"/>
      <c r="AD355" s="194"/>
      <c r="AE355" s="194"/>
      <c r="AF355" s="194"/>
      <c r="AG355" s="1013"/>
      <c r="AH355" s="1015"/>
      <c r="AJ355" s="79" t="str">
        <f t="shared" si="143"/>
        <v/>
      </c>
      <c r="AK355" s="16" t="str">
        <f t="shared" si="144"/>
        <v/>
      </c>
      <c r="AL355" s="16" t="str">
        <f t="shared" si="145"/>
        <v/>
      </c>
      <c r="AM355" s="16" t="str">
        <f t="shared" si="146"/>
        <v/>
      </c>
      <c r="AN355" s="16" t="str">
        <f t="shared" si="147"/>
        <v/>
      </c>
      <c r="AO355" s="55"/>
      <c r="AP355" s="117">
        <v>6</v>
      </c>
      <c r="AQ355" s="118"/>
      <c r="AR355" s="100">
        <f>IFERROR(AP355*AQ355*AS358,0)</f>
        <v>0</v>
      </c>
      <c r="AS355" s="55"/>
      <c r="AT355" s="167"/>
      <c r="AU355" s="167"/>
      <c r="AV355" s="168"/>
      <c r="AW355" s="169"/>
      <c r="AX355" s="94">
        <f t="shared" si="148"/>
        <v>0</v>
      </c>
      <c r="AY355" s="95">
        <f t="shared" si="149"/>
        <v>0</v>
      </c>
    </row>
    <row r="356" spans="1:51" ht="16.5" customHeight="1">
      <c r="A356" s="1001"/>
      <c r="B356" s="1010"/>
      <c r="C356" s="1011"/>
      <c r="D356" s="1011"/>
      <c r="E356" s="1011"/>
      <c r="F356" s="1012"/>
      <c r="G356" s="1012"/>
      <c r="H356" s="184"/>
      <c r="I356" s="190"/>
      <c r="J356" s="1001"/>
      <c r="K356" s="1001"/>
      <c r="L356" s="186"/>
      <c r="M356" s="1001"/>
      <c r="N356" s="1013"/>
      <c r="O356" s="192"/>
      <c r="P356" s="1014"/>
      <c r="Q356" s="184"/>
      <c r="R356" s="1018"/>
      <c r="S356" s="1019"/>
      <c r="T356" s="1013"/>
      <c r="U356" s="1015"/>
      <c r="V356" s="1014"/>
      <c r="W356" s="185"/>
      <c r="X356" s="1001"/>
      <c r="Y356" s="1014"/>
      <c r="Z356" s="1013"/>
      <c r="AA356" s="1015"/>
      <c r="AB356" s="1015"/>
      <c r="AC356" s="194"/>
      <c r="AD356" s="194"/>
      <c r="AE356" s="194"/>
      <c r="AF356" s="194"/>
      <c r="AG356" s="1013"/>
      <c r="AH356" s="1015"/>
      <c r="AJ356" s="79" t="str">
        <f t="shared" si="143"/>
        <v/>
      </c>
      <c r="AK356" s="16" t="str">
        <f t="shared" si="144"/>
        <v/>
      </c>
      <c r="AL356" s="16" t="str">
        <f t="shared" si="145"/>
        <v/>
      </c>
      <c r="AM356" s="16" t="str">
        <f t="shared" si="146"/>
        <v/>
      </c>
      <c r="AN356" s="16" t="str">
        <f t="shared" si="147"/>
        <v/>
      </c>
      <c r="AO356" s="55"/>
      <c r="AP356" s="98">
        <v>5</v>
      </c>
      <c r="AQ356" s="99"/>
      <c r="AR356" s="100">
        <f>IFERROR(AP356*AQ356*AS358,0)</f>
        <v>0</v>
      </c>
      <c r="AS356" s="55"/>
      <c r="AT356" s="177"/>
      <c r="AU356" s="178"/>
      <c r="AV356" s="177"/>
      <c r="AW356" s="179"/>
      <c r="AX356" s="94">
        <f t="shared" si="148"/>
        <v>0</v>
      </c>
      <c r="AY356" s="95">
        <f t="shared" si="149"/>
        <v>0</v>
      </c>
    </row>
    <row r="357" spans="1:51" ht="15.75" customHeight="1">
      <c r="A357" s="1001"/>
      <c r="B357" s="1010"/>
      <c r="C357" s="1020"/>
      <c r="D357" s="1021"/>
      <c r="E357" s="1020"/>
      <c r="F357" s="1022"/>
      <c r="G357" s="1022"/>
      <c r="H357" s="184"/>
      <c r="I357" s="190"/>
      <c r="J357" s="1001"/>
      <c r="K357" s="1001"/>
      <c r="L357" s="186"/>
      <c r="M357" s="1001"/>
      <c r="N357" s="1013"/>
      <c r="O357" s="192"/>
      <c r="P357" s="1019"/>
      <c r="Q357" s="184"/>
      <c r="R357" s="1018"/>
      <c r="S357" s="1019"/>
      <c r="T357" s="1013"/>
      <c r="U357" s="1015"/>
      <c r="V357" s="1014"/>
      <c r="W357" s="185"/>
      <c r="X357" s="1001"/>
      <c r="Y357" s="1014"/>
      <c r="Z357" s="1013"/>
      <c r="AA357" s="1015"/>
      <c r="AB357" s="1015"/>
      <c r="AC357" s="194"/>
      <c r="AD357" s="194"/>
      <c r="AE357" s="194"/>
      <c r="AF357" s="194"/>
      <c r="AG357" s="1013"/>
      <c r="AH357" s="1015"/>
      <c r="AJ357" s="79" t="str">
        <f t="shared" si="143"/>
        <v/>
      </c>
      <c r="AK357" s="16" t="str">
        <f t="shared" si="144"/>
        <v/>
      </c>
      <c r="AL357" s="16" t="str">
        <f t="shared" si="145"/>
        <v/>
      </c>
      <c r="AM357" s="16" t="str">
        <f t="shared" si="146"/>
        <v/>
      </c>
      <c r="AN357" s="16" t="str">
        <f t="shared" si="147"/>
        <v/>
      </c>
      <c r="AO357" s="104"/>
      <c r="AP357" s="98">
        <v>4</v>
      </c>
      <c r="AQ357" s="99"/>
      <c r="AR357" s="100">
        <f>IFERROR(AP357*AQ357*AS358,0)</f>
        <v>0</v>
      </c>
      <c r="AS357" s="55"/>
      <c r="AT357" s="167"/>
      <c r="AU357" s="165"/>
      <c r="AV357" s="168"/>
      <c r="AW357" s="169"/>
      <c r="AX357" s="94">
        <f t="shared" si="148"/>
        <v>0</v>
      </c>
      <c r="AY357" s="95">
        <f t="shared" si="149"/>
        <v>0</v>
      </c>
    </row>
    <row r="358" spans="1:51" ht="15" customHeight="1">
      <c r="A358" s="1001"/>
      <c r="B358" s="1001"/>
      <c r="C358" s="1023"/>
      <c r="D358" s="1023"/>
      <c r="E358" s="1023"/>
      <c r="F358" s="1024"/>
      <c r="G358" s="1024"/>
      <c r="H358" s="1001"/>
      <c r="I358" s="1001"/>
      <c r="J358" s="201"/>
      <c r="K358" s="201"/>
      <c r="L358" s="201"/>
      <c r="M358" s="201"/>
      <c r="N358" s="1025"/>
      <c r="O358" s="1002"/>
      <c r="P358" s="1001"/>
      <c r="Q358" s="1001"/>
      <c r="R358" s="1001"/>
      <c r="S358" s="1003"/>
      <c r="T358" s="1001"/>
      <c r="U358" s="1004"/>
      <c r="V358" s="1001"/>
      <c r="W358" s="1001"/>
      <c r="X358" s="1001"/>
      <c r="Y358" s="1001"/>
      <c r="Z358" s="1001"/>
      <c r="AA358" s="1004"/>
      <c r="AB358" s="1001"/>
      <c r="AC358" s="1001"/>
      <c r="AD358" s="1001"/>
      <c r="AE358" s="1001"/>
      <c r="AF358" s="1001"/>
      <c r="AG358" s="54"/>
      <c r="AH358" s="54"/>
      <c r="AK358" s="2"/>
      <c r="AL358" s="2"/>
      <c r="AM358" s="2"/>
      <c r="AN358" s="2"/>
      <c r="AO358" s="55"/>
      <c r="AP358" s="98">
        <v>3</v>
      </c>
      <c r="AQ358" s="109"/>
      <c r="AR358" s="100">
        <f>IFERROR(AP358*AQ358*AS358,0)</f>
        <v>0</v>
      </c>
      <c r="AS358" s="48">
        <f>IFERROR(AR359/((AP358*AQ358)+(AP357*AQ357)+(AP356*AQ356)+(AP355*AQ355)),0)</f>
        <v>0</v>
      </c>
    </row>
    <row r="359" spans="1:51" ht="15" customHeight="1" thickBot="1">
      <c r="A359" s="1001"/>
      <c r="B359" s="1001"/>
      <c r="C359" s="1023"/>
      <c r="D359" s="1023"/>
      <c r="E359" s="1023"/>
      <c r="F359" s="1024"/>
      <c r="G359" s="1024"/>
      <c r="H359" s="184"/>
      <c r="I359" s="190"/>
      <c r="J359" s="1026"/>
      <c r="K359" s="1026"/>
      <c r="L359" s="1026"/>
      <c r="M359" s="1026"/>
      <c r="N359" s="1013"/>
      <c r="O359" s="192"/>
      <c r="P359" s="1027"/>
      <c r="Q359" s="1027"/>
      <c r="R359" s="1027"/>
      <c r="S359" s="1027"/>
      <c r="T359" s="1018"/>
      <c r="U359" s="1018"/>
      <c r="V359" s="1027"/>
      <c r="W359" s="1027"/>
      <c r="X359" s="1027"/>
      <c r="Y359" s="1027"/>
      <c r="Z359" s="1001"/>
      <c r="AA359" s="1001"/>
      <c r="AB359" s="1001"/>
      <c r="AC359" s="1027"/>
      <c r="AD359" s="1027"/>
      <c r="AE359" s="1027"/>
      <c r="AF359" s="1027"/>
      <c r="AG359" s="54"/>
      <c r="AH359" s="54"/>
      <c r="AK359" s="154">
        <f>SUM(AK346:AK358)</f>
        <v>0</v>
      </c>
      <c r="AL359" s="154">
        <f>SUM(AL346:AL358)</f>
        <v>0</v>
      </c>
      <c r="AM359" s="154">
        <f>SUM(AM346:AM358)</f>
        <v>0</v>
      </c>
      <c r="AN359" s="154">
        <f>SUM(AN346:AN358)</f>
        <v>0</v>
      </c>
      <c r="AO359" s="55"/>
      <c r="AP359" s="111"/>
      <c r="AQ359" s="112"/>
      <c r="AR359" s="155"/>
      <c r="AS359" s="55"/>
    </row>
    <row r="360" spans="1:51" ht="15.75" customHeight="1">
      <c r="A360" s="1028"/>
      <c r="B360" s="1001"/>
      <c r="C360" s="1001"/>
      <c r="D360" s="1001"/>
      <c r="E360" s="1001"/>
      <c r="F360" s="1001"/>
      <c r="G360" s="1001"/>
      <c r="H360" s="1018"/>
      <c r="I360" s="190"/>
      <c r="J360" s="1026"/>
      <c r="K360" s="1026"/>
      <c r="L360" s="1026"/>
      <c r="M360" s="1026"/>
      <c r="N360" s="1013"/>
      <c r="O360" s="192"/>
      <c r="P360" s="1027"/>
      <c r="Q360" s="1027"/>
      <c r="R360" s="1027"/>
      <c r="S360" s="1027"/>
      <c r="T360" s="1029"/>
      <c r="U360" s="1030"/>
      <c r="V360" s="1027"/>
      <c r="W360" s="1027"/>
      <c r="X360" s="1027"/>
      <c r="Y360" s="1027"/>
      <c r="Z360" s="1031"/>
      <c r="AA360" s="1032"/>
      <c r="AB360" s="1033"/>
      <c r="AC360" s="1027"/>
      <c r="AD360" s="1027"/>
      <c r="AE360" s="1027"/>
      <c r="AF360" s="1027"/>
      <c r="AG360" s="54"/>
      <c r="AH360" s="1030"/>
      <c r="AK360" s="48"/>
      <c r="AL360" s="48"/>
      <c r="AM360" s="48"/>
      <c r="AN360" s="48"/>
      <c r="AO360" s="55"/>
      <c r="AP360" s="55"/>
      <c r="AQ360" s="55"/>
      <c r="AR360" s="157">
        <f>AR351+AR359</f>
        <v>0</v>
      </c>
      <c r="AS360" s="55"/>
    </row>
    <row r="361" spans="1:51" ht="19.5" customHeight="1" thickBot="1">
      <c r="A361" s="1007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007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  <c r="AC361" s="182"/>
      <c r="AD361" s="182"/>
      <c r="AE361" s="182"/>
      <c r="AF361" s="182"/>
      <c r="AG361" s="54"/>
      <c r="AH361" s="54"/>
      <c r="AK361" s="48"/>
      <c r="AL361" s="48"/>
      <c r="AM361" s="48"/>
      <c r="AN361" s="48"/>
      <c r="AO361" s="48"/>
      <c r="AP361" s="48"/>
      <c r="AQ361" s="48"/>
      <c r="AR361" s="48"/>
      <c r="AS361" s="48"/>
    </row>
    <row r="362" spans="1:51" ht="14.25" customHeight="1" thickBot="1">
      <c r="A362" s="1252"/>
      <c r="B362" s="1253"/>
      <c r="C362" s="1254"/>
      <c r="D362" s="1254"/>
      <c r="E362" s="1254"/>
      <c r="F362" s="1254"/>
      <c r="G362" s="1254"/>
      <c r="H362" s="1253"/>
      <c r="I362" s="1254"/>
      <c r="J362" s="1253"/>
      <c r="K362" s="1253"/>
      <c r="L362" s="1253"/>
      <c r="M362" s="1253"/>
      <c r="N362" s="1255"/>
      <c r="O362" s="1258"/>
      <c r="P362" s="1254"/>
      <c r="Q362" s="1254"/>
      <c r="R362" s="1254"/>
      <c r="S362" s="1254"/>
      <c r="T362" s="1259"/>
      <c r="U362" s="1258"/>
      <c r="V362" s="1254"/>
      <c r="W362" s="1254"/>
      <c r="X362" s="1254"/>
      <c r="Y362" s="1254"/>
      <c r="Z362" s="1259"/>
      <c r="AA362" s="1258"/>
      <c r="AB362" s="1258"/>
      <c r="AC362" s="1260"/>
      <c r="AD362" s="1260"/>
      <c r="AE362" s="1260"/>
      <c r="AF362" s="1260"/>
      <c r="AG362" s="1259"/>
      <c r="AH362" s="1258"/>
      <c r="AK362" s="1257" t="s">
        <v>37</v>
      </c>
      <c r="AL362" s="1257"/>
      <c r="AM362" s="1257"/>
      <c r="AN362" s="1257"/>
      <c r="AO362" s="55"/>
      <c r="AP362" s="1250" t="s">
        <v>7</v>
      </c>
      <c r="AQ362" s="1250"/>
      <c r="AR362" s="1250"/>
      <c r="AS362" s="55"/>
      <c r="AT362" s="1251" t="s">
        <v>38</v>
      </c>
      <c r="AU362" s="1251"/>
      <c r="AV362" s="1251"/>
      <c r="AW362" s="1251"/>
      <c r="AX362" s="94" t="s">
        <v>39</v>
      </c>
      <c r="AY362" s="95" t="s">
        <v>12</v>
      </c>
    </row>
    <row r="363" spans="1:51" ht="18" customHeight="1" thickBot="1">
      <c r="A363" s="1252"/>
      <c r="B363" s="1252"/>
      <c r="C363" s="186"/>
      <c r="D363" s="186"/>
      <c r="E363" s="186"/>
      <c r="F363" s="186"/>
      <c r="G363" s="186"/>
      <c r="H363" s="1253"/>
      <c r="I363" s="1254"/>
      <c r="J363" s="185"/>
      <c r="K363" s="185"/>
      <c r="L363" s="185"/>
      <c r="M363" s="185"/>
      <c r="N363" s="1255"/>
      <c r="O363" s="1258"/>
      <c r="P363" s="186"/>
      <c r="Q363" s="185"/>
      <c r="R363" s="1008"/>
      <c r="S363" s="185"/>
      <c r="T363" s="1259"/>
      <c r="U363" s="1259"/>
      <c r="V363" s="186"/>
      <c r="W363" s="185"/>
      <c r="X363" s="1008"/>
      <c r="Y363" s="185"/>
      <c r="Z363" s="1259"/>
      <c r="AA363" s="1259"/>
      <c r="AB363" s="1258"/>
      <c r="AC363" s="186"/>
      <c r="AD363" s="185"/>
      <c r="AE363" s="1008"/>
      <c r="AF363" s="185"/>
      <c r="AG363" s="1259"/>
      <c r="AH363" s="1258"/>
      <c r="AK363" s="162" t="s">
        <v>49</v>
      </c>
      <c r="AL363" s="162" t="s">
        <v>50</v>
      </c>
      <c r="AM363" s="162" t="s">
        <v>51</v>
      </c>
      <c r="AN363" s="162" t="s">
        <v>52</v>
      </c>
      <c r="AO363" s="73">
        <v>130</v>
      </c>
      <c r="AP363" s="1250"/>
      <c r="AQ363" s="1250"/>
      <c r="AR363" s="1250"/>
      <c r="AS363" s="55"/>
      <c r="AT363" s="164" t="s">
        <v>45</v>
      </c>
      <c r="AU363" s="165" t="s">
        <v>46</v>
      </c>
      <c r="AV363" s="166" t="s">
        <v>47</v>
      </c>
      <c r="AW363" s="161" t="s">
        <v>48</v>
      </c>
      <c r="AX363" s="94"/>
      <c r="AY363" s="95"/>
    </row>
    <row r="364" spans="1:51" ht="15" customHeight="1" thickBot="1">
      <c r="A364" s="1009"/>
      <c r="B364" s="1010"/>
      <c r="C364" s="1011"/>
      <c r="D364" s="1011"/>
      <c r="E364" s="1011"/>
      <c r="F364" s="1012"/>
      <c r="G364" s="1012"/>
      <c r="H364" s="184"/>
      <c r="I364" s="190"/>
      <c r="J364" s="1001"/>
      <c r="K364" s="1001"/>
      <c r="L364" s="186"/>
      <c r="M364" s="1001"/>
      <c r="N364" s="1013"/>
      <c r="O364" s="192"/>
      <c r="P364" s="1014"/>
      <c r="Q364" s="1014"/>
      <c r="R364" s="1001"/>
      <c r="S364" s="1014"/>
      <c r="T364" s="1013"/>
      <c r="U364" s="1015"/>
      <c r="V364" s="1014"/>
      <c r="W364" s="1014"/>
      <c r="X364" s="1001"/>
      <c r="Y364" s="1014"/>
      <c r="Z364" s="1013"/>
      <c r="AA364" s="1015"/>
      <c r="AB364" s="1015"/>
      <c r="AC364" s="194"/>
      <c r="AD364" s="194"/>
      <c r="AE364" s="194"/>
      <c r="AF364" s="194"/>
      <c r="AG364" s="1013"/>
      <c r="AH364" s="1015"/>
      <c r="AJ364" s="79" t="str">
        <f t="shared" ref="AJ364:AJ375" si="150">IF(H364=130,0.132335,IF(H364=100,0.0785,IF(H364=110,0.095,IF(H364=160,0.198005,""))))</f>
        <v/>
      </c>
      <c r="AK364" s="16" t="str">
        <f t="shared" ref="AK364:AK375" si="151">IFERROR(P364*3*AJ364,"")</f>
        <v/>
      </c>
      <c r="AL364" s="16" t="str">
        <f t="shared" ref="AL364:AL375" si="152">IFERROR(Q364*4*AJ364,"")</f>
        <v/>
      </c>
      <c r="AM364" s="16" t="str">
        <f t="shared" ref="AM364:AM375" si="153">IFERROR(R364*5*AJ364,"")</f>
        <v/>
      </c>
      <c r="AN364" s="16" t="str">
        <f t="shared" ref="AN364:AN375" si="154">IFERROR(S364*6*AJ364,"")</f>
        <v/>
      </c>
      <c r="AO364" s="55"/>
      <c r="AP364" s="1250"/>
      <c r="AQ364" s="1250"/>
      <c r="AR364" s="1250"/>
      <c r="AS364" s="55"/>
      <c r="AT364" s="167"/>
      <c r="AU364" s="167"/>
      <c r="AV364" s="168"/>
      <c r="AW364" s="169"/>
      <c r="AX364" s="94">
        <f t="shared" ref="AX364:AX375" si="155">AT364*3+AU364*4+AV364*5+AW364*6</f>
        <v>0</v>
      </c>
      <c r="AY364" s="95">
        <f t="shared" ref="AY364:AY375" si="156">AX364*I364</f>
        <v>0</v>
      </c>
    </row>
    <row r="365" spans="1:51" ht="15" customHeight="1">
      <c r="A365" s="1001"/>
      <c r="B365" s="1010"/>
      <c r="C365" s="1011"/>
      <c r="D365" s="1011"/>
      <c r="E365" s="1011"/>
      <c r="F365" s="1012"/>
      <c r="G365" s="1012"/>
      <c r="H365" s="184"/>
      <c r="I365" s="190"/>
      <c r="J365" s="1001"/>
      <c r="K365" s="1001"/>
      <c r="L365" s="186"/>
      <c r="M365" s="1001"/>
      <c r="N365" s="1013"/>
      <c r="O365" s="192"/>
      <c r="P365" s="1014"/>
      <c r="Q365" s="1014"/>
      <c r="R365" s="1001"/>
      <c r="S365" s="1014"/>
      <c r="T365" s="1013"/>
      <c r="U365" s="1015"/>
      <c r="V365" s="1014"/>
      <c r="W365" s="1014"/>
      <c r="X365" s="186"/>
      <c r="Y365" s="1014"/>
      <c r="Z365" s="1013"/>
      <c r="AA365" s="1015"/>
      <c r="AB365" s="1015"/>
      <c r="AC365" s="194"/>
      <c r="AD365" s="194"/>
      <c r="AE365" s="194"/>
      <c r="AF365" s="194"/>
      <c r="AG365" s="1013"/>
      <c r="AH365" s="1015"/>
      <c r="AJ365" s="79" t="str">
        <f t="shared" si="150"/>
        <v/>
      </c>
      <c r="AK365" s="16" t="str">
        <f t="shared" si="151"/>
        <v/>
      </c>
      <c r="AL365" s="16" t="str">
        <f t="shared" si="152"/>
        <v/>
      </c>
      <c r="AM365" s="16" t="str">
        <f t="shared" si="153"/>
        <v/>
      </c>
      <c r="AN365" s="16" t="str">
        <f t="shared" si="154"/>
        <v/>
      </c>
      <c r="AO365" s="55"/>
      <c r="AP365" s="98">
        <v>6</v>
      </c>
      <c r="AQ365" s="99"/>
      <c r="AR365" s="100">
        <f>IFERROR(AP365*AQ365*AS368,0)</f>
        <v>0</v>
      </c>
      <c r="AS365" s="55"/>
      <c r="AT365" s="167"/>
      <c r="AU365" s="167"/>
      <c r="AV365" s="164"/>
      <c r="AW365" s="169"/>
      <c r="AX365" s="94">
        <f t="shared" si="155"/>
        <v>0</v>
      </c>
      <c r="AY365" s="95">
        <f t="shared" si="156"/>
        <v>0</v>
      </c>
    </row>
    <row r="366" spans="1:51" ht="15" customHeight="1">
      <c r="A366" s="1001"/>
      <c r="B366" s="1010"/>
      <c r="C366" s="1016"/>
      <c r="D366" s="1016"/>
      <c r="E366" s="1016"/>
      <c r="F366" s="1017"/>
      <c r="G366" s="1017"/>
      <c r="H366" s="184"/>
      <c r="I366" s="190"/>
      <c r="J366" s="1001"/>
      <c r="K366" s="1001"/>
      <c r="L366" s="186"/>
      <c r="M366" s="1001"/>
      <c r="N366" s="1013"/>
      <c r="O366" s="192"/>
      <c r="P366" s="1014"/>
      <c r="Q366" s="1014"/>
      <c r="R366" s="1001"/>
      <c r="S366" s="1014"/>
      <c r="T366" s="1013"/>
      <c r="U366" s="1015"/>
      <c r="V366" s="1014"/>
      <c r="W366" s="1014"/>
      <c r="X366" s="1001"/>
      <c r="Y366" s="1014"/>
      <c r="Z366" s="1013"/>
      <c r="AA366" s="1015"/>
      <c r="AB366" s="1015"/>
      <c r="AC366" s="194"/>
      <c r="AD366" s="194"/>
      <c r="AE366" s="194"/>
      <c r="AF366" s="194"/>
      <c r="AG366" s="1013"/>
      <c r="AH366" s="1015"/>
      <c r="AJ366" s="79" t="str">
        <f t="shared" si="150"/>
        <v/>
      </c>
      <c r="AK366" s="16" t="str">
        <f t="shared" si="151"/>
        <v/>
      </c>
      <c r="AL366" s="16" t="str">
        <f t="shared" si="152"/>
        <v/>
      </c>
      <c r="AM366" s="16" t="str">
        <f t="shared" si="153"/>
        <v/>
      </c>
      <c r="AN366" s="16" t="str">
        <f t="shared" si="154"/>
        <v/>
      </c>
      <c r="AO366" s="55"/>
      <c r="AP366" s="98">
        <v>5</v>
      </c>
      <c r="AQ366" s="99"/>
      <c r="AR366" s="100">
        <f>IFERROR(AP366*AQ366*AS368,0)</f>
        <v>0</v>
      </c>
      <c r="AS366" s="104"/>
      <c r="AT366" s="167"/>
      <c r="AU366" s="167"/>
      <c r="AV366" s="164"/>
      <c r="AW366" s="169"/>
      <c r="AX366" s="94">
        <f t="shared" si="155"/>
        <v>0</v>
      </c>
      <c r="AY366" s="95">
        <f t="shared" si="156"/>
        <v>0</v>
      </c>
    </row>
    <row r="367" spans="1:51" ht="15" customHeight="1">
      <c r="A367" s="1001"/>
      <c r="B367" s="1010"/>
      <c r="C367" s="1011"/>
      <c r="D367" s="1011"/>
      <c r="E367" s="1011"/>
      <c r="F367" s="1012"/>
      <c r="G367" s="1012"/>
      <c r="H367" s="184"/>
      <c r="I367" s="190"/>
      <c r="J367" s="1001"/>
      <c r="K367" s="1001"/>
      <c r="L367" s="186"/>
      <c r="M367" s="1001"/>
      <c r="N367" s="1013"/>
      <c r="O367" s="192"/>
      <c r="P367" s="1014"/>
      <c r="Q367" s="1014"/>
      <c r="R367" s="1001"/>
      <c r="S367" s="1014"/>
      <c r="T367" s="1013"/>
      <c r="U367" s="1015"/>
      <c r="V367" s="1014"/>
      <c r="W367" s="1014"/>
      <c r="X367" s="1001"/>
      <c r="Y367" s="1014"/>
      <c r="Z367" s="1013"/>
      <c r="AA367" s="1015"/>
      <c r="AB367" s="1015"/>
      <c r="AC367" s="194"/>
      <c r="AD367" s="194"/>
      <c r="AE367" s="194"/>
      <c r="AF367" s="194"/>
      <c r="AG367" s="1013"/>
      <c r="AH367" s="1015"/>
      <c r="AJ367" s="79" t="str">
        <f t="shared" si="150"/>
        <v/>
      </c>
      <c r="AK367" s="16" t="str">
        <f t="shared" si="151"/>
        <v/>
      </c>
      <c r="AL367" s="16" t="str">
        <f t="shared" si="152"/>
        <v/>
      </c>
      <c r="AM367" s="16" t="str">
        <f t="shared" si="153"/>
        <v/>
      </c>
      <c r="AN367" s="16" t="str">
        <f t="shared" si="154"/>
        <v/>
      </c>
      <c r="AO367" s="55"/>
      <c r="AP367" s="98">
        <v>4</v>
      </c>
      <c r="AQ367" s="99"/>
      <c r="AR367" s="100">
        <f>IFERROR(AP367*AQ367*AS368,0)</f>
        <v>0</v>
      </c>
      <c r="AS367" s="104"/>
      <c r="AT367" s="167"/>
      <c r="AU367" s="167"/>
      <c r="AV367" s="168"/>
      <c r="AW367" s="169"/>
      <c r="AX367" s="94">
        <f t="shared" si="155"/>
        <v>0</v>
      </c>
      <c r="AY367" s="95">
        <f t="shared" si="156"/>
        <v>0</v>
      </c>
    </row>
    <row r="368" spans="1:51" ht="15" customHeight="1">
      <c r="A368" s="1001"/>
      <c r="B368" s="1010"/>
      <c r="C368" s="1011"/>
      <c r="D368" s="188"/>
      <c r="E368" s="1011"/>
      <c r="F368" s="1012"/>
      <c r="G368" s="1012"/>
      <c r="H368" s="184"/>
      <c r="I368" s="190"/>
      <c r="J368" s="1001"/>
      <c r="K368" s="1001"/>
      <c r="L368" s="186"/>
      <c r="M368" s="1001"/>
      <c r="N368" s="1013"/>
      <c r="O368" s="192"/>
      <c r="P368" s="1014"/>
      <c r="Q368" s="1014"/>
      <c r="R368" s="1001"/>
      <c r="S368" s="1014"/>
      <c r="T368" s="1013"/>
      <c r="U368" s="1015"/>
      <c r="V368" s="1014"/>
      <c r="W368" s="1014"/>
      <c r="X368" s="1001"/>
      <c r="Y368" s="1014"/>
      <c r="Z368" s="1013"/>
      <c r="AA368" s="1015"/>
      <c r="AB368" s="1015"/>
      <c r="AC368" s="194"/>
      <c r="AD368" s="194"/>
      <c r="AE368" s="194"/>
      <c r="AF368" s="194"/>
      <c r="AG368" s="1013"/>
      <c r="AH368" s="1015"/>
      <c r="AJ368" s="79" t="str">
        <f t="shared" si="150"/>
        <v/>
      </c>
      <c r="AK368" s="16" t="str">
        <f t="shared" si="151"/>
        <v/>
      </c>
      <c r="AL368" s="16" t="str">
        <f t="shared" si="152"/>
        <v/>
      </c>
      <c r="AM368" s="16" t="str">
        <f t="shared" si="153"/>
        <v/>
      </c>
      <c r="AN368" s="16" t="str">
        <f t="shared" si="154"/>
        <v/>
      </c>
      <c r="AO368" s="55"/>
      <c r="AP368" s="98">
        <v>3</v>
      </c>
      <c r="AQ368" s="109"/>
      <c r="AR368" s="100">
        <f>IFERROR(AP368*AQ368*AS368,0)</f>
        <v>0</v>
      </c>
      <c r="AS368" s="48">
        <f>IFERROR(AR369/((AP368*AQ368)+(AP367*AQ367)+(AP366*AQ366)+(AP365*AQ365)),0)</f>
        <v>0</v>
      </c>
      <c r="AT368" s="167"/>
      <c r="AU368" s="167"/>
      <c r="AV368" s="168"/>
      <c r="AW368" s="169"/>
      <c r="AX368" s="94">
        <f t="shared" si="155"/>
        <v>0</v>
      </c>
      <c r="AY368" s="95">
        <f t="shared" si="156"/>
        <v>0</v>
      </c>
    </row>
    <row r="369" spans="1:51" ht="14.25" customHeight="1" thickBot="1">
      <c r="A369" s="1001"/>
      <c r="B369" s="1010"/>
      <c r="C369" s="1011"/>
      <c r="D369" s="1011"/>
      <c r="E369" s="1011"/>
      <c r="F369" s="1012"/>
      <c r="G369" s="1012"/>
      <c r="H369" s="184"/>
      <c r="I369" s="190"/>
      <c r="J369" s="1001"/>
      <c r="K369" s="1001"/>
      <c r="L369" s="186"/>
      <c r="M369" s="1001"/>
      <c r="N369" s="1013"/>
      <c r="O369" s="192"/>
      <c r="P369" s="185"/>
      <c r="Q369" s="1014"/>
      <c r="R369" s="1001"/>
      <c r="S369" s="1014"/>
      <c r="T369" s="1013"/>
      <c r="U369" s="1015"/>
      <c r="V369" s="185"/>
      <c r="W369" s="1014"/>
      <c r="X369" s="1001"/>
      <c r="Y369" s="1014"/>
      <c r="Z369" s="1013"/>
      <c r="AA369" s="1015"/>
      <c r="AB369" s="1015"/>
      <c r="AC369" s="194"/>
      <c r="AD369" s="194"/>
      <c r="AE369" s="194"/>
      <c r="AF369" s="194"/>
      <c r="AG369" s="1013"/>
      <c r="AH369" s="1015"/>
      <c r="AJ369" s="79" t="str">
        <f t="shared" si="150"/>
        <v/>
      </c>
      <c r="AK369" s="16" t="str">
        <f t="shared" si="151"/>
        <v/>
      </c>
      <c r="AL369" s="16" t="str">
        <f t="shared" si="152"/>
        <v/>
      </c>
      <c r="AM369" s="16" t="str">
        <f t="shared" si="153"/>
        <v/>
      </c>
      <c r="AN369" s="16" t="str">
        <f t="shared" si="154"/>
        <v/>
      </c>
      <c r="AO369" s="55"/>
      <c r="AP369" s="111"/>
      <c r="AQ369" s="112"/>
      <c r="AR369" s="113"/>
      <c r="AS369" s="104"/>
      <c r="AT369" s="167"/>
      <c r="AU369" s="167"/>
      <c r="AV369" s="168"/>
      <c r="AW369" s="169"/>
      <c r="AX369" s="94">
        <f t="shared" si="155"/>
        <v>0</v>
      </c>
      <c r="AY369" s="95">
        <f t="shared" si="156"/>
        <v>0</v>
      </c>
    </row>
    <row r="370" spans="1:51" ht="14.25" customHeight="1" thickBot="1">
      <c r="A370" s="1001"/>
      <c r="B370" s="1010"/>
      <c r="C370" s="1011"/>
      <c r="D370" s="1011"/>
      <c r="E370" s="1011"/>
      <c r="F370" s="1012"/>
      <c r="G370" s="1012"/>
      <c r="H370" s="184"/>
      <c r="I370" s="190"/>
      <c r="J370" s="1001"/>
      <c r="K370" s="1001"/>
      <c r="L370" s="186"/>
      <c r="M370" s="1001"/>
      <c r="N370" s="1013"/>
      <c r="O370" s="192"/>
      <c r="P370" s="1014"/>
      <c r="Q370" s="1014"/>
      <c r="R370" s="1001"/>
      <c r="S370" s="1014"/>
      <c r="T370" s="1013"/>
      <c r="U370" s="1015"/>
      <c r="V370" s="1014"/>
      <c r="W370" s="1014"/>
      <c r="X370" s="1001"/>
      <c r="Y370" s="1014"/>
      <c r="Z370" s="1013"/>
      <c r="AA370" s="1015"/>
      <c r="AB370" s="1015"/>
      <c r="AC370" s="194"/>
      <c r="AD370" s="194"/>
      <c r="AE370" s="194"/>
      <c r="AF370" s="194"/>
      <c r="AG370" s="1013"/>
      <c r="AH370" s="1015"/>
      <c r="AJ370" s="79" t="str">
        <f t="shared" si="150"/>
        <v/>
      </c>
      <c r="AK370" s="16" t="str">
        <f t="shared" si="151"/>
        <v/>
      </c>
      <c r="AL370" s="16" t="str">
        <f t="shared" si="152"/>
        <v/>
      </c>
      <c r="AM370" s="16" t="str">
        <f t="shared" si="153"/>
        <v/>
      </c>
      <c r="AN370" s="16" t="str">
        <f t="shared" si="154"/>
        <v/>
      </c>
      <c r="AO370" s="55"/>
      <c r="AP370" s="1250" t="s">
        <v>7</v>
      </c>
      <c r="AQ370" s="1250"/>
      <c r="AR370" s="1250"/>
      <c r="AS370" s="104"/>
      <c r="AT370" s="167"/>
      <c r="AU370" s="167"/>
      <c r="AV370" s="168"/>
      <c r="AW370" s="169"/>
      <c r="AX370" s="94">
        <f t="shared" si="155"/>
        <v>0</v>
      </c>
      <c r="AY370" s="95">
        <f t="shared" si="156"/>
        <v>0</v>
      </c>
    </row>
    <row r="371" spans="1:51" ht="15" customHeight="1" thickBot="1">
      <c r="A371" s="1001"/>
      <c r="B371" s="1010"/>
      <c r="C371" s="1011"/>
      <c r="D371" s="1011"/>
      <c r="E371" s="1011"/>
      <c r="F371" s="1012"/>
      <c r="G371" s="1012"/>
      <c r="H371" s="184"/>
      <c r="I371" s="190"/>
      <c r="J371" s="1001"/>
      <c r="K371" s="1001"/>
      <c r="L371" s="186"/>
      <c r="M371" s="1001"/>
      <c r="N371" s="1013"/>
      <c r="O371" s="192"/>
      <c r="P371" s="1014"/>
      <c r="Q371" s="1014"/>
      <c r="R371" s="1001"/>
      <c r="S371" s="1014"/>
      <c r="T371" s="1013"/>
      <c r="U371" s="1015"/>
      <c r="V371" s="1014"/>
      <c r="W371" s="185"/>
      <c r="X371" s="1001"/>
      <c r="Y371" s="1014"/>
      <c r="Z371" s="1013"/>
      <c r="AA371" s="1015"/>
      <c r="AB371" s="1015"/>
      <c r="AC371" s="194"/>
      <c r="AD371" s="194"/>
      <c r="AE371" s="194"/>
      <c r="AF371" s="194"/>
      <c r="AG371" s="1013"/>
      <c r="AH371" s="1015"/>
      <c r="AJ371" s="79" t="str">
        <f t="shared" si="150"/>
        <v/>
      </c>
      <c r="AK371" s="16" t="str">
        <f t="shared" si="151"/>
        <v/>
      </c>
      <c r="AL371" s="16" t="str">
        <f t="shared" si="152"/>
        <v/>
      </c>
      <c r="AM371" s="16" t="str">
        <f t="shared" si="153"/>
        <v/>
      </c>
      <c r="AN371" s="16" t="str">
        <f t="shared" si="154"/>
        <v/>
      </c>
      <c r="AO371" s="73">
        <v>160</v>
      </c>
      <c r="AP371" s="1250"/>
      <c r="AQ371" s="1250"/>
      <c r="AR371" s="1250"/>
      <c r="AS371" s="55"/>
      <c r="AT371" s="167"/>
      <c r="AU371" s="167"/>
      <c r="AV371" s="168"/>
      <c r="AW371" s="169"/>
      <c r="AX371" s="94">
        <f t="shared" si="155"/>
        <v>0</v>
      </c>
      <c r="AY371" s="95">
        <f t="shared" si="156"/>
        <v>0</v>
      </c>
    </row>
    <row r="372" spans="1:51" ht="15" customHeight="1" thickBot="1">
      <c r="A372" s="1001"/>
      <c r="B372" s="1010"/>
      <c r="C372" s="1011"/>
      <c r="D372" s="1011"/>
      <c r="E372" s="1011"/>
      <c r="F372" s="1012"/>
      <c r="G372" s="1012"/>
      <c r="H372" s="184"/>
      <c r="I372" s="190"/>
      <c r="J372" s="1001"/>
      <c r="K372" s="1001"/>
      <c r="L372" s="186"/>
      <c r="M372" s="1001"/>
      <c r="N372" s="1013"/>
      <c r="O372" s="192"/>
      <c r="P372" s="1014"/>
      <c r="Q372" s="185"/>
      <c r="R372" s="1018"/>
      <c r="S372" s="1014"/>
      <c r="T372" s="1013"/>
      <c r="U372" s="1015"/>
      <c r="V372" s="1014"/>
      <c r="W372" s="185"/>
      <c r="X372" s="1001"/>
      <c r="Y372" s="1014"/>
      <c r="Z372" s="1013"/>
      <c r="AA372" s="1015"/>
      <c r="AB372" s="1015"/>
      <c r="AC372" s="194"/>
      <c r="AD372" s="194"/>
      <c r="AE372" s="194"/>
      <c r="AF372" s="194"/>
      <c r="AG372" s="1013"/>
      <c r="AH372" s="1015"/>
      <c r="AJ372" s="79" t="str">
        <f t="shared" si="150"/>
        <v/>
      </c>
      <c r="AK372" s="16" t="str">
        <f t="shared" si="151"/>
        <v/>
      </c>
      <c r="AL372" s="16" t="str">
        <f t="shared" si="152"/>
        <v/>
      </c>
      <c r="AM372" s="16" t="str">
        <f t="shared" si="153"/>
        <v/>
      </c>
      <c r="AN372" s="16" t="str">
        <f t="shared" si="154"/>
        <v/>
      </c>
      <c r="AO372" s="55"/>
      <c r="AP372" s="1250"/>
      <c r="AQ372" s="1250"/>
      <c r="AR372" s="1250"/>
      <c r="AS372" s="55"/>
      <c r="AT372" s="167"/>
      <c r="AU372" s="167"/>
      <c r="AV372" s="168"/>
      <c r="AW372" s="169"/>
      <c r="AX372" s="94">
        <f t="shared" si="155"/>
        <v>0</v>
      </c>
      <c r="AY372" s="95">
        <f t="shared" si="156"/>
        <v>0</v>
      </c>
    </row>
    <row r="373" spans="1:51" ht="16.5" customHeight="1">
      <c r="A373" s="1001"/>
      <c r="B373" s="1010"/>
      <c r="C373" s="1011"/>
      <c r="D373" s="1011"/>
      <c r="E373" s="1011"/>
      <c r="F373" s="1012"/>
      <c r="G373" s="1012"/>
      <c r="H373" s="184"/>
      <c r="I373" s="190"/>
      <c r="J373" s="1001"/>
      <c r="K373" s="1001"/>
      <c r="L373" s="186"/>
      <c r="M373" s="1001"/>
      <c r="N373" s="1013"/>
      <c r="O373" s="192"/>
      <c r="P373" s="1014"/>
      <c r="Q373" s="185"/>
      <c r="R373" s="1014"/>
      <c r="S373" s="1014"/>
      <c r="T373" s="1013"/>
      <c r="U373" s="1015"/>
      <c r="V373" s="1014"/>
      <c r="W373" s="185"/>
      <c r="X373" s="1001"/>
      <c r="Y373" s="1014"/>
      <c r="Z373" s="1013"/>
      <c r="AA373" s="1015"/>
      <c r="AB373" s="1015"/>
      <c r="AC373" s="194"/>
      <c r="AD373" s="194"/>
      <c r="AE373" s="194"/>
      <c r="AF373" s="194"/>
      <c r="AG373" s="1013"/>
      <c r="AH373" s="1015"/>
      <c r="AJ373" s="79" t="str">
        <f t="shared" si="150"/>
        <v/>
      </c>
      <c r="AK373" s="16" t="str">
        <f t="shared" si="151"/>
        <v/>
      </c>
      <c r="AL373" s="16" t="str">
        <f t="shared" si="152"/>
        <v/>
      </c>
      <c r="AM373" s="16" t="str">
        <f t="shared" si="153"/>
        <v/>
      </c>
      <c r="AN373" s="16" t="str">
        <f t="shared" si="154"/>
        <v/>
      </c>
      <c r="AO373" s="55"/>
      <c r="AP373" s="117">
        <v>6</v>
      </c>
      <c r="AQ373" s="118"/>
      <c r="AR373" s="100">
        <f>IFERROR(AP373*AQ373*AS376,0)</f>
        <v>0</v>
      </c>
      <c r="AS373" s="55"/>
      <c r="AT373" s="167"/>
      <c r="AU373" s="167"/>
      <c r="AV373" s="168"/>
      <c r="AW373" s="169"/>
      <c r="AX373" s="94">
        <f t="shared" si="155"/>
        <v>0</v>
      </c>
      <c r="AY373" s="95">
        <f t="shared" si="156"/>
        <v>0</v>
      </c>
    </row>
    <row r="374" spans="1:51" ht="16.5" customHeight="1">
      <c r="A374" s="1001"/>
      <c r="B374" s="1010"/>
      <c r="C374" s="1011"/>
      <c r="D374" s="1011"/>
      <c r="E374" s="1011"/>
      <c r="F374" s="1012"/>
      <c r="G374" s="1012"/>
      <c r="H374" s="184"/>
      <c r="I374" s="190"/>
      <c r="J374" s="1001"/>
      <c r="K374" s="1001"/>
      <c r="L374" s="186"/>
      <c r="M374" s="1001"/>
      <c r="N374" s="1013"/>
      <c r="O374" s="192"/>
      <c r="P374" s="1014"/>
      <c r="Q374" s="184"/>
      <c r="R374" s="1018"/>
      <c r="S374" s="1019"/>
      <c r="T374" s="1013"/>
      <c r="U374" s="1015"/>
      <c r="V374" s="1014"/>
      <c r="W374" s="185"/>
      <c r="X374" s="1001"/>
      <c r="Y374" s="1014"/>
      <c r="Z374" s="1013"/>
      <c r="AA374" s="1015"/>
      <c r="AB374" s="1015"/>
      <c r="AC374" s="194"/>
      <c r="AD374" s="194"/>
      <c r="AE374" s="194"/>
      <c r="AF374" s="194"/>
      <c r="AG374" s="1013"/>
      <c r="AH374" s="1015"/>
      <c r="AJ374" s="79" t="str">
        <f t="shared" si="150"/>
        <v/>
      </c>
      <c r="AK374" s="16" t="str">
        <f t="shared" si="151"/>
        <v/>
      </c>
      <c r="AL374" s="16" t="str">
        <f t="shared" si="152"/>
        <v/>
      </c>
      <c r="AM374" s="16" t="str">
        <f t="shared" si="153"/>
        <v/>
      </c>
      <c r="AN374" s="16" t="str">
        <f t="shared" si="154"/>
        <v/>
      </c>
      <c r="AO374" s="55"/>
      <c r="AP374" s="98">
        <v>5</v>
      </c>
      <c r="AQ374" s="99"/>
      <c r="AR374" s="100">
        <f>IFERROR(AP374*AQ374*AS376,0)</f>
        <v>0</v>
      </c>
      <c r="AS374" s="55"/>
      <c r="AT374" s="177"/>
      <c r="AU374" s="178"/>
      <c r="AV374" s="177"/>
      <c r="AW374" s="179"/>
      <c r="AX374" s="94">
        <f t="shared" si="155"/>
        <v>0</v>
      </c>
      <c r="AY374" s="95">
        <f t="shared" si="156"/>
        <v>0</v>
      </c>
    </row>
    <row r="375" spans="1:51" ht="15.75" customHeight="1">
      <c r="A375" s="1001"/>
      <c r="B375" s="1010"/>
      <c r="C375" s="1020"/>
      <c r="D375" s="1021"/>
      <c r="E375" s="1020"/>
      <c r="F375" s="1022"/>
      <c r="G375" s="1022"/>
      <c r="H375" s="184"/>
      <c r="I375" s="190"/>
      <c r="J375" s="1001"/>
      <c r="K375" s="1001"/>
      <c r="L375" s="186"/>
      <c r="M375" s="1001"/>
      <c r="N375" s="1013"/>
      <c r="O375" s="192"/>
      <c r="P375" s="1019"/>
      <c r="Q375" s="184"/>
      <c r="R375" s="1018"/>
      <c r="S375" s="1019"/>
      <c r="T375" s="1013"/>
      <c r="U375" s="1015"/>
      <c r="V375" s="1014"/>
      <c r="W375" s="185"/>
      <c r="X375" s="1001"/>
      <c r="Y375" s="1014"/>
      <c r="Z375" s="1013"/>
      <c r="AA375" s="1015"/>
      <c r="AB375" s="1015"/>
      <c r="AC375" s="194"/>
      <c r="AD375" s="194"/>
      <c r="AE375" s="194"/>
      <c r="AF375" s="194"/>
      <c r="AG375" s="1013"/>
      <c r="AH375" s="1015"/>
      <c r="AJ375" s="79" t="str">
        <f t="shared" si="150"/>
        <v/>
      </c>
      <c r="AK375" s="16" t="str">
        <f t="shared" si="151"/>
        <v/>
      </c>
      <c r="AL375" s="16" t="str">
        <f t="shared" si="152"/>
        <v/>
      </c>
      <c r="AM375" s="16" t="str">
        <f t="shared" si="153"/>
        <v/>
      </c>
      <c r="AN375" s="16" t="str">
        <f t="shared" si="154"/>
        <v/>
      </c>
      <c r="AO375" s="104"/>
      <c r="AP375" s="98">
        <v>4</v>
      </c>
      <c r="AQ375" s="99"/>
      <c r="AR375" s="100">
        <f>IFERROR(AP375*AQ375*AS376,0)</f>
        <v>0</v>
      </c>
      <c r="AS375" s="55"/>
      <c r="AT375" s="167"/>
      <c r="AU375" s="165"/>
      <c r="AV375" s="168"/>
      <c r="AW375" s="169"/>
      <c r="AX375" s="94">
        <f t="shared" si="155"/>
        <v>0</v>
      </c>
      <c r="AY375" s="95">
        <f t="shared" si="156"/>
        <v>0</v>
      </c>
    </row>
    <row r="376" spans="1:51" ht="15" customHeight="1">
      <c r="A376" s="1001"/>
      <c r="B376" s="1001"/>
      <c r="C376" s="1023"/>
      <c r="D376" s="1023"/>
      <c r="E376" s="1023"/>
      <c r="F376" s="1024"/>
      <c r="G376" s="1024"/>
      <c r="H376" s="1001"/>
      <c r="I376" s="1001"/>
      <c r="J376" s="201"/>
      <c r="K376" s="201"/>
      <c r="L376" s="201"/>
      <c r="M376" s="201"/>
      <c r="N376" s="1025"/>
      <c r="O376" s="1002"/>
      <c r="P376" s="1001"/>
      <c r="Q376" s="1001"/>
      <c r="R376" s="1001"/>
      <c r="S376" s="1003"/>
      <c r="T376" s="1001"/>
      <c r="U376" s="1004"/>
      <c r="V376" s="1001"/>
      <c r="W376" s="1001"/>
      <c r="X376" s="1001"/>
      <c r="Y376" s="1001"/>
      <c r="Z376" s="1001"/>
      <c r="AA376" s="1004"/>
      <c r="AB376" s="1001"/>
      <c r="AC376" s="1001"/>
      <c r="AD376" s="1001"/>
      <c r="AE376" s="1001"/>
      <c r="AF376" s="1001"/>
      <c r="AG376" s="54"/>
      <c r="AH376" s="54"/>
      <c r="AK376" s="2"/>
      <c r="AL376" s="2"/>
      <c r="AM376" s="2"/>
      <c r="AN376" s="2"/>
      <c r="AO376" s="55"/>
      <c r="AP376" s="98">
        <v>3</v>
      </c>
      <c r="AQ376" s="109"/>
      <c r="AR376" s="100">
        <f>IFERROR(AP376*AQ376*AS376,0)</f>
        <v>0</v>
      </c>
      <c r="AS376" s="48">
        <f>IFERROR(AR377/((AP376*AQ376)+(AP375*AQ375)+(AP374*AQ374)+(AP373*AQ373)),0)</f>
        <v>0</v>
      </c>
    </row>
    <row r="377" spans="1:51" ht="15.75" customHeight="1" thickBot="1">
      <c r="A377" s="1001"/>
      <c r="B377" s="1001"/>
      <c r="C377" s="1023"/>
      <c r="D377" s="1023"/>
      <c r="E377" s="1023"/>
      <c r="F377" s="1024"/>
      <c r="G377" s="1024"/>
      <c r="H377" s="184"/>
      <c r="I377" s="190"/>
      <c r="J377" s="1026"/>
      <c r="K377" s="1026"/>
      <c r="L377" s="1026"/>
      <c r="M377" s="1026"/>
      <c r="N377" s="1013"/>
      <c r="O377" s="192"/>
      <c r="P377" s="1027"/>
      <c r="Q377" s="1027"/>
      <c r="R377" s="1027"/>
      <c r="S377" s="1027"/>
      <c r="T377" s="1018"/>
      <c r="U377" s="1018"/>
      <c r="V377" s="1027"/>
      <c r="W377" s="1027"/>
      <c r="X377" s="1027"/>
      <c r="Y377" s="1027"/>
      <c r="Z377" s="1001"/>
      <c r="AA377" s="1001"/>
      <c r="AB377" s="1001"/>
      <c r="AC377" s="1027"/>
      <c r="AD377" s="1027"/>
      <c r="AE377" s="1027"/>
      <c r="AF377" s="1027"/>
      <c r="AG377" s="54"/>
      <c r="AH377" s="54"/>
      <c r="AK377" s="154">
        <f>SUM(AK364:AK376)</f>
        <v>0</v>
      </c>
      <c r="AL377" s="154">
        <f>SUM(AL364:AL376)</f>
        <v>0</v>
      </c>
      <c r="AM377" s="154">
        <f>SUM(AM364:AM376)</f>
        <v>0</v>
      </c>
      <c r="AN377" s="154">
        <f>SUM(AN364:AN376)</f>
        <v>0</v>
      </c>
      <c r="AO377" s="55"/>
      <c r="AP377" s="111"/>
      <c r="AQ377" s="112"/>
      <c r="AR377" s="155"/>
      <c r="AS377" s="55"/>
    </row>
    <row r="378" spans="1:51" ht="15.75" customHeight="1">
      <c r="A378" s="1028"/>
      <c r="B378" s="1001"/>
      <c r="C378" s="1001"/>
      <c r="D378" s="1001"/>
      <c r="E378" s="1001"/>
      <c r="F378" s="1001"/>
      <c r="G378" s="1001"/>
      <c r="H378" s="1018"/>
      <c r="I378" s="190"/>
      <c r="J378" s="1026"/>
      <c r="K378" s="1026"/>
      <c r="L378" s="1026"/>
      <c r="M378" s="1026"/>
      <c r="N378" s="1013"/>
      <c r="O378" s="192"/>
      <c r="P378" s="1027"/>
      <c r="Q378" s="1027"/>
      <c r="R378" s="1027"/>
      <c r="S378" s="1027"/>
      <c r="T378" s="1029"/>
      <c r="U378" s="1030"/>
      <c r="V378" s="1027"/>
      <c r="W378" s="1027"/>
      <c r="X378" s="1027"/>
      <c r="Y378" s="1027"/>
      <c r="Z378" s="1031"/>
      <c r="AA378" s="1032"/>
      <c r="AB378" s="1033"/>
      <c r="AC378" s="1027"/>
      <c r="AD378" s="1027"/>
      <c r="AE378" s="1027"/>
      <c r="AF378" s="1027"/>
      <c r="AG378" s="54"/>
      <c r="AH378" s="1030"/>
      <c r="AK378" s="48"/>
      <c r="AL378" s="48"/>
      <c r="AM378" s="48"/>
      <c r="AN378" s="48"/>
      <c r="AO378" s="55"/>
      <c r="AP378" s="55"/>
      <c r="AQ378" s="55"/>
      <c r="AR378" s="157">
        <f>AR369+AR377</f>
        <v>0</v>
      </c>
      <c r="AS378" s="55"/>
    </row>
    <row r="379" spans="1:51" ht="19.5" customHeight="1" thickBot="1">
      <c r="A379" s="1007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007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  <c r="AC379" s="182"/>
      <c r="AD379" s="182"/>
      <c r="AE379" s="182"/>
      <c r="AF379" s="182"/>
      <c r="AG379" s="54"/>
      <c r="AH379" s="54"/>
      <c r="AK379" s="48"/>
      <c r="AL379" s="48"/>
      <c r="AM379" s="48"/>
      <c r="AN379" s="48"/>
      <c r="AO379" s="48"/>
      <c r="AP379" s="48"/>
      <c r="AQ379" s="48"/>
      <c r="AR379" s="48"/>
      <c r="AS379" s="48"/>
    </row>
    <row r="380" spans="1:51" ht="14.25" customHeight="1" thickBot="1">
      <c r="A380" s="1252"/>
      <c r="B380" s="1253"/>
      <c r="C380" s="1254"/>
      <c r="D380" s="1254"/>
      <c r="E380" s="1254"/>
      <c r="F380" s="1254"/>
      <c r="G380" s="1254"/>
      <c r="H380" s="1253"/>
      <c r="I380" s="1254"/>
      <c r="J380" s="1253"/>
      <c r="K380" s="1253"/>
      <c r="L380" s="1253"/>
      <c r="M380" s="1253"/>
      <c r="N380" s="1255"/>
      <c r="O380" s="1258"/>
      <c r="P380" s="1254"/>
      <c r="Q380" s="1254"/>
      <c r="R380" s="1254"/>
      <c r="S380" s="1254"/>
      <c r="T380" s="1259"/>
      <c r="U380" s="1258"/>
      <c r="V380" s="1254"/>
      <c r="W380" s="1254"/>
      <c r="X380" s="1254"/>
      <c r="Y380" s="1254"/>
      <c r="Z380" s="1259"/>
      <c r="AA380" s="1258"/>
      <c r="AB380" s="1258"/>
      <c r="AC380" s="1260"/>
      <c r="AD380" s="1260"/>
      <c r="AE380" s="1260"/>
      <c r="AF380" s="1260"/>
      <c r="AG380" s="1259"/>
      <c r="AH380" s="1258"/>
      <c r="AK380" s="1257" t="s">
        <v>37</v>
      </c>
      <c r="AL380" s="1257"/>
      <c r="AM380" s="1257"/>
      <c r="AN380" s="1257"/>
      <c r="AO380" s="55"/>
      <c r="AP380" s="1250" t="s">
        <v>7</v>
      </c>
      <c r="AQ380" s="1250"/>
      <c r="AR380" s="1250"/>
      <c r="AS380" s="55"/>
      <c r="AT380" s="1251" t="s">
        <v>38</v>
      </c>
      <c r="AU380" s="1251"/>
      <c r="AV380" s="1251"/>
      <c r="AW380" s="1251"/>
      <c r="AX380" s="94" t="s">
        <v>39</v>
      </c>
      <c r="AY380" s="95" t="s">
        <v>12</v>
      </c>
    </row>
    <row r="381" spans="1:51" ht="18" customHeight="1" thickBot="1">
      <c r="A381" s="1252"/>
      <c r="B381" s="1252"/>
      <c r="C381" s="186"/>
      <c r="D381" s="186"/>
      <c r="E381" s="186"/>
      <c r="F381" s="186"/>
      <c r="G381" s="186"/>
      <c r="H381" s="1253"/>
      <c r="I381" s="1254"/>
      <c r="J381" s="185"/>
      <c r="K381" s="185"/>
      <c r="L381" s="185"/>
      <c r="M381" s="185"/>
      <c r="N381" s="1255"/>
      <c r="O381" s="1258"/>
      <c r="P381" s="186"/>
      <c r="Q381" s="185"/>
      <c r="R381" s="1008"/>
      <c r="S381" s="185"/>
      <c r="T381" s="1259"/>
      <c r="U381" s="1259"/>
      <c r="V381" s="186"/>
      <c r="W381" s="185"/>
      <c r="X381" s="1008"/>
      <c r="Y381" s="185"/>
      <c r="Z381" s="1259"/>
      <c r="AA381" s="1259"/>
      <c r="AB381" s="1258"/>
      <c r="AC381" s="186"/>
      <c r="AD381" s="185"/>
      <c r="AE381" s="1008"/>
      <c r="AF381" s="185"/>
      <c r="AG381" s="1259"/>
      <c r="AH381" s="1258"/>
      <c r="AK381" s="162" t="s">
        <v>49</v>
      </c>
      <c r="AL381" s="162" t="s">
        <v>50</v>
      </c>
      <c r="AM381" s="162" t="s">
        <v>51</v>
      </c>
      <c r="AN381" s="162" t="s">
        <v>52</v>
      </c>
      <c r="AO381" s="73">
        <v>130</v>
      </c>
      <c r="AP381" s="1250"/>
      <c r="AQ381" s="1250"/>
      <c r="AR381" s="1250"/>
      <c r="AS381" s="55"/>
      <c r="AT381" s="164" t="s">
        <v>45</v>
      </c>
      <c r="AU381" s="165" t="s">
        <v>46</v>
      </c>
      <c r="AV381" s="166" t="s">
        <v>47</v>
      </c>
      <c r="AW381" s="161" t="s">
        <v>48</v>
      </c>
      <c r="AX381" s="94"/>
      <c r="AY381" s="95"/>
    </row>
    <row r="382" spans="1:51" ht="15" customHeight="1" thickBot="1">
      <c r="A382" s="1009"/>
      <c r="B382" s="1010"/>
      <c r="C382" s="1011"/>
      <c r="D382" s="1011"/>
      <c r="E382" s="1011"/>
      <c r="F382" s="1012"/>
      <c r="G382" s="1012"/>
      <c r="H382" s="184"/>
      <c r="I382" s="190"/>
      <c r="J382" s="1001"/>
      <c r="K382" s="1001"/>
      <c r="L382" s="186"/>
      <c r="M382" s="1001"/>
      <c r="N382" s="1013"/>
      <c r="O382" s="192"/>
      <c r="P382" s="1014"/>
      <c r="Q382" s="1014"/>
      <c r="R382" s="1001"/>
      <c r="S382" s="1014"/>
      <c r="T382" s="1013"/>
      <c r="U382" s="1015"/>
      <c r="V382" s="1014"/>
      <c r="W382" s="1014"/>
      <c r="X382" s="1001"/>
      <c r="Y382" s="1014"/>
      <c r="Z382" s="1013"/>
      <c r="AA382" s="1015"/>
      <c r="AB382" s="1015"/>
      <c r="AC382" s="194"/>
      <c r="AD382" s="194"/>
      <c r="AE382" s="194"/>
      <c r="AF382" s="194"/>
      <c r="AG382" s="1013"/>
      <c r="AH382" s="1015"/>
      <c r="AJ382" s="79" t="str">
        <f t="shared" ref="AJ382:AJ393" si="157">IF(H382=130,0.132335,IF(H382=100,0.0785,IF(H382=110,0.095,IF(H382=160,0.198005,""))))</f>
        <v/>
      </c>
      <c r="AK382" s="16" t="str">
        <f t="shared" ref="AK382:AK393" si="158">IFERROR(P382*3*AJ382,"")</f>
        <v/>
      </c>
      <c r="AL382" s="16" t="str">
        <f t="shared" ref="AL382:AL393" si="159">IFERROR(Q382*4*AJ382,"")</f>
        <v/>
      </c>
      <c r="AM382" s="16" t="str">
        <f t="shared" ref="AM382:AM393" si="160">IFERROR(R382*5*AJ382,"")</f>
        <v/>
      </c>
      <c r="AN382" s="16" t="str">
        <f t="shared" ref="AN382:AN393" si="161">IFERROR(S382*6*AJ382,"")</f>
        <v/>
      </c>
      <c r="AO382" s="55"/>
      <c r="AP382" s="1250"/>
      <c r="AQ382" s="1250"/>
      <c r="AR382" s="1250"/>
      <c r="AS382" s="55"/>
      <c r="AT382" s="167"/>
      <c r="AU382" s="167"/>
      <c r="AV382" s="168"/>
      <c r="AW382" s="169"/>
      <c r="AX382" s="94">
        <f t="shared" ref="AX382:AX393" si="162">AT382*3+AU382*4+AV382*5+AW382*6</f>
        <v>0</v>
      </c>
      <c r="AY382" s="95">
        <f t="shared" ref="AY382:AY393" si="163">AX382*I382</f>
        <v>0</v>
      </c>
    </row>
    <row r="383" spans="1:51" ht="15" customHeight="1">
      <c r="A383" s="1001"/>
      <c r="B383" s="1010"/>
      <c r="C383" s="1011"/>
      <c r="D383" s="1011"/>
      <c r="E383" s="1011"/>
      <c r="F383" s="1012"/>
      <c r="G383" s="1012"/>
      <c r="H383" s="184"/>
      <c r="I383" s="190"/>
      <c r="J383" s="1001"/>
      <c r="K383" s="1001"/>
      <c r="L383" s="186"/>
      <c r="M383" s="1001"/>
      <c r="N383" s="1013"/>
      <c r="O383" s="192"/>
      <c r="P383" s="1014"/>
      <c r="Q383" s="1014"/>
      <c r="R383" s="1001"/>
      <c r="S383" s="1014"/>
      <c r="T383" s="1013"/>
      <c r="U383" s="1015"/>
      <c r="V383" s="1014"/>
      <c r="W383" s="1014"/>
      <c r="X383" s="186"/>
      <c r="Y383" s="1014"/>
      <c r="Z383" s="1013"/>
      <c r="AA383" s="1015"/>
      <c r="AB383" s="1015"/>
      <c r="AC383" s="194"/>
      <c r="AD383" s="194"/>
      <c r="AE383" s="194"/>
      <c r="AF383" s="194"/>
      <c r="AG383" s="1013"/>
      <c r="AH383" s="1015"/>
      <c r="AJ383" s="79" t="str">
        <f t="shared" si="157"/>
        <v/>
      </c>
      <c r="AK383" s="16" t="str">
        <f t="shared" si="158"/>
        <v/>
      </c>
      <c r="AL383" s="16" t="str">
        <f t="shared" si="159"/>
        <v/>
      </c>
      <c r="AM383" s="16" t="str">
        <f t="shared" si="160"/>
        <v/>
      </c>
      <c r="AN383" s="16" t="str">
        <f t="shared" si="161"/>
        <v/>
      </c>
      <c r="AO383" s="55"/>
      <c r="AP383" s="98">
        <v>6</v>
      </c>
      <c r="AQ383" s="99"/>
      <c r="AR383" s="100">
        <f>IFERROR(AP383*AQ383*AS386,0)</f>
        <v>0</v>
      </c>
      <c r="AS383" s="55"/>
      <c r="AT383" s="167"/>
      <c r="AU383" s="167"/>
      <c r="AV383" s="168"/>
      <c r="AW383" s="169"/>
      <c r="AX383" s="94">
        <f t="shared" si="162"/>
        <v>0</v>
      </c>
      <c r="AY383" s="95">
        <f t="shared" si="163"/>
        <v>0</v>
      </c>
    </row>
    <row r="384" spans="1:51" ht="15" customHeight="1">
      <c r="A384" s="1001"/>
      <c r="B384" s="1010"/>
      <c r="C384" s="1016"/>
      <c r="D384" s="1016"/>
      <c r="E384" s="1016"/>
      <c r="F384" s="1017"/>
      <c r="G384" s="1017"/>
      <c r="H384" s="184"/>
      <c r="I384" s="190"/>
      <c r="J384" s="1001"/>
      <c r="K384" s="1001"/>
      <c r="L384" s="186"/>
      <c r="M384" s="1001"/>
      <c r="N384" s="1013"/>
      <c r="O384" s="192"/>
      <c r="P384" s="1014"/>
      <c r="Q384" s="1014"/>
      <c r="R384" s="1001"/>
      <c r="S384" s="1014"/>
      <c r="T384" s="1013"/>
      <c r="U384" s="1015"/>
      <c r="V384" s="1014"/>
      <c r="W384" s="1014"/>
      <c r="X384" s="1001"/>
      <c r="Y384" s="1014"/>
      <c r="Z384" s="1013"/>
      <c r="AA384" s="1015"/>
      <c r="AB384" s="1015"/>
      <c r="AC384" s="194"/>
      <c r="AD384" s="194"/>
      <c r="AE384" s="194"/>
      <c r="AF384" s="194"/>
      <c r="AG384" s="1013"/>
      <c r="AH384" s="1015"/>
      <c r="AJ384" s="79" t="str">
        <f t="shared" si="157"/>
        <v/>
      </c>
      <c r="AK384" s="16" t="str">
        <f t="shared" si="158"/>
        <v/>
      </c>
      <c r="AL384" s="16" t="str">
        <f t="shared" si="159"/>
        <v/>
      </c>
      <c r="AM384" s="16" t="str">
        <f t="shared" si="160"/>
        <v/>
      </c>
      <c r="AN384" s="16" t="str">
        <f t="shared" si="161"/>
        <v/>
      </c>
      <c r="AO384" s="55"/>
      <c r="AP384" s="98">
        <v>5</v>
      </c>
      <c r="AQ384" s="99"/>
      <c r="AR384" s="100">
        <f>IFERROR(AP384*AQ384*AS386,0)</f>
        <v>0</v>
      </c>
      <c r="AS384" s="104"/>
      <c r="AT384" s="167"/>
      <c r="AU384" s="167"/>
      <c r="AV384" s="164"/>
      <c r="AW384" s="169"/>
      <c r="AX384" s="94">
        <f t="shared" si="162"/>
        <v>0</v>
      </c>
      <c r="AY384" s="95">
        <f t="shared" si="163"/>
        <v>0</v>
      </c>
    </row>
    <row r="385" spans="1:51" ht="15" customHeight="1">
      <c r="A385" s="1001"/>
      <c r="B385" s="1010"/>
      <c r="C385" s="1011"/>
      <c r="D385" s="1011"/>
      <c r="E385" s="1011"/>
      <c r="F385" s="1012"/>
      <c r="G385" s="1012"/>
      <c r="H385" s="184"/>
      <c r="I385" s="190"/>
      <c r="J385" s="1001"/>
      <c r="K385" s="1001"/>
      <c r="L385" s="186"/>
      <c r="M385" s="1001"/>
      <c r="N385" s="1013"/>
      <c r="O385" s="192"/>
      <c r="P385" s="1014"/>
      <c r="Q385" s="1014"/>
      <c r="R385" s="1001"/>
      <c r="S385" s="1014"/>
      <c r="T385" s="1013"/>
      <c r="U385" s="1015"/>
      <c r="V385" s="1014"/>
      <c r="W385" s="1014"/>
      <c r="X385" s="1001"/>
      <c r="Y385" s="1014"/>
      <c r="Z385" s="1013"/>
      <c r="AA385" s="1015"/>
      <c r="AB385" s="1015"/>
      <c r="AC385" s="194"/>
      <c r="AD385" s="194"/>
      <c r="AE385" s="194"/>
      <c r="AF385" s="194"/>
      <c r="AG385" s="1013"/>
      <c r="AH385" s="1015"/>
      <c r="AJ385" s="79" t="str">
        <f t="shared" si="157"/>
        <v/>
      </c>
      <c r="AK385" s="16" t="str">
        <f t="shared" si="158"/>
        <v/>
      </c>
      <c r="AL385" s="16" t="str">
        <f t="shared" si="159"/>
        <v/>
      </c>
      <c r="AM385" s="16" t="str">
        <f t="shared" si="160"/>
        <v/>
      </c>
      <c r="AN385" s="16" t="str">
        <f t="shared" si="161"/>
        <v/>
      </c>
      <c r="AO385" s="55"/>
      <c r="AP385" s="98">
        <v>4</v>
      </c>
      <c r="AQ385" s="99"/>
      <c r="AR385" s="100">
        <f>IFERROR(AP385*AQ385*AS386,0)</f>
        <v>0</v>
      </c>
      <c r="AS385" s="104"/>
      <c r="AT385" s="167"/>
      <c r="AU385" s="167"/>
      <c r="AV385" s="168"/>
      <c r="AW385" s="169"/>
      <c r="AX385" s="94">
        <f t="shared" si="162"/>
        <v>0</v>
      </c>
      <c r="AY385" s="95">
        <f t="shared" si="163"/>
        <v>0</v>
      </c>
    </row>
    <row r="386" spans="1:51" ht="15" customHeight="1">
      <c r="A386" s="1001"/>
      <c r="B386" s="1010"/>
      <c r="C386" s="1011"/>
      <c r="D386" s="188"/>
      <c r="E386" s="1011"/>
      <c r="F386" s="1012"/>
      <c r="G386" s="1012"/>
      <c r="H386" s="184"/>
      <c r="I386" s="190"/>
      <c r="J386" s="1001"/>
      <c r="K386" s="1001"/>
      <c r="L386" s="186"/>
      <c r="M386" s="1001"/>
      <c r="N386" s="1013"/>
      <c r="O386" s="192"/>
      <c r="P386" s="1014"/>
      <c r="Q386" s="1014"/>
      <c r="R386" s="1001"/>
      <c r="S386" s="1014"/>
      <c r="T386" s="1013"/>
      <c r="U386" s="1015"/>
      <c r="V386" s="1014"/>
      <c r="W386" s="1014"/>
      <c r="X386" s="1001"/>
      <c r="Y386" s="1014"/>
      <c r="Z386" s="1013"/>
      <c r="AA386" s="1015"/>
      <c r="AB386" s="1015"/>
      <c r="AC386" s="194"/>
      <c r="AD386" s="194"/>
      <c r="AE386" s="194"/>
      <c r="AF386" s="194"/>
      <c r="AG386" s="1013"/>
      <c r="AH386" s="1015"/>
      <c r="AJ386" s="79" t="str">
        <f t="shared" si="157"/>
        <v/>
      </c>
      <c r="AK386" s="16" t="str">
        <f t="shared" si="158"/>
        <v/>
      </c>
      <c r="AL386" s="16" t="str">
        <f t="shared" si="159"/>
        <v/>
      </c>
      <c r="AM386" s="16" t="str">
        <f t="shared" si="160"/>
        <v/>
      </c>
      <c r="AN386" s="16" t="str">
        <f t="shared" si="161"/>
        <v/>
      </c>
      <c r="AO386" s="55"/>
      <c r="AP386" s="98">
        <v>3</v>
      </c>
      <c r="AQ386" s="109"/>
      <c r="AR386" s="100">
        <f>IFERROR(AP386*AQ386*AS386,0)</f>
        <v>0</v>
      </c>
      <c r="AS386" s="48">
        <f>IFERROR(AR387/((AP386*AQ386)+(AP385*AQ385)+(AP384*AQ384)+(AP383*AQ383)),0)</f>
        <v>0</v>
      </c>
      <c r="AT386" s="167"/>
      <c r="AU386" s="167"/>
      <c r="AV386" s="168"/>
      <c r="AW386" s="169"/>
      <c r="AX386" s="94">
        <f t="shared" si="162"/>
        <v>0</v>
      </c>
      <c r="AY386" s="95">
        <f t="shared" si="163"/>
        <v>0</v>
      </c>
    </row>
    <row r="387" spans="1:51" ht="14.25" customHeight="1" thickBot="1">
      <c r="A387" s="1001"/>
      <c r="B387" s="1010"/>
      <c r="C387" s="1011"/>
      <c r="D387" s="1011"/>
      <c r="E387" s="1011"/>
      <c r="F387" s="1012"/>
      <c r="G387" s="1012"/>
      <c r="H387" s="184"/>
      <c r="I387" s="190"/>
      <c r="J387" s="1001"/>
      <c r="K387" s="1001"/>
      <c r="L387" s="186"/>
      <c r="M387" s="1001"/>
      <c r="N387" s="1013"/>
      <c r="O387" s="192"/>
      <c r="P387" s="185"/>
      <c r="Q387" s="1014"/>
      <c r="R387" s="1001"/>
      <c r="S387" s="1014"/>
      <c r="T387" s="1013"/>
      <c r="U387" s="1015"/>
      <c r="V387" s="185"/>
      <c r="W387" s="1014"/>
      <c r="X387" s="1001"/>
      <c r="Y387" s="1014"/>
      <c r="Z387" s="1013"/>
      <c r="AA387" s="1015"/>
      <c r="AB387" s="1015"/>
      <c r="AC387" s="194"/>
      <c r="AD387" s="194"/>
      <c r="AE387" s="194"/>
      <c r="AF387" s="194"/>
      <c r="AG387" s="1013"/>
      <c r="AH387" s="1015"/>
      <c r="AJ387" s="79" t="str">
        <f t="shared" si="157"/>
        <v/>
      </c>
      <c r="AK387" s="16" t="str">
        <f t="shared" si="158"/>
        <v/>
      </c>
      <c r="AL387" s="16" t="str">
        <f t="shared" si="159"/>
        <v/>
      </c>
      <c r="AM387" s="16" t="str">
        <f t="shared" si="160"/>
        <v/>
      </c>
      <c r="AN387" s="16" t="str">
        <f t="shared" si="161"/>
        <v/>
      </c>
      <c r="AO387" s="55"/>
      <c r="AP387" s="111"/>
      <c r="AQ387" s="112"/>
      <c r="AR387" s="113"/>
      <c r="AS387" s="104"/>
      <c r="AT387" s="167"/>
      <c r="AU387" s="167"/>
      <c r="AV387" s="168"/>
      <c r="AW387" s="169"/>
      <c r="AX387" s="94">
        <f t="shared" si="162"/>
        <v>0</v>
      </c>
      <c r="AY387" s="95">
        <f t="shared" si="163"/>
        <v>0</v>
      </c>
    </row>
    <row r="388" spans="1:51" ht="14.25" customHeight="1" thickBot="1">
      <c r="A388" s="1001"/>
      <c r="B388" s="1010"/>
      <c r="C388" s="1011"/>
      <c r="D388" s="1011"/>
      <c r="E388" s="1011"/>
      <c r="F388" s="1012"/>
      <c r="G388" s="1012"/>
      <c r="H388" s="184"/>
      <c r="I388" s="190"/>
      <c r="J388" s="1001"/>
      <c r="K388" s="1001"/>
      <c r="L388" s="186"/>
      <c r="M388" s="1001"/>
      <c r="N388" s="1013"/>
      <c r="O388" s="192"/>
      <c r="P388" s="1014"/>
      <c r="Q388" s="1014"/>
      <c r="R388" s="1001"/>
      <c r="S388" s="1014"/>
      <c r="T388" s="1013"/>
      <c r="U388" s="1015"/>
      <c r="V388" s="1014"/>
      <c r="W388" s="1014"/>
      <c r="X388" s="1001"/>
      <c r="Y388" s="1014"/>
      <c r="Z388" s="1013"/>
      <c r="AA388" s="1015"/>
      <c r="AB388" s="1015"/>
      <c r="AC388" s="194"/>
      <c r="AD388" s="194"/>
      <c r="AE388" s="194"/>
      <c r="AF388" s="194"/>
      <c r="AG388" s="1013"/>
      <c r="AH388" s="1015"/>
      <c r="AJ388" s="79" t="str">
        <f t="shared" si="157"/>
        <v/>
      </c>
      <c r="AK388" s="16" t="str">
        <f t="shared" si="158"/>
        <v/>
      </c>
      <c r="AL388" s="16" t="str">
        <f t="shared" si="159"/>
        <v/>
      </c>
      <c r="AM388" s="16" t="str">
        <f t="shared" si="160"/>
        <v/>
      </c>
      <c r="AN388" s="16" t="str">
        <f t="shared" si="161"/>
        <v/>
      </c>
      <c r="AO388" s="55"/>
      <c r="AP388" s="1250" t="s">
        <v>7</v>
      </c>
      <c r="AQ388" s="1250"/>
      <c r="AR388" s="1250"/>
      <c r="AS388" s="104"/>
      <c r="AT388" s="167"/>
      <c r="AU388" s="167"/>
      <c r="AV388" s="168"/>
      <c r="AW388" s="169"/>
      <c r="AX388" s="94">
        <f t="shared" si="162"/>
        <v>0</v>
      </c>
      <c r="AY388" s="95">
        <f t="shared" si="163"/>
        <v>0</v>
      </c>
    </row>
    <row r="389" spans="1:51" ht="15" customHeight="1" thickBot="1">
      <c r="A389" s="1001"/>
      <c r="B389" s="1010"/>
      <c r="C389" s="1011"/>
      <c r="D389" s="1011"/>
      <c r="E389" s="1011"/>
      <c r="F389" s="1012"/>
      <c r="G389" s="1012"/>
      <c r="H389" s="184"/>
      <c r="I389" s="190"/>
      <c r="J389" s="1001"/>
      <c r="K389" s="1001"/>
      <c r="L389" s="186"/>
      <c r="M389" s="1001"/>
      <c r="N389" s="1013"/>
      <c r="O389" s="192"/>
      <c r="P389" s="1014"/>
      <c r="Q389" s="1014"/>
      <c r="R389" s="1001"/>
      <c r="S389" s="1014"/>
      <c r="T389" s="1013"/>
      <c r="U389" s="1015"/>
      <c r="V389" s="1014"/>
      <c r="W389" s="185"/>
      <c r="X389" s="1001"/>
      <c r="Y389" s="1014"/>
      <c r="Z389" s="1013"/>
      <c r="AA389" s="1015"/>
      <c r="AB389" s="1015"/>
      <c r="AC389" s="194"/>
      <c r="AD389" s="194"/>
      <c r="AE389" s="194"/>
      <c r="AF389" s="194"/>
      <c r="AG389" s="1013"/>
      <c r="AH389" s="1015"/>
      <c r="AJ389" s="79" t="str">
        <f t="shared" si="157"/>
        <v/>
      </c>
      <c r="AK389" s="16" t="str">
        <f t="shared" si="158"/>
        <v/>
      </c>
      <c r="AL389" s="16" t="str">
        <f t="shared" si="159"/>
        <v/>
      </c>
      <c r="AM389" s="16" t="str">
        <f t="shared" si="160"/>
        <v/>
      </c>
      <c r="AN389" s="16" t="str">
        <f t="shared" si="161"/>
        <v/>
      </c>
      <c r="AO389" s="73">
        <v>160</v>
      </c>
      <c r="AP389" s="1250"/>
      <c r="AQ389" s="1250"/>
      <c r="AR389" s="1250"/>
      <c r="AS389" s="55"/>
      <c r="AT389" s="167"/>
      <c r="AU389" s="167"/>
      <c r="AV389" s="168"/>
      <c r="AW389" s="169"/>
      <c r="AX389" s="94">
        <f t="shared" si="162"/>
        <v>0</v>
      </c>
      <c r="AY389" s="95">
        <f t="shared" si="163"/>
        <v>0</v>
      </c>
    </row>
    <row r="390" spans="1:51" ht="15" customHeight="1" thickBot="1">
      <c r="A390" s="1001"/>
      <c r="B390" s="1010"/>
      <c r="C390" s="1011"/>
      <c r="D390" s="1011"/>
      <c r="E390" s="1011"/>
      <c r="F390" s="1012"/>
      <c r="G390" s="1012"/>
      <c r="H390" s="184"/>
      <c r="I390" s="190"/>
      <c r="J390" s="1001"/>
      <c r="K390" s="1001"/>
      <c r="L390" s="186"/>
      <c r="M390" s="1001"/>
      <c r="N390" s="1013"/>
      <c r="O390" s="192"/>
      <c r="P390" s="1014"/>
      <c r="Q390" s="185"/>
      <c r="R390" s="1018"/>
      <c r="S390" s="1014"/>
      <c r="T390" s="1013"/>
      <c r="U390" s="1015"/>
      <c r="V390" s="1014"/>
      <c r="W390" s="185"/>
      <c r="X390" s="1001"/>
      <c r="Y390" s="1014"/>
      <c r="Z390" s="1013"/>
      <c r="AA390" s="1015"/>
      <c r="AB390" s="1015"/>
      <c r="AC390" s="194"/>
      <c r="AD390" s="194"/>
      <c r="AE390" s="194"/>
      <c r="AF390" s="194"/>
      <c r="AG390" s="1013"/>
      <c r="AH390" s="1015"/>
      <c r="AJ390" s="79" t="str">
        <f t="shared" si="157"/>
        <v/>
      </c>
      <c r="AK390" s="16" t="str">
        <f t="shared" si="158"/>
        <v/>
      </c>
      <c r="AL390" s="16" t="str">
        <f t="shared" si="159"/>
        <v/>
      </c>
      <c r="AM390" s="16" t="str">
        <f t="shared" si="160"/>
        <v/>
      </c>
      <c r="AN390" s="16" t="str">
        <f t="shared" si="161"/>
        <v/>
      </c>
      <c r="AO390" s="55"/>
      <c r="AP390" s="1250"/>
      <c r="AQ390" s="1250"/>
      <c r="AR390" s="1250"/>
      <c r="AS390" s="55"/>
      <c r="AT390" s="167"/>
      <c r="AU390" s="167"/>
      <c r="AV390" s="168"/>
      <c r="AW390" s="169"/>
      <c r="AX390" s="94">
        <f t="shared" si="162"/>
        <v>0</v>
      </c>
      <c r="AY390" s="95">
        <f t="shared" si="163"/>
        <v>0</v>
      </c>
    </row>
    <row r="391" spans="1:51" ht="16.5" customHeight="1">
      <c r="A391" s="1001"/>
      <c r="B391" s="1010"/>
      <c r="C391" s="1011"/>
      <c r="D391" s="1011"/>
      <c r="E391" s="1011"/>
      <c r="F391" s="1012"/>
      <c r="G391" s="1012"/>
      <c r="H391" s="184"/>
      <c r="I391" s="190"/>
      <c r="J391" s="1001"/>
      <c r="K391" s="1001"/>
      <c r="L391" s="186"/>
      <c r="M391" s="1001"/>
      <c r="N391" s="1013"/>
      <c r="O391" s="192"/>
      <c r="P391" s="1014"/>
      <c r="Q391" s="185"/>
      <c r="R391" s="1014"/>
      <c r="S391" s="1014"/>
      <c r="T391" s="1013"/>
      <c r="U391" s="1015"/>
      <c r="V391" s="1014"/>
      <c r="W391" s="185"/>
      <c r="X391" s="1001"/>
      <c r="Y391" s="1014"/>
      <c r="Z391" s="1013"/>
      <c r="AA391" s="1015"/>
      <c r="AB391" s="1015"/>
      <c r="AC391" s="194"/>
      <c r="AD391" s="194"/>
      <c r="AE391" s="194"/>
      <c r="AF391" s="194"/>
      <c r="AG391" s="1013"/>
      <c r="AH391" s="1015"/>
      <c r="AJ391" s="79" t="str">
        <f t="shared" si="157"/>
        <v/>
      </c>
      <c r="AK391" s="16" t="str">
        <f t="shared" si="158"/>
        <v/>
      </c>
      <c r="AL391" s="16" t="str">
        <f t="shared" si="159"/>
        <v/>
      </c>
      <c r="AM391" s="16" t="str">
        <f t="shared" si="160"/>
        <v/>
      </c>
      <c r="AN391" s="16" t="str">
        <f t="shared" si="161"/>
        <v/>
      </c>
      <c r="AO391" s="55"/>
      <c r="AP391" s="117">
        <v>6</v>
      </c>
      <c r="AQ391" s="118"/>
      <c r="AR391" s="100">
        <f>IFERROR(AP391*AQ391*AS394,0)</f>
        <v>0</v>
      </c>
      <c r="AS391" s="55"/>
      <c r="AT391" s="167"/>
      <c r="AU391" s="167"/>
      <c r="AV391" s="168"/>
      <c r="AW391" s="169"/>
      <c r="AX391" s="94">
        <f t="shared" si="162"/>
        <v>0</v>
      </c>
      <c r="AY391" s="95">
        <f t="shared" si="163"/>
        <v>0</v>
      </c>
    </row>
    <row r="392" spans="1:51" ht="16.5" customHeight="1">
      <c r="A392" s="1001"/>
      <c r="B392" s="1010"/>
      <c r="C392" s="1011"/>
      <c r="D392" s="1011"/>
      <c r="E392" s="1011"/>
      <c r="F392" s="1012"/>
      <c r="G392" s="1012"/>
      <c r="H392" s="184"/>
      <c r="I392" s="190"/>
      <c r="J392" s="1001"/>
      <c r="K392" s="1001"/>
      <c r="L392" s="186"/>
      <c r="M392" s="1001"/>
      <c r="N392" s="1013"/>
      <c r="O392" s="192"/>
      <c r="P392" s="1014"/>
      <c r="Q392" s="184"/>
      <c r="R392" s="1018"/>
      <c r="S392" s="1019"/>
      <c r="T392" s="1013"/>
      <c r="U392" s="1015"/>
      <c r="V392" s="1014"/>
      <c r="W392" s="185"/>
      <c r="X392" s="1001"/>
      <c r="Y392" s="1014"/>
      <c r="Z392" s="1013"/>
      <c r="AA392" s="1015"/>
      <c r="AB392" s="1015"/>
      <c r="AC392" s="194"/>
      <c r="AD392" s="194"/>
      <c r="AE392" s="194"/>
      <c r="AF392" s="194"/>
      <c r="AG392" s="1013"/>
      <c r="AH392" s="1015"/>
      <c r="AJ392" s="79" t="str">
        <f t="shared" si="157"/>
        <v/>
      </c>
      <c r="AK392" s="16" t="str">
        <f t="shared" si="158"/>
        <v/>
      </c>
      <c r="AL392" s="16" t="str">
        <f t="shared" si="159"/>
        <v/>
      </c>
      <c r="AM392" s="16" t="str">
        <f t="shared" si="160"/>
        <v/>
      </c>
      <c r="AN392" s="16" t="str">
        <f t="shared" si="161"/>
        <v/>
      </c>
      <c r="AO392" s="55"/>
      <c r="AP392" s="98">
        <v>5</v>
      </c>
      <c r="AQ392" s="99"/>
      <c r="AR392" s="100">
        <f>IFERROR(AP392*AQ392*AS394,0)</f>
        <v>0</v>
      </c>
      <c r="AS392" s="55"/>
      <c r="AT392" s="167"/>
      <c r="AU392" s="167"/>
      <c r="AV392" s="168"/>
      <c r="AW392" s="179"/>
      <c r="AX392" s="94">
        <f t="shared" si="162"/>
        <v>0</v>
      </c>
      <c r="AY392" s="95">
        <f t="shared" si="163"/>
        <v>0</v>
      </c>
    </row>
    <row r="393" spans="1:51" ht="15.75" customHeight="1">
      <c r="A393" s="1001"/>
      <c r="B393" s="1010"/>
      <c r="C393" s="1020"/>
      <c r="D393" s="1021"/>
      <c r="E393" s="1020"/>
      <c r="F393" s="1022"/>
      <c r="G393" s="1022"/>
      <c r="H393" s="184"/>
      <c r="I393" s="190"/>
      <c r="J393" s="1001"/>
      <c r="K393" s="1001"/>
      <c r="L393" s="186"/>
      <c r="M393" s="1001"/>
      <c r="N393" s="1013"/>
      <c r="O393" s="192"/>
      <c r="P393" s="1019"/>
      <c r="Q393" s="184"/>
      <c r="R393" s="1018"/>
      <c r="S393" s="1019"/>
      <c r="T393" s="1013"/>
      <c r="U393" s="1015"/>
      <c r="V393" s="1014"/>
      <c r="W393" s="185"/>
      <c r="X393" s="1001"/>
      <c r="Y393" s="1014"/>
      <c r="Z393" s="1013"/>
      <c r="AA393" s="1015"/>
      <c r="AB393" s="1015"/>
      <c r="AC393" s="194"/>
      <c r="AD393" s="194"/>
      <c r="AE393" s="194"/>
      <c r="AF393" s="194"/>
      <c r="AG393" s="1013"/>
      <c r="AH393" s="1015"/>
      <c r="AJ393" s="79" t="str">
        <f t="shared" si="157"/>
        <v/>
      </c>
      <c r="AK393" s="16" t="str">
        <f t="shared" si="158"/>
        <v/>
      </c>
      <c r="AL393" s="16" t="str">
        <f t="shared" si="159"/>
        <v/>
      </c>
      <c r="AM393" s="16" t="str">
        <f t="shared" si="160"/>
        <v/>
      </c>
      <c r="AN393" s="16" t="str">
        <f t="shared" si="161"/>
        <v/>
      </c>
      <c r="AO393" s="104"/>
      <c r="AP393" s="98">
        <v>4</v>
      </c>
      <c r="AQ393" s="99"/>
      <c r="AR393" s="100">
        <f>IFERROR(AP393*AQ393*AS394,0)</f>
        <v>0</v>
      </c>
      <c r="AS393" s="55"/>
      <c r="AT393" s="167"/>
      <c r="AU393" s="165"/>
      <c r="AV393" s="168"/>
      <c r="AW393" s="169"/>
      <c r="AX393" s="94">
        <f t="shared" si="162"/>
        <v>0</v>
      </c>
      <c r="AY393" s="95">
        <f t="shared" si="163"/>
        <v>0</v>
      </c>
    </row>
    <row r="394" spans="1:51" ht="15" customHeight="1">
      <c r="A394" s="1001"/>
      <c r="B394" s="1001"/>
      <c r="C394" s="1023"/>
      <c r="D394" s="1023"/>
      <c r="E394" s="1023"/>
      <c r="F394" s="1024"/>
      <c r="G394" s="1024"/>
      <c r="H394" s="1001"/>
      <c r="I394" s="1001"/>
      <c r="J394" s="201"/>
      <c r="K394" s="201"/>
      <c r="L394" s="201"/>
      <c r="M394" s="201"/>
      <c r="N394" s="1025"/>
      <c r="O394" s="1002"/>
      <c r="P394" s="1001"/>
      <c r="Q394" s="1001"/>
      <c r="R394" s="1001"/>
      <c r="S394" s="1003"/>
      <c r="T394" s="1001"/>
      <c r="U394" s="1004"/>
      <c r="V394" s="1001"/>
      <c r="W394" s="1001"/>
      <c r="X394" s="1001"/>
      <c r="Y394" s="1001"/>
      <c r="Z394" s="1001"/>
      <c r="AA394" s="1004"/>
      <c r="AB394" s="1001"/>
      <c r="AC394" s="1001"/>
      <c r="AD394" s="1001"/>
      <c r="AE394" s="1001"/>
      <c r="AF394" s="1001"/>
      <c r="AG394" s="54"/>
      <c r="AH394" s="54"/>
      <c r="AK394" s="2"/>
      <c r="AL394" s="2"/>
      <c r="AM394" s="2"/>
      <c r="AN394" s="2"/>
      <c r="AO394" s="55"/>
      <c r="AP394" s="98">
        <v>3</v>
      </c>
      <c r="AQ394" s="109"/>
      <c r="AR394" s="100">
        <f>IFERROR(AP394*AQ394*AS394,0)</f>
        <v>0</v>
      </c>
      <c r="AS394" s="48">
        <f>IFERROR(AR395/((AP394*AQ394)+(AP393*AQ393)+(AP392*AQ392)+(AP391*AQ391)),0)</f>
        <v>0</v>
      </c>
    </row>
    <row r="395" spans="1:51" ht="15.75" customHeight="1" thickBot="1">
      <c r="A395" s="1001"/>
      <c r="B395" s="1001"/>
      <c r="C395" s="1023"/>
      <c r="D395" s="1023"/>
      <c r="E395" s="1023"/>
      <c r="F395" s="1024"/>
      <c r="G395" s="1024"/>
      <c r="H395" s="184"/>
      <c r="I395" s="190"/>
      <c r="J395" s="1026"/>
      <c r="K395" s="1026"/>
      <c r="L395" s="1026"/>
      <c r="M395" s="1026"/>
      <c r="N395" s="1013"/>
      <c r="O395" s="192"/>
      <c r="P395" s="1027"/>
      <c r="Q395" s="1027"/>
      <c r="R395" s="1027"/>
      <c r="S395" s="1027"/>
      <c r="T395" s="1018"/>
      <c r="U395" s="1018"/>
      <c r="V395" s="1027"/>
      <c r="W395" s="1027"/>
      <c r="X395" s="1027"/>
      <c r="Y395" s="1027"/>
      <c r="Z395" s="1001"/>
      <c r="AA395" s="1001"/>
      <c r="AB395" s="1001"/>
      <c r="AC395" s="1027"/>
      <c r="AD395" s="1027"/>
      <c r="AE395" s="1027"/>
      <c r="AF395" s="1027"/>
      <c r="AG395" s="54"/>
      <c r="AH395" s="54"/>
      <c r="AK395" s="154">
        <f>SUM(AK382:AK394)</f>
        <v>0</v>
      </c>
      <c r="AL395" s="154">
        <f>SUM(AL382:AL394)</f>
        <v>0</v>
      </c>
      <c r="AM395" s="154">
        <f>SUM(AM382:AM394)</f>
        <v>0</v>
      </c>
      <c r="AN395" s="154">
        <f>SUM(AN382:AN394)</f>
        <v>0</v>
      </c>
      <c r="AO395" s="55"/>
      <c r="AP395" s="111"/>
      <c r="AQ395" s="112"/>
      <c r="AR395" s="155"/>
      <c r="AS395" s="55"/>
    </row>
    <row r="396" spans="1:51" ht="15.75" customHeight="1">
      <c r="A396" s="1028"/>
      <c r="B396" s="1001"/>
      <c r="C396" s="1001"/>
      <c r="D396" s="1001"/>
      <c r="E396" s="1001"/>
      <c r="F396" s="1001"/>
      <c r="G396" s="1001"/>
      <c r="H396" s="1018"/>
      <c r="I396" s="190"/>
      <c r="J396" s="1026"/>
      <c r="K396" s="1026"/>
      <c r="L396" s="1026"/>
      <c r="M396" s="1026"/>
      <c r="N396" s="1013"/>
      <c r="O396" s="192"/>
      <c r="P396" s="1027"/>
      <c r="Q396" s="1027"/>
      <c r="R396" s="1027"/>
      <c r="S396" s="1027"/>
      <c r="T396" s="1029"/>
      <c r="U396" s="1030"/>
      <c r="V396" s="1027"/>
      <c r="W396" s="1027"/>
      <c r="X396" s="1027"/>
      <c r="Y396" s="1027"/>
      <c r="Z396" s="1031"/>
      <c r="AA396" s="1032"/>
      <c r="AB396" s="1033"/>
      <c r="AC396" s="1027"/>
      <c r="AD396" s="1027"/>
      <c r="AE396" s="1027"/>
      <c r="AF396" s="1027"/>
      <c r="AG396" s="54"/>
      <c r="AH396" s="1030"/>
      <c r="AK396" s="48"/>
      <c r="AL396" s="48"/>
      <c r="AM396" s="48"/>
      <c r="AN396" s="48"/>
      <c r="AO396" s="55"/>
      <c r="AP396" s="55"/>
      <c r="AQ396" s="55"/>
      <c r="AR396" s="157">
        <f>AR387+AR395</f>
        <v>0</v>
      </c>
      <c r="AS396" s="55"/>
    </row>
    <row r="397" spans="1:51" ht="19.5" customHeight="1" thickBot="1">
      <c r="A397" s="1007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007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  <c r="AC397" s="182"/>
      <c r="AD397" s="182"/>
      <c r="AE397" s="182"/>
      <c r="AF397" s="182"/>
      <c r="AG397" s="54"/>
      <c r="AH397" s="54"/>
      <c r="AK397" s="48"/>
      <c r="AL397" s="48"/>
      <c r="AM397" s="48"/>
      <c r="AN397" s="48"/>
      <c r="AO397" s="48"/>
      <c r="AP397" s="48"/>
      <c r="AQ397" s="48"/>
      <c r="AR397" s="48"/>
      <c r="AS397" s="48"/>
    </row>
    <row r="398" spans="1:51" ht="14.25" customHeight="1" thickBot="1">
      <c r="A398" s="1252"/>
      <c r="B398" s="1253"/>
      <c r="C398" s="1254"/>
      <c r="D398" s="1254"/>
      <c r="E398" s="1254"/>
      <c r="F398" s="1254"/>
      <c r="G398" s="1254"/>
      <c r="H398" s="1253"/>
      <c r="I398" s="1254"/>
      <c r="J398" s="1253"/>
      <c r="K398" s="1253"/>
      <c r="L398" s="1253"/>
      <c r="M398" s="1253"/>
      <c r="N398" s="1255"/>
      <c r="O398" s="1258"/>
      <c r="P398" s="1254"/>
      <c r="Q398" s="1254"/>
      <c r="R398" s="1254"/>
      <c r="S398" s="1254"/>
      <c r="T398" s="1259"/>
      <c r="U398" s="1258"/>
      <c r="V398" s="1254"/>
      <c r="W398" s="1254"/>
      <c r="X398" s="1254"/>
      <c r="Y398" s="1254"/>
      <c r="Z398" s="1259"/>
      <c r="AA398" s="1258"/>
      <c r="AB398" s="1258"/>
      <c r="AC398" s="1260"/>
      <c r="AD398" s="1260"/>
      <c r="AE398" s="1260"/>
      <c r="AF398" s="1260"/>
      <c r="AG398" s="1259"/>
      <c r="AH398" s="1258"/>
      <c r="AK398" s="1257" t="s">
        <v>37</v>
      </c>
      <c r="AL398" s="1257"/>
      <c r="AM398" s="1257"/>
      <c r="AN398" s="1257"/>
      <c r="AO398" s="55"/>
      <c r="AP398" s="1250" t="s">
        <v>7</v>
      </c>
      <c r="AQ398" s="1250"/>
      <c r="AR398" s="1250"/>
      <c r="AS398" s="55"/>
      <c r="AT398" s="1251" t="s">
        <v>38</v>
      </c>
      <c r="AU398" s="1251"/>
      <c r="AV398" s="1251"/>
      <c r="AW398" s="1251"/>
      <c r="AX398" s="94" t="s">
        <v>39</v>
      </c>
      <c r="AY398" s="95" t="s">
        <v>12</v>
      </c>
    </row>
    <row r="399" spans="1:51" ht="18" customHeight="1" thickBot="1">
      <c r="A399" s="1252"/>
      <c r="B399" s="1252"/>
      <c r="C399" s="186"/>
      <c r="D399" s="186"/>
      <c r="E399" s="186"/>
      <c r="F399" s="186"/>
      <c r="G399" s="186"/>
      <c r="H399" s="1253"/>
      <c r="I399" s="1254"/>
      <c r="J399" s="185"/>
      <c r="K399" s="185"/>
      <c r="L399" s="185"/>
      <c r="M399" s="185"/>
      <c r="N399" s="1255"/>
      <c r="O399" s="1258"/>
      <c r="P399" s="186"/>
      <c r="Q399" s="185"/>
      <c r="R399" s="1008"/>
      <c r="S399" s="185"/>
      <c r="T399" s="1259"/>
      <c r="U399" s="1259"/>
      <c r="V399" s="186"/>
      <c r="W399" s="185"/>
      <c r="X399" s="1008"/>
      <c r="Y399" s="185"/>
      <c r="Z399" s="1259"/>
      <c r="AA399" s="1259"/>
      <c r="AB399" s="1258"/>
      <c r="AC399" s="186"/>
      <c r="AD399" s="185"/>
      <c r="AE399" s="1008"/>
      <c r="AF399" s="185"/>
      <c r="AG399" s="1259"/>
      <c r="AH399" s="1258"/>
      <c r="AK399" s="162" t="s">
        <v>49</v>
      </c>
      <c r="AL399" s="162" t="s">
        <v>50</v>
      </c>
      <c r="AM399" s="162" t="s">
        <v>51</v>
      </c>
      <c r="AN399" s="162" t="s">
        <v>52</v>
      </c>
      <c r="AO399" s="73">
        <v>130</v>
      </c>
      <c r="AP399" s="1250"/>
      <c r="AQ399" s="1250"/>
      <c r="AR399" s="1250"/>
      <c r="AS399" s="55"/>
      <c r="AT399" s="164" t="s">
        <v>45</v>
      </c>
      <c r="AU399" s="165" t="s">
        <v>46</v>
      </c>
      <c r="AV399" s="166" t="s">
        <v>47</v>
      </c>
      <c r="AW399" s="161" t="s">
        <v>48</v>
      </c>
      <c r="AX399" s="94"/>
      <c r="AY399" s="95"/>
    </row>
    <row r="400" spans="1:51" ht="15" customHeight="1" thickBot="1">
      <c r="A400" s="1009"/>
      <c r="B400" s="1010"/>
      <c r="C400" s="1011"/>
      <c r="D400" s="1011"/>
      <c r="E400" s="1011"/>
      <c r="F400" s="1012"/>
      <c r="G400" s="1012"/>
      <c r="H400" s="184"/>
      <c r="I400" s="190"/>
      <c r="J400" s="1001"/>
      <c r="K400" s="1001"/>
      <c r="L400" s="186"/>
      <c r="M400" s="1001"/>
      <c r="N400" s="1013"/>
      <c r="O400" s="192"/>
      <c r="P400" s="1014"/>
      <c r="Q400" s="1014"/>
      <c r="R400" s="1001"/>
      <c r="S400" s="1014"/>
      <c r="T400" s="1013"/>
      <c r="U400" s="1015"/>
      <c r="V400" s="1014"/>
      <c r="W400" s="1014"/>
      <c r="X400" s="1001"/>
      <c r="Y400" s="1014"/>
      <c r="Z400" s="1013"/>
      <c r="AA400" s="1015"/>
      <c r="AB400" s="1015"/>
      <c r="AC400" s="194"/>
      <c r="AD400" s="194"/>
      <c r="AE400" s="194"/>
      <c r="AF400" s="194"/>
      <c r="AG400" s="1013"/>
      <c r="AH400" s="1015"/>
      <c r="AJ400" s="79" t="str">
        <f t="shared" ref="AJ400:AJ411" si="164">IF(H400=130,0.132335,IF(H400=100,0.0785,IF(H400=110,0.095,IF(H400=160,0.198005,""))))</f>
        <v/>
      </c>
      <c r="AK400" s="16" t="str">
        <f t="shared" ref="AK400:AK411" si="165">IFERROR(P400*3*AJ400,"")</f>
        <v/>
      </c>
      <c r="AL400" s="16" t="str">
        <f t="shared" ref="AL400:AL411" si="166">IFERROR(Q400*4*AJ400,"")</f>
        <v/>
      </c>
      <c r="AM400" s="16" t="str">
        <f t="shared" ref="AM400:AM411" si="167">IFERROR(R400*5*AJ400,"")</f>
        <v/>
      </c>
      <c r="AN400" s="16" t="str">
        <f t="shared" ref="AN400:AN411" si="168">IFERROR(S400*6*AJ400,"")</f>
        <v/>
      </c>
      <c r="AO400" s="55"/>
      <c r="AP400" s="1250"/>
      <c r="AQ400" s="1250"/>
      <c r="AR400" s="1250"/>
      <c r="AS400" s="55"/>
      <c r="AT400" s="167"/>
      <c r="AU400" s="167"/>
      <c r="AV400" s="168"/>
      <c r="AW400" s="169"/>
      <c r="AX400" s="94">
        <f t="shared" ref="AX400:AX411" si="169">AT400*3+AU400*4+AV400*5+AW400*6</f>
        <v>0</v>
      </c>
      <c r="AY400" s="95">
        <f t="shared" ref="AY400:AY411" si="170">AX400*I400</f>
        <v>0</v>
      </c>
    </row>
    <row r="401" spans="1:51" ht="15" customHeight="1">
      <c r="A401" s="1001"/>
      <c r="B401" s="1010"/>
      <c r="C401" s="1011"/>
      <c r="D401" s="1011"/>
      <c r="E401" s="1011"/>
      <c r="F401" s="1012"/>
      <c r="G401" s="1012"/>
      <c r="H401" s="184"/>
      <c r="I401" s="190"/>
      <c r="J401" s="1001"/>
      <c r="K401" s="1001"/>
      <c r="L401" s="186"/>
      <c r="M401" s="1001"/>
      <c r="N401" s="1013"/>
      <c r="O401" s="192"/>
      <c r="P401" s="1014"/>
      <c r="Q401" s="1014"/>
      <c r="R401" s="1001"/>
      <c r="S401" s="1014"/>
      <c r="T401" s="1013"/>
      <c r="U401" s="1015"/>
      <c r="V401" s="1014"/>
      <c r="W401" s="1014"/>
      <c r="X401" s="186"/>
      <c r="Y401" s="1014"/>
      <c r="Z401" s="1013"/>
      <c r="AA401" s="1015"/>
      <c r="AB401" s="1015"/>
      <c r="AC401" s="194"/>
      <c r="AD401" s="194"/>
      <c r="AE401" s="194"/>
      <c r="AF401" s="194"/>
      <c r="AG401" s="1013"/>
      <c r="AH401" s="1015"/>
      <c r="AJ401" s="79" t="str">
        <f t="shared" si="164"/>
        <v/>
      </c>
      <c r="AK401" s="16" t="str">
        <f t="shared" si="165"/>
        <v/>
      </c>
      <c r="AL401" s="16" t="str">
        <f t="shared" si="166"/>
        <v/>
      </c>
      <c r="AM401" s="16" t="str">
        <f t="shared" si="167"/>
        <v/>
      </c>
      <c r="AN401" s="16" t="str">
        <f t="shared" si="168"/>
        <v/>
      </c>
      <c r="AO401" s="55"/>
      <c r="AP401" s="98">
        <v>6</v>
      </c>
      <c r="AQ401" s="99"/>
      <c r="AR401" s="100">
        <f>IFERROR(AP401*AQ401*AS404,0)</f>
        <v>0</v>
      </c>
      <c r="AS401" s="55"/>
      <c r="AT401" s="167"/>
      <c r="AU401" s="167"/>
      <c r="AV401" s="164"/>
      <c r="AW401" s="169"/>
      <c r="AX401" s="94">
        <f t="shared" si="169"/>
        <v>0</v>
      </c>
      <c r="AY401" s="95">
        <f t="shared" si="170"/>
        <v>0</v>
      </c>
    </row>
    <row r="402" spans="1:51" ht="15" customHeight="1">
      <c r="A402" s="1001"/>
      <c r="B402" s="1010"/>
      <c r="C402" s="1016"/>
      <c r="D402" s="1016"/>
      <c r="E402" s="1016"/>
      <c r="F402" s="1017"/>
      <c r="G402" s="1017"/>
      <c r="H402" s="184"/>
      <c r="I402" s="190"/>
      <c r="J402" s="1001"/>
      <c r="K402" s="1001"/>
      <c r="L402" s="186"/>
      <c r="M402" s="1001"/>
      <c r="N402" s="1013"/>
      <c r="O402" s="192"/>
      <c r="P402" s="1014"/>
      <c r="Q402" s="1014"/>
      <c r="R402" s="1001"/>
      <c r="S402" s="1014"/>
      <c r="T402" s="1013"/>
      <c r="U402" s="1015"/>
      <c r="V402" s="1014"/>
      <c r="W402" s="1014"/>
      <c r="X402" s="1001"/>
      <c r="Y402" s="1014"/>
      <c r="Z402" s="1013"/>
      <c r="AA402" s="1015"/>
      <c r="AB402" s="1015"/>
      <c r="AC402" s="194"/>
      <c r="AD402" s="194"/>
      <c r="AE402" s="194"/>
      <c r="AF402" s="194"/>
      <c r="AG402" s="1013"/>
      <c r="AH402" s="1015"/>
      <c r="AJ402" s="79" t="str">
        <f t="shared" si="164"/>
        <v/>
      </c>
      <c r="AK402" s="16" t="str">
        <f t="shared" si="165"/>
        <v/>
      </c>
      <c r="AL402" s="16" t="str">
        <f t="shared" si="166"/>
        <v/>
      </c>
      <c r="AM402" s="16" t="str">
        <f t="shared" si="167"/>
        <v/>
      </c>
      <c r="AN402" s="16" t="str">
        <f t="shared" si="168"/>
        <v/>
      </c>
      <c r="AO402" s="55"/>
      <c r="AP402" s="98">
        <v>5</v>
      </c>
      <c r="AQ402" s="99"/>
      <c r="AR402" s="100">
        <f>IFERROR(AP402*AQ402*AS404,0)</f>
        <v>0</v>
      </c>
      <c r="AS402" s="104"/>
      <c r="AT402" s="167"/>
      <c r="AU402" s="167"/>
      <c r="AV402" s="164"/>
      <c r="AW402" s="169"/>
      <c r="AX402" s="94">
        <f t="shared" si="169"/>
        <v>0</v>
      </c>
      <c r="AY402" s="95">
        <f t="shared" si="170"/>
        <v>0</v>
      </c>
    </row>
    <row r="403" spans="1:51" ht="15" customHeight="1">
      <c r="A403" s="1001"/>
      <c r="B403" s="1010"/>
      <c r="C403" s="1011"/>
      <c r="D403" s="1011"/>
      <c r="E403" s="1011"/>
      <c r="F403" s="1012"/>
      <c r="G403" s="1012"/>
      <c r="H403" s="184"/>
      <c r="I403" s="190"/>
      <c r="J403" s="1001"/>
      <c r="K403" s="1001"/>
      <c r="L403" s="186"/>
      <c r="M403" s="1001"/>
      <c r="N403" s="1013"/>
      <c r="O403" s="192"/>
      <c r="P403" s="1014"/>
      <c r="Q403" s="1014"/>
      <c r="R403" s="1001"/>
      <c r="S403" s="1014"/>
      <c r="T403" s="1013"/>
      <c r="U403" s="1015"/>
      <c r="V403" s="1014"/>
      <c r="W403" s="1014"/>
      <c r="X403" s="1001"/>
      <c r="Y403" s="1014"/>
      <c r="Z403" s="1013"/>
      <c r="AA403" s="1015"/>
      <c r="AB403" s="1015"/>
      <c r="AC403" s="194"/>
      <c r="AD403" s="194"/>
      <c r="AE403" s="194"/>
      <c r="AF403" s="194"/>
      <c r="AG403" s="1013"/>
      <c r="AH403" s="1015"/>
      <c r="AJ403" s="79" t="str">
        <f t="shared" si="164"/>
        <v/>
      </c>
      <c r="AK403" s="16" t="str">
        <f t="shared" si="165"/>
        <v/>
      </c>
      <c r="AL403" s="16" t="str">
        <f t="shared" si="166"/>
        <v/>
      </c>
      <c r="AM403" s="16" t="str">
        <f t="shared" si="167"/>
        <v/>
      </c>
      <c r="AN403" s="16" t="str">
        <f t="shared" si="168"/>
        <v/>
      </c>
      <c r="AO403" s="55"/>
      <c r="AP403" s="98">
        <v>4</v>
      </c>
      <c r="AQ403" s="99"/>
      <c r="AR403" s="100">
        <f>IFERROR(AP403*AQ403*AS404,0)</f>
        <v>0</v>
      </c>
      <c r="AS403" s="104"/>
      <c r="AT403" s="167"/>
      <c r="AU403" s="167"/>
      <c r="AV403" s="168"/>
      <c r="AW403" s="169"/>
      <c r="AX403" s="94">
        <f t="shared" si="169"/>
        <v>0</v>
      </c>
      <c r="AY403" s="95">
        <f t="shared" si="170"/>
        <v>0</v>
      </c>
    </row>
    <row r="404" spans="1:51" ht="15" customHeight="1">
      <c r="A404" s="1001"/>
      <c r="B404" s="1010"/>
      <c r="C404" s="1011"/>
      <c r="D404" s="188"/>
      <c r="E404" s="1011"/>
      <c r="F404" s="1012"/>
      <c r="G404" s="1012"/>
      <c r="H404" s="184"/>
      <c r="I404" s="190"/>
      <c r="J404" s="1001"/>
      <c r="K404" s="1001"/>
      <c r="L404" s="186"/>
      <c r="M404" s="1001"/>
      <c r="N404" s="1013"/>
      <c r="O404" s="192"/>
      <c r="P404" s="1014"/>
      <c r="Q404" s="1014"/>
      <c r="R404" s="1001"/>
      <c r="S404" s="1014"/>
      <c r="T404" s="1013"/>
      <c r="U404" s="1015"/>
      <c r="V404" s="1014"/>
      <c r="W404" s="1014"/>
      <c r="X404" s="1001"/>
      <c r="Y404" s="1014"/>
      <c r="Z404" s="1013"/>
      <c r="AA404" s="1015"/>
      <c r="AB404" s="1015"/>
      <c r="AC404" s="194"/>
      <c r="AD404" s="194"/>
      <c r="AE404" s="194"/>
      <c r="AF404" s="194"/>
      <c r="AG404" s="1013"/>
      <c r="AH404" s="1015"/>
      <c r="AJ404" s="79" t="str">
        <f t="shared" si="164"/>
        <v/>
      </c>
      <c r="AK404" s="16" t="str">
        <f t="shared" si="165"/>
        <v/>
      </c>
      <c r="AL404" s="16" t="str">
        <f t="shared" si="166"/>
        <v/>
      </c>
      <c r="AM404" s="16" t="str">
        <f t="shared" si="167"/>
        <v/>
      </c>
      <c r="AN404" s="16" t="str">
        <f t="shared" si="168"/>
        <v/>
      </c>
      <c r="AO404" s="55"/>
      <c r="AP404" s="98">
        <v>3</v>
      </c>
      <c r="AQ404" s="109"/>
      <c r="AR404" s="100">
        <f>IFERROR(AP404*AQ404*AS404,0)</f>
        <v>0</v>
      </c>
      <c r="AS404" s="48">
        <f>IFERROR(AR405/((AP404*AQ404)+(AP403*AQ403)+(AP402*AQ402)+(AP401*AQ401)),0)</f>
        <v>0</v>
      </c>
      <c r="AT404" s="167"/>
      <c r="AU404" s="167"/>
      <c r="AV404" s="168"/>
      <c r="AW404" s="169"/>
      <c r="AX404" s="94">
        <f t="shared" si="169"/>
        <v>0</v>
      </c>
      <c r="AY404" s="95">
        <f t="shared" si="170"/>
        <v>0</v>
      </c>
    </row>
    <row r="405" spans="1:51" ht="14.25" customHeight="1" thickBot="1">
      <c r="A405" s="1001"/>
      <c r="B405" s="1010"/>
      <c r="C405" s="1011"/>
      <c r="D405" s="1011"/>
      <c r="E405" s="1011"/>
      <c r="F405" s="1012"/>
      <c r="G405" s="1012"/>
      <c r="H405" s="184"/>
      <c r="I405" s="190"/>
      <c r="J405" s="1001"/>
      <c r="K405" s="1001"/>
      <c r="L405" s="186"/>
      <c r="M405" s="1001"/>
      <c r="N405" s="1013"/>
      <c r="O405" s="192"/>
      <c r="P405" s="185"/>
      <c r="Q405" s="1014"/>
      <c r="R405" s="1001"/>
      <c r="S405" s="1014"/>
      <c r="T405" s="1013"/>
      <c r="U405" s="1015"/>
      <c r="V405" s="185"/>
      <c r="W405" s="1014"/>
      <c r="X405" s="1001"/>
      <c r="Y405" s="1014"/>
      <c r="Z405" s="1013"/>
      <c r="AA405" s="1015"/>
      <c r="AB405" s="1015"/>
      <c r="AC405" s="194"/>
      <c r="AD405" s="194"/>
      <c r="AE405" s="194"/>
      <c r="AF405" s="194"/>
      <c r="AG405" s="1013"/>
      <c r="AH405" s="1015"/>
      <c r="AJ405" s="79" t="str">
        <f t="shared" si="164"/>
        <v/>
      </c>
      <c r="AK405" s="16" t="str">
        <f t="shared" si="165"/>
        <v/>
      </c>
      <c r="AL405" s="16" t="str">
        <f t="shared" si="166"/>
        <v/>
      </c>
      <c r="AM405" s="16" t="str">
        <f t="shared" si="167"/>
        <v/>
      </c>
      <c r="AN405" s="16" t="str">
        <f t="shared" si="168"/>
        <v/>
      </c>
      <c r="AO405" s="55"/>
      <c r="AP405" s="111"/>
      <c r="AQ405" s="112"/>
      <c r="AR405" s="113"/>
      <c r="AS405" s="104"/>
      <c r="AT405" s="167"/>
      <c r="AU405" s="167"/>
      <c r="AV405" s="168"/>
      <c r="AW405" s="169"/>
      <c r="AX405" s="94">
        <f t="shared" si="169"/>
        <v>0</v>
      </c>
      <c r="AY405" s="95">
        <f t="shared" si="170"/>
        <v>0</v>
      </c>
    </row>
    <row r="406" spans="1:51" ht="14.25" customHeight="1" thickBot="1">
      <c r="A406" s="1001"/>
      <c r="B406" s="1010"/>
      <c r="C406" s="1011"/>
      <c r="D406" s="1011"/>
      <c r="E406" s="1011"/>
      <c r="F406" s="1012"/>
      <c r="G406" s="1012"/>
      <c r="H406" s="184"/>
      <c r="I406" s="190"/>
      <c r="J406" s="1001"/>
      <c r="K406" s="1001"/>
      <c r="L406" s="186"/>
      <c r="M406" s="1001"/>
      <c r="N406" s="1013"/>
      <c r="O406" s="192"/>
      <c r="P406" s="1014"/>
      <c r="Q406" s="1014"/>
      <c r="R406" s="1001"/>
      <c r="S406" s="1014"/>
      <c r="T406" s="1013"/>
      <c r="U406" s="1015"/>
      <c r="V406" s="1014"/>
      <c r="W406" s="1014"/>
      <c r="X406" s="1001"/>
      <c r="Y406" s="1014"/>
      <c r="Z406" s="1013"/>
      <c r="AA406" s="1015"/>
      <c r="AB406" s="1015"/>
      <c r="AC406" s="194"/>
      <c r="AD406" s="194"/>
      <c r="AE406" s="194"/>
      <c r="AF406" s="194"/>
      <c r="AG406" s="1013"/>
      <c r="AH406" s="1015"/>
      <c r="AJ406" s="79" t="str">
        <f t="shared" si="164"/>
        <v/>
      </c>
      <c r="AK406" s="16" t="str">
        <f t="shared" si="165"/>
        <v/>
      </c>
      <c r="AL406" s="16" t="str">
        <f t="shared" si="166"/>
        <v/>
      </c>
      <c r="AM406" s="16" t="str">
        <f t="shared" si="167"/>
        <v/>
      </c>
      <c r="AN406" s="16" t="str">
        <f t="shared" si="168"/>
        <v/>
      </c>
      <c r="AO406" s="55"/>
      <c r="AP406" s="1250" t="s">
        <v>7</v>
      </c>
      <c r="AQ406" s="1250"/>
      <c r="AR406" s="1250"/>
      <c r="AS406" s="104"/>
      <c r="AT406" s="167"/>
      <c r="AU406" s="167"/>
      <c r="AV406" s="168"/>
      <c r="AW406" s="169"/>
      <c r="AX406" s="94">
        <f t="shared" si="169"/>
        <v>0</v>
      </c>
      <c r="AY406" s="95">
        <f t="shared" si="170"/>
        <v>0</v>
      </c>
    </row>
    <row r="407" spans="1:51" ht="15" customHeight="1" thickBot="1">
      <c r="A407" s="1001"/>
      <c r="B407" s="1010"/>
      <c r="C407" s="1011"/>
      <c r="D407" s="1011"/>
      <c r="E407" s="1011"/>
      <c r="F407" s="1012"/>
      <c r="G407" s="1012"/>
      <c r="H407" s="184"/>
      <c r="I407" s="190"/>
      <c r="J407" s="1001"/>
      <c r="K407" s="1001"/>
      <c r="L407" s="186"/>
      <c r="M407" s="1001"/>
      <c r="N407" s="1013"/>
      <c r="O407" s="192"/>
      <c r="P407" s="1014"/>
      <c r="Q407" s="1014"/>
      <c r="R407" s="1001"/>
      <c r="S407" s="1014"/>
      <c r="T407" s="1013"/>
      <c r="U407" s="1015"/>
      <c r="V407" s="1014"/>
      <c r="W407" s="185"/>
      <c r="X407" s="1001"/>
      <c r="Y407" s="1014"/>
      <c r="Z407" s="1013"/>
      <c r="AA407" s="1015"/>
      <c r="AB407" s="1015"/>
      <c r="AC407" s="194"/>
      <c r="AD407" s="194"/>
      <c r="AE407" s="194"/>
      <c r="AF407" s="194"/>
      <c r="AG407" s="1013"/>
      <c r="AH407" s="1015"/>
      <c r="AJ407" s="79" t="str">
        <f t="shared" si="164"/>
        <v/>
      </c>
      <c r="AK407" s="16" t="str">
        <f t="shared" si="165"/>
        <v/>
      </c>
      <c r="AL407" s="16" t="str">
        <f t="shared" si="166"/>
        <v/>
      </c>
      <c r="AM407" s="16" t="str">
        <f t="shared" si="167"/>
        <v/>
      </c>
      <c r="AN407" s="16" t="str">
        <f t="shared" si="168"/>
        <v/>
      </c>
      <c r="AO407" s="73">
        <v>160</v>
      </c>
      <c r="AP407" s="1250"/>
      <c r="AQ407" s="1250"/>
      <c r="AR407" s="1250"/>
      <c r="AS407" s="55"/>
      <c r="AT407" s="167"/>
      <c r="AU407" s="167"/>
      <c r="AV407" s="168"/>
      <c r="AW407" s="169"/>
      <c r="AX407" s="94">
        <f t="shared" si="169"/>
        <v>0</v>
      </c>
      <c r="AY407" s="95">
        <f t="shared" si="170"/>
        <v>0</v>
      </c>
    </row>
    <row r="408" spans="1:51" ht="15" customHeight="1" thickBot="1">
      <c r="A408" s="1001"/>
      <c r="B408" s="1010"/>
      <c r="C408" s="1011"/>
      <c r="D408" s="1011"/>
      <c r="E408" s="1011"/>
      <c r="F408" s="1012"/>
      <c r="G408" s="1012"/>
      <c r="H408" s="184"/>
      <c r="I408" s="190"/>
      <c r="J408" s="1001"/>
      <c r="K408" s="1001"/>
      <c r="L408" s="186"/>
      <c r="M408" s="1001"/>
      <c r="N408" s="1013"/>
      <c r="O408" s="192"/>
      <c r="P408" s="1014"/>
      <c r="Q408" s="185"/>
      <c r="R408" s="1018"/>
      <c r="S408" s="1014"/>
      <c r="T408" s="1013"/>
      <c r="U408" s="1015"/>
      <c r="V408" s="1014"/>
      <c r="W408" s="185"/>
      <c r="X408" s="1001"/>
      <c r="Y408" s="1014"/>
      <c r="Z408" s="1013"/>
      <c r="AA408" s="1015"/>
      <c r="AB408" s="1015"/>
      <c r="AC408" s="194"/>
      <c r="AD408" s="194"/>
      <c r="AE408" s="194"/>
      <c r="AF408" s="194"/>
      <c r="AG408" s="1013"/>
      <c r="AH408" s="1015"/>
      <c r="AJ408" s="79" t="str">
        <f t="shared" si="164"/>
        <v/>
      </c>
      <c r="AK408" s="16" t="str">
        <f t="shared" si="165"/>
        <v/>
      </c>
      <c r="AL408" s="16" t="str">
        <f t="shared" si="166"/>
        <v/>
      </c>
      <c r="AM408" s="16" t="str">
        <f t="shared" si="167"/>
        <v/>
      </c>
      <c r="AN408" s="16" t="str">
        <f t="shared" si="168"/>
        <v/>
      </c>
      <c r="AO408" s="55"/>
      <c r="AP408" s="1250"/>
      <c r="AQ408" s="1250"/>
      <c r="AR408" s="1250"/>
      <c r="AS408" s="55"/>
      <c r="AT408" s="167"/>
      <c r="AU408" s="167"/>
      <c r="AV408" s="168"/>
      <c r="AW408" s="169"/>
      <c r="AX408" s="94">
        <f t="shared" si="169"/>
        <v>0</v>
      </c>
      <c r="AY408" s="95">
        <f t="shared" si="170"/>
        <v>0</v>
      </c>
    </row>
    <row r="409" spans="1:51" ht="16.5" customHeight="1">
      <c r="A409" s="1001"/>
      <c r="B409" s="1010"/>
      <c r="C409" s="1011"/>
      <c r="D409" s="1011"/>
      <c r="E409" s="1011"/>
      <c r="F409" s="1012"/>
      <c r="G409" s="1012"/>
      <c r="H409" s="184"/>
      <c r="I409" s="190"/>
      <c r="J409" s="1001"/>
      <c r="K409" s="1001"/>
      <c r="L409" s="186"/>
      <c r="M409" s="1001"/>
      <c r="N409" s="1013"/>
      <c r="O409" s="192"/>
      <c r="P409" s="1014"/>
      <c r="Q409" s="185"/>
      <c r="R409" s="1014"/>
      <c r="S409" s="1014"/>
      <c r="T409" s="1013"/>
      <c r="U409" s="1015"/>
      <c r="V409" s="1014"/>
      <c r="W409" s="185"/>
      <c r="X409" s="1001"/>
      <c r="Y409" s="1014"/>
      <c r="Z409" s="1013"/>
      <c r="AA409" s="1015"/>
      <c r="AB409" s="1015"/>
      <c r="AC409" s="194"/>
      <c r="AD409" s="194"/>
      <c r="AE409" s="194"/>
      <c r="AF409" s="194"/>
      <c r="AG409" s="1013"/>
      <c r="AH409" s="1015"/>
      <c r="AJ409" s="79" t="str">
        <f t="shared" si="164"/>
        <v/>
      </c>
      <c r="AK409" s="16" t="str">
        <f t="shared" si="165"/>
        <v/>
      </c>
      <c r="AL409" s="16" t="str">
        <f t="shared" si="166"/>
        <v/>
      </c>
      <c r="AM409" s="16" t="str">
        <f t="shared" si="167"/>
        <v/>
      </c>
      <c r="AN409" s="16" t="str">
        <f t="shared" si="168"/>
        <v/>
      </c>
      <c r="AO409" s="55"/>
      <c r="AP409" s="117">
        <v>6</v>
      </c>
      <c r="AQ409" s="118"/>
      <c r="AR409" s="100">
        <f>IFERROR(AP409*AQ409*AS412,0)</f>
        <v>0</v>
      </c>
      <c r="AS409" s="55"/>
      <c r="AT409" s="167"/>
      <c r="AU409" s="167"/>
      <c r="AV409" s="168"/>
      <c r="AW409" s="169"/>
      <c r="AX409" s="94">
        <f t="shared" si="169"/>
        <v>0</v>
      </c>
      <c r="AY409" s="95">
        <f t="shared" si="170"/>
        <v>0</v>
      </c>
    </row>
    <row r="410" spans="1:51" ht="16.5" customHeight="1">
      <c r="A410" s="1001"/>
      <c r="B410" s="1010"/>
      <c r="C410" s="1011"/>
      <c r="D410" s="1011"/>
      <c r="E410" s="1011"/>
      <c r="F410" s="1012"/>
      <c r="G410" s="1012"/>
      <c r="H410" s="184"/>
      <c r="I410" s="190"/>
      <c r="J410" s="1001"/>
      <c r="K410" s="1001"/>
      <c r="L410" s="186"/>
      <c r="M410" s="1001"/>
      <c r="N410" s="1013"/>
      <c r="O410" s="192"/>
      <c r="P410" s="1014"/>
      <c r="Q410" s="184"/>
      <c r="R410" s="1018"/>
      <c r="S410" s="1019"/>
      <c r="T410" s="1013"/>
      <c r="U410" s="1015"/>
      <c r="V410" s="1014"/>
      <c r="W410" s="185"/>
      <c r="X410" s="1001"/>
      <c r="Y410" s="1014"/>
      <c r="Z410" s="1013"/>
      <c r="AA410" s="1015"/>
      <c r="AB410" s="1015"/>
      <c r="AC410" s="194"/>
      <c r="AD410" s="194"/>
      <c r="AE410" s="194"/>
      <c r="AF410" s="194"/>
      <c r="AG410" s="1013"/>
      <c r="AH410" s="1015"/>
      <c r="AJ410" s="79" t="str">
        <f t="shared" si="164"/>
        <v/>
      </c>
      <c r="AK410" s="16" t="str">
        <f t="shared" si="165"/>
        <v/>
      </c>
      <c r="AL410" s="16" t="str">
        <f t="shared" si="166"/>
        <v/>
      </c>
      <c r="AM410" s="16" t="str">
        <f t="shared" si="167"/>
        <v/>
      </c>
      <c r="AN410" s="16" t="str">
        <f t="shared" si="168"/>
        <v/>
      </c>
      <c r="AO410" s="55"/>
      <c r="AP410" s="98">
        <v>5</v>
      </c>
      <c r="AQ410" s="99"/>
      <c r="AR410" s="100">
        <f>IFERROR(AP410*AQ410*AS412,0)</f>
        <v>0</v>
      </c>
      <c r="AS410" s="55"/>
      <c r="AT410" s="177"/>
      <c r="AU410" s="178"/>
      <c r="AV410" s="177"/>
      <c r="AW410" s="179"/>
      <c r="AX410" s="94">
        <f t="shared" si="169"/>
        <v>0</v>
      </c>
      <c r="AY410" s="95">
        <f t="shared" si="170"/>
        <v>0</v>
      </c>
    </row>
    <row r="411" spans="1:51" ht="15.75" customHeight="1">
      <c r="A411" s="1001"/>
      <c r="B411" s="1010"/>
      <c r="C411" s="1020"/>
      <c r="D411" s="1021"/>
      <c r="E411" s="1020"/>
      <c r="F411" s="1022"/>
      <c r="G411" s="1022"/>
      <c r="H411" s="184"/>
      <c r="I411" s="190"/>
      <c r="J411" s="1001"/>
      <c r="K411" s="1001"/>
      <c r="L411" s="186"/>
      <c r="M411" s="1001"/>
      <c r="N411" s="1013"/>
      <c r="O411" s="192"/>
      <c r="P411" s="1019"/>
      <c r="Q411" s="184"/>
      <c r="R411" s="1018"/>
      <c r="S411" s="1019"/>
      <c r="T411" s="1013"/>
      <c r="U411" s="1015"/>
      <c r="V411" s="1014"/>
      <c r="W411" s="185"/>
      <c r="X411" s="1001"/>
      <c r="Y411" s="1014"/>
      <c r="Z411" s="1013"/>
      <c r="AA411" s="1015"/>
      <c r="AB411" s="1015"/>
      <c r="AC411" s="194"/>
      <c r="AD411" s="194"/>
      <c r="AE411" s="194"/>
      <c r="AF411" s="194"/>
      <c r="AG411" s="1013"/>
      <c r="AH411" s="1015"/>
      <c r="AJ411" s="79" t="str">
        <f t="shared" si="164"/>
        <v/>
      </c>
      <c r="AK411" s="16" t="str">
        <f t="shared" si="165"/>
        <v/>
      </c>
      <c r="AL411" s="16" t="str">
        <f t="shared" si="166"/>
        <v/>
      </c>
      <c r="AM411" s="16" t="str">
        <f t="shared" si="167"/>
        <v/>
      </c>
      <c r="AN411" s="16" t="str">
        <f t="shared" si="168"/>
        <v/>
      </c>
      <c r="AO411" s="104"/>
      <c r="AP411" s="98">
        <v>4</v>
      </c>
      <c r="AQ411" s="99"/>
      <c r="AR411" s="100">
        <f>IFERROR(AP411*AQ411*AS412,0)</f>
        <v>0</v>
      </c>
      <c r="AS411" s="55"/>
      <c r="AT411" s="167"/>
      <c r="AU411" s="165"/>
      <c r="AV411" s="168"/>
      <c r="AW411" s="169"/>
      <c r="AX411" s="94">
        <f t="shared" si="169"/>
        <v>0</v>
      </c>
      <c r="AY411" s="95">
        <f t="shared" si="170"/>
        <v>0</v>
      </c>
    </row>
    <row r="412" spans="1:51" ht="15" customHeight="1">
      <c r="A412" s="1001"/>
      <c r="B412" s="1001"/>
      <c r="C412" s="1023"/>
      <c r="D412" s="1023"/>
      <c r="E412" s="1023"/>
      <c r="F412" s="1024"/>
      <c r="G412" s="1024"/>
      <c r="H412" s="1001"/>
      <c r="I412" s="1001"/>
      <c r="J412" s="201"/>
      <c r="K412" s="201"/>
      <c r="L412" s="201"/>
      <c r="M412" s="201"/>
      <c r="N412" s="1025"/>
      <c r="O412" s="1002"/>
      <c r="P412" s="1001"/>
      <c r="Q412" s="1001"/>
      <c r="R412" s="1001"/>
      <c r="S412" s="1003"/>
      <c r="T412" s="1001"/>
      <c r="U412" s="1004"/>
      <c r="V412" s="1001"/>
      <c r="W412" s="1001"/>
      <c r="X412" s="1001"/>
      <c r="Y412" s="1001"/>
      <c r="Z412" s="1001"/>
      <c r="AA412" s="1004"/>
      <c r="AB412" s="1001"/>
      <c r="AC412" s="1001"/>
      <c r="AD412" s="1001"/>
      <c r="AE412" s="1001"/>
      <c r="AF412" s="1001"/>
      <c r="AG412" s="54"/>
      <c r="AH412" s="54"/>
      <c r="AK412" s="2"/>
      <c r="AL412" s="2"/>
      <c r="AM412" s="2"/>
      <c r="AN412" s="2"/>
      <c r="AO412" s="55"/>
      <c r="AP412" s="98">
        <v>3</v>
      </c>
      <c r="AQ412" s="109"/>
      <c r="AR412" s="100">
        <f>IFERROR(AP412*AQ412*AS412,0)</f>
        <v>0</v>
      </c>
      <c r="AS412" s="48">
        <f>IFERROR(AR413/((AP412*AQ412)+(AP411*AQ411)+(AP410*AQ410)+(AP409*AQ409)),0)</f>
        <v>0</v>
      </c>
    </row>
    <row r="413" spans="1:51" ht="15.75" customHeight="1" thickBot="1">
      <c r="A413" s="1001"/>
      <c r="B413" s="1001"/>
      <c r="C413" s="1023"/>
      <c r="D413" s="1023"/>
      <c r="E413" s="1023"/>
      <c r="F413" s="1024"/>
      <c r="G413" s="1024"/>
      <c r="H413" s="184"/>
      <c r="I413" s="190"/>
      <c r="J413" s="1026"/>
      <c r="K413" s="1026"/>
      <c r="L413" s="1026"/>
      <c r="M413" s="1026"/>
      <c r="N413" s="1013"/>
      <c r="O413" s="192"/>
      <c r="P413" s="1027"/>
      <c r="Q413" s="1027"/>
      <c r="R413" s="1027"/>
      <c r="S413" s="1027"/>
      <c r="T413" s="1018"/>
      <c r="U413" s="1018"/>
      <c r="V413" s="1027"/>
      <c r="W413" s="1027"/>
      <c r="X413" s="1027"/>
      <c r="Y413" s="1027"/>
      <c r="Z413" s="1001"/>
      <c r="AA413" s="1001"/>
      <c r="AB413" s="1001"/>
      <c r="AC413" s="1027"/>
      <c r="AD413" s="1027"/>
      <c r="AE413" s="1027"/>
      <c r="AF413" s="1027"/>
      <c r="AG413" s="54"/>
      <c r="AH413" s="54"/>
      <c r="AK413" s="154">
        <f>SUM(AK400:AK412)</f>
        <v>0</v>
      </c>
      <c r="AL413" s="154">
        <f>SUM(AL400:AL412)</f>
        <v>0</v>
      </c>
      <c r="AM413" s="154">
        <f>SUM(AM400:AM412)</f>
        <v>0</v>
      </c>
      <c r="AN413" s="154">
        <f>SUM(AN400:AN412)</f>
        <v>0</v>
      </c>
      <c r="AO413" s="55"/>
      <c r="AP413" s="111"/>
      <c r="AQ413" s="112"/>
      <c r="AR413" s="155"/>
      <c r="AS413" s="55"/>
    </row>
    <row r="414" spans="1:51" ht="15.75" customHeight="1">
      <c r="A414" s="1028"/>
      <c r="B414" s="1001"/>
      <c r="C414" s="1001"/>
      <c r="D414" s="1001"/>
      <c r="E414" s="1001"/>
      <c r="F414" s="1001"/>
      <c r="G414" s="1001"/>
      <c r="H414" s="1018"/>
      <c r="I414" s="190"/>
      <c r="J414" s="1026"/>
      <c r="K414" s="1026"/>
      <c r="L414" s="1026"/>
      <c r="M414" s="1026"/>
      <c r="N414" s="1013"/>
      <c r="O414" s="192"/>
      <c r="P414" s="1027"/>
      <c r="Q414" s="1027"/>
      <c r="R414" s="1027"/>
      <c r="S414" s="1027"/>
      <c r="T414" s="1029"/>
      <c r="U414" s="1030"/>
      <c r="V414" s="1027"/>
      <c r="W414" s="1027"/>
      <c r="X414" s="1027"/>
      <c r="Y414" s="1027"/>
      <c r="Z414" s="1031"/>
      <c r="AA414" s="1032"/>
      <c r="AB414" s="1033"/>
      <c r="AC414" s="1027"/>
      <c r="AD414" s="1027"/>
      <c r="AE414" s="1027"/>
      <c r="AF414" s="1027"/>
      <c r="AG414" s="54"/>
      <c r="AH414" s="1030"/>
      <c r="AK414" s="48"/>
      <c r="AL414" s="48"/>
      <c r="AM414" s="48"/>
      <c r="AN414" s="48"/>
      <c r="AO414" s="55"/>
      <c r="AP414" s="55"/>
      <c r="AQ414" s="55"/>
      <c r="AR414" s="157">
        <f>AR405+AR413</f>
        <v>0</v>
      </c>
      <c r="AS414" s="55"/>
    </row>
    <row r="415" spans="1:51" ht="19.5" customHeight="1" thickBot="1">
      <c r="A415" s="1007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007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  <c r="AC415" s="182"/>
      <c r="AD415" s="182"/>
      <c r="AE415" s="182"/>
      <c r="AF415" s="182"/>
      <c r="AG415" s="54"/>
      <c r="AH415" s="54"/>
      <c r="AK415" s="48"/>
      <c r="AL415" s="48"/>
      <c r="AM415" s="48"/>
      <c r="AN415" s="48"/>
      <c r="AO415" s="48"/>
      <c r="AP415" s="48"/>
      <c r="AQ415" s="48"/>
      <c r="AR415" s="48"/>
      <c r="AS415" s="48"/>
    </row>
    <row r="416" spans="1:51" ht="14.25" customHeight="1" thickBot="1">
      <c r="A416" s="1252"/>
      <c r="B416" s="1253"/>
      <c r="C416" s="1254"/>
      <c r="D416" s="1254"/>
      <c r="E416" s="1254"/>
      <c r="F416" s="1254"/>
      <c r="G416" s="1254"/>
      <c r="H416" s="1253"/>
      <c r="I416" s="1254"/>
      <c r="J416" s="1253"/>
      <c r="K416" s="1253"/>
      <c r="L416" s="1253"/>
      <c r="M416" s="1253"/>
      <c r="N416" s="1255"/>
      <c r="O416" s="1258"/>
      <c r="P416" s="1254"/>
      <c r="Q416" s="1254"/>
      <c r="R416" s="1254"/>
      <c r="S416" s="1254"/>
      <c r="T416" s="1259"/>
      <c r="U416" s="1258"/>
      <c r="V416" s="1254"/>
      <c r="W416" s="1254"/>
      <c r="X416" s="1254"/>
      <c r="Y416" s="1254"/>
      <c r="Z416" s="1259"/>
      <c r="AA416" s="1258"/>
      <c r="AB416" s="1258"/>
      <c r="AC416" s="1260"/>
      <c r="AD416" s="1260"/>
      <c r="AE416" s="1260"/>
      <c r="AF416" s="1260"/>
      <c r="AG416" s="1259"/>
      <c r="AH416" s="1258"/>
      <c r="AK416" s="1257" t="s">
        <v>37</v>
      </c>
      <c r="AL416" s="1257"/>
      <c r="AM416" s="1257"/>
      <c r="AN416" s="1257"/>
      <c r="AO416" s="55"/>
      <c r="AP416" s="1250" t="s">
        <v>7</v>
      </c>
      <c r="AQ416" s="1250"/>
      <c r="AR416" s="1250"/>
      <c r="AS416" s="55"/>
      <c r="AT416" s="1251" t="s">
        <v>38</v>
      </c>
      <c r="AU416" s="1251"/>
      <c r="AV416" s="1251"/>
      <c r="AW416" s="1251"/>
      <c r="AX416" s="94" t="s">
        <v>39</v>
      </c>
      <c r="AY416" s="95" t="s">
        <v>12</v>
      </c>
    </row>
    <row r="417" spans="1:51" ht="18" customHeight="1" thickBot="1">
      <c r="A417" s="1252"/>
      <c r="B417" s="1252"/>
      <c r="C417" s="186"/>
      <c r="D417" s="186"/>
      <c r="E417" s="186"/>
      <c r="F417" s="186"/>
      <c r="G417" s="186"/>
      <c r="H417" s="1253"/>
      <c r="I417" s="1254"/>
      <c r="J417" s="185"/>
      <c r="K417" s="185"/>
      <c r="L417" s="185"/>
      <c r="M417" s="185"/>
      <c r="N417" s="1255"/>
      <c r="O417" s="1258"/>
      <c r="P417" s="186"/>
      <c r="Q417" s="185"/>
      <c r="R417" s="1008"/>
      <c r="S417" s="185"/>
      <c r="T417" s="1259"/>
      <c r="U417" s="1259"/>
      <c r="V417" s="186"/>
      <c r="W417" s="185"/>
      <c r="X417" s="1008"/>
      <c r="Y417" s="185"/>
      <c r="Z417" s="1259"/>
      <c r="AA417" s="1259"/>
      <c r="AB417" s="1258"/>
      <c r="AC417" s="186"/>
      <c r="AD417" s="185"/>
      <c r="AE417" s="1008"/>
      <c r="AF417" s="185"/>
      <c r="AG417" s="1259"/>
      <c r="AH417" s="1258"/>
      <c r="AK417" s="162" t="s">
        <v>49</v>
      </c>
      <c r="AL417" s="162" t="s">
        <v>50</v>
      </c>
      <c r="AM417" s="162" t="s">
        <v>51</v>
      </c>
      <c r="AN417" s="162" t="s">
        <v>52</v>
      </c>
      <c r="AO417" s="73">
        <v>130</v>
      </c>
      <c r="AP417" s="1250"/>
      <c r="AQ417" s="1250"/>
      <c r="AR417" s="1250"/>
      <c r="AS417" s="55"/>
      <c r="AT417" s="164" t="s">
        <v>45</v>
      </c>
      <c r="AU417" s="165" t="s">
        <v>46</v>
      </c>
      <c r="AV417" s="166" t="s">
        <v>47</v>
      </c>
      <c r="AW417" s="161" t="s">
        <v>48</v>
      </c>
      <c r="AX417" s="94"/>
      <c r="AY417" s="95"/>
    </row>
    <row r="418" spans="1:51" ht="15" customHeight="1" thickBot="1">
      <c r="A418" s="1009"/>
      <c r="B418" s="1010"/>
      <c r="C418" s="1011"/>
      <c r="D418" s="1011"/>
      <c r="E418" s="1011"/>
      <c r="F418" s="1012"/>
      <c r="G418" s="1012"/>
      <c r="H418" s="184"/>
      <c r="I418" s="190"/>
      <c r="J418" s="1001"/>
      <c r="K418" s="1001"/>
      <c r="L418" s="186"/>
      <c r="M418" s="1001"/>
      <c r="N418" s="1013"/>
      <c r="O418" s="192"/>
      <c r="P418" s="1014"/>
      <c r="Q418" s="1014"/>
      <c r="R418" s="1001"/>
      <c r="S418" s="1014"/>
      <c r="T418" s="1013"/>
      <c r="U418" s="1015"/>
      <c r="V418" s="1014"/>
      <c r="W418" s="1014"/>
      <c r="X418" s="1001"/>
      <c r="Y418" s="1014"/>
      <c r="Z418" s="1013"/>
      <c r="AA418" s="1015"/>
      <c r="AB418" s="1015"/>
      <c r="AC418" s="194"/>
      <c r="AD418" s="194"/>
      <c r="AE418" s="194"/>
      <c r="AF418" s="194"/>
      <c r="AG418" s="1013"/>
      <c r="AH418" s="1015"/>
      <c r="AJ418" s="79" t="str">
        <f t="shared" ref="AJ418:AJ429" si="171">IF(H418=130,0.132335,IF(H418=100,0.0785,IF(H418=110,0.095,IF(H418=160,0.198005,""))))</f>
        <v/>
      </c>
      <c r="AK418" s="16" t="str">
        <f t="shared" ref="AK418:AK429" si="172">IFERROR(P418*3*AJ418,"")</f>
        <v/>
      </c>
      <c r="AL418" s="16" t="str">
        <f t="shared" ref="AL418:AL429" si="173">IFERROR(Q418*4*AJ418,"")</f>
        <v/>
      </c>
      <c r="AM418" s="16" t="str">
        <f t="shared" ref="AM418:AM429" si="174">IFERROR(R418*5*AJ418,"")</f>
        <v/>
      </c>
      <c r="AN418" s="16" t="str">
        <f t="shared" ref="AN418:AN429" si="175">IFERROR(S418*6*AJ418,"")</f>
        <v/>
      </c>
      <c r="AO418" s="55"/>
      <c r="AP418" s="1250"/>
      <c r="AQ418" s="1250"/>
      <c r="AR418" s="1250"/>
      <c r="AS418" s="55"/>
      <c r="AT418" s="167"/>
      <c r="AU418" s="167"/>
      <c r="AV418" s="168"/>
      <c r="AW418" s="169"/>
      <c r="AX418" s="94">
        <f t="shared" ref="AX418:AX429" si="176">AT418*3+AU418*4+AV418*5+AW418*6</f>
        <v>0</v>
      </c>
      <c r="AY418" s="95">
        <f t="shared" ref="AY418:AY429" si="177">AX418*I418</f>
        <v>0</v>
      </c>
    </row>
    <row r="419" spans="1:51" ht="15" customHeight="1">
      <c r="A419" s="1001"/>
      <c r="B419" s="1010"/>
      <c r="C419" s="1011"/>
      <c r="D419" s="1011"/>
      <c r="E419" s="1011"/>
      <c r="F419" s="1012"/>
      <c r="G419" s="1012"/>
      <c r="H419" s="184"/>
      <c r="I419" s="190"/>
      <c r="J419" s="1001"/>
      <c r="K419" s="1001"/>
      <c r="L419" s="186"/>
      <c r="M419" s="1001"/>
      <c r="N419" s="1013"/>
      <c r="O419" s="192"/>
      <c r="P419" s="1014"/>
      <c r="Q419" s="1014"/>
      <c r="R419" s="1001"/>
      <c r="S419" s="1014"/>
      <c r="T419" s="1013"/>
      <c r="U419" s="1015"/>
      <c r="V419" s="1014"/>
      <c r="W419" s="1014"/>
      <c r="X419" s="186"/>
      <c r="Y419" s="1014"/>
      <c r="Z419" s="1013"/>
      <c r="AA419" s="1015"/>
      <c r="AB419" s="1015"/>
      <c r="AC419" s="194"/>
      <c r="AD419" s="194"/>
      <c r="AE419" s="194"/>
      <c r="AF419" s="194"/>
      <c r="AG419" s="1013"/>
      <c r="AH419" s="1015"/>
      <c r="AJ419" s="79" t="str">
        <f t="shared" si="171"/>
        <v/>
      </c>
      <c r="AK419" s="16" t="str">
        <f t="shared" si="172"/>
        <v/>
      </c>
      <c r="AL419" s="16" t="str">
        <f t="shared" si="173"/>
        <v/>
      </c>
      <c r="AM419" s="16" t="str">
        <f t="shared" si="174"/>
        <v/>
      </c>
      <c r="AN419" s="16" t="str">
        <f t="shared" si="175"/>
        <v/>
      </c>
      <c r="AO419" s="55"/>
      <c r="AP419" s="98">
        <v>6</v>
      </c>
      <c r="AQ419" s="99"/>
      <c r="AR419" s="100">
        <f>IFERROR(AP419*AQ419*AS422,0)</f>
        <v>0</v>
      </c>
      <c r="AS419" s="55"/>
      <c r="AT419" s="167"/>
      <c r="AU419" s="167"/>
      <c r="AV419" s="164"/>
      <c r="AW419" s="169"/>
      <c r="AX419" s="94">
        <f t="shared" si="176"/>
        <v>0</v>
      </c>
      <c r="AY419" s="95">
        <f t="shared" si="177"/>
        <v>0</v>
      </c>
    </row>
    <row r="420" spans="1:51" ht="15" customHeight="1">
      <c r="A420" s="1001"/>
      <c r="B420" s="1010"/>
      <c r="C420" s="1016"/>
      <c r="D420" s="1016"/>
      <c r="E420" s="1016"/>
      <c r="F420" s="1017"/>
      <c r="G420" s="1017"/>
      <c r="H420" s="184"/>
      <c r="I420" s="190"/>
      <c r="J420" s="1001"/>
      <c r="K420" s="1001"/>
      <c r="L420" s="186"/>
      <c r="M420" s="1001"/>
      <c r="N420" s="1013"/>
      <c r="O420" s="192"/>
      <c r="P420" s="1014"/>
      <c r="Q420" s="1014"/>
      <c r="R420" s="1001"/>
      <c r="S420" s="1014"/>
      <c r="T420" s="1013"/>
      <c r="U420" s="1015"/>
      <c r="V420" s="1014"/>
      <c r="W420" s="1014"/>
      <c r="X420" s="1001"/>
      <c r="Y420" s="1014"/>
      <c r="Z420" s="1013"/>
      <c r="AA420" s="1015"/>
      <c r="AB420" s="1015"/>
      <c r="AC420" s="194"/>
      <c r="AD420" s="194"/>
      <c r="AE420" s="194"/>
      <c r="AF420" s="194"/>
      <c r="AG420" s="1013"/>
      <c r="AH420" s="1015"/>
      <c r="AJ420" s="79" t="str">
        <f t="shared" si="171"/>
        <v/>
      </c>
      <c r="AK420" s="16" t="str">
        <f t="shared" si="172"/>
        <v/>
      </c>
      <c r="AL420" s="16" t="str">
        <f t="shared" si="173"/>
        <v/>
      </c>
      <c r="AM420" s="16" t="str">
        <f t="shared" si="174"/>
        <v/>
      </c>
      <c r="AN420" s="16" t="str">
        <f t="shared" si="175"/>
        <v/>
      </c>
      <c r="AO420" s="55"/>
      <c r="AP420" s="98">
        <v>5</v>
      </c>
      <c r="AQ420" s="99"/>
      <c r="AR420" s="100">
        <f>IFERROR(AP420*AQ420*AS422,0)</f>
        <v>0</v>
      </c>
      <c r="AS420" s="104"/>
      <c r="AT420" s="167"/>
      <c r="AU420" s="167"/>
      <c r="AV420" s="164"/>
      <c r="AW420" s="169"/>
      <c r="AX420" s="94">
        <f t="shared" si="176"/>
        <v>0</v>
      </c>
      <c r="AY420" s="95">
        <f t="shared" si="177"/>
        <v>0</v>
      </c>
    </row>
    <row r="421" spans="1:51" ht="15" customHeight="1">
      <c r="A421" s="1001"/>
      <c r="B421" s="1010"/>
      <c r="C421" s="1011"/>
      <c r="D421" s="1011"/>
      <c r="E421" s="1011"/>
      <c r="F421" s="1012"/>
      <c r="G421" s="1012"/>
      <c r="H421" s="184"/>
      <c r="I421" s="190"/>
      <c r="J421" s="1001"/>
      <c r="K421" s="1001"/>
      <c r="L421" s="186"/>
      <c r="M421" s="1001"/>
      <c r="N421" s="1013"/>
      <c r="O421" s="192"/>
      <c r="P421" s="1014"/>
      <c r="Q421" s="1014"/>
      <c r="R421" s="1001"/>
      <c r="S421" s="1014"/>
      <c r="T421" s="1013"/>
      <c r="U421" s="1015"/>
      <c r="V421" s="1014"/>
      <c r="W421" s="1014"/>
      <c r="X421" s="1001"/>
      <c r="Y421" s="1014"/>
      <c r="Z421" s="1013"/>
      <c r="AA421" s="1015"/>
      <c r="AB421" s="1015"/>
      <c r="AC421" s="194"/>
      <c r="AD421" s="194"/>
      <c r="AE421" s="194"/>
      <c r="AF421" s="194"/>
      <c r="AG421" s="1013"/>
      <c r="AH421" s="1015"/>
      <c r="AJ421" s="79" t="str">
        <f t="shared" si="171"/>
        <v/>
      </c>
      <c r="AK421" s="16" t="str">
        <f t="shared" si="172"/>
        <v/>
      </c>
      <c r="AL421" s="16" t="str">
        <f t="shared" si="173"/>
        <v/>
      </c>
      <c r="AM421" s="16" t="str">
        <f t="shared" si="174"/>
        <v/>
      </c>
      <c r="AN421" s="16" t="str">
        <f t="shared" si="175"/>
        <v/>
      </c>
      <c r="AO421" s="55"/>
      <c r="AP421" s="98">
        <v>4</v>
      </c>
      <c r="AQ421" s="99"/>
      <c r="AR421" s="100">
        <f>IFERROR(AP421*AQ421*AS422,0)</f>
        <v>0</v>
      </c>
      <c r="AS421" s="104"/>
      <c r="AT421" s="167"/>
      <c r="AU421" s="167"/>
      <c r="AV421" s="168"/>
      <c r="AW421" s="169"/>
      <c r="AX421" s="94">
        <f t="shared" si="176"/>
        <v>0</v>
      </c>
      <c r="AY421" s="95">
        <f t="shared" si="177"/>
        <v>0</v>
      </c>
    </row>
    <row r="422" spans="1:51" ht="15" customHeight="1">
      <c r="A422" s="1001"/>
      <c r="B422" s="1010"/>
      <c r="C422" s="1011"/>
      <c r="D422" s="188"/>
      <c r="E422" s="1011"/>
      <c r="F422" s="1012"/>
      <c r="G422" s="1012"/>
      <c r="H422" s="184"/>
      <c r="I422" s="190"/>
      <c r="J422" s="1001"/>
      <c r="K422" s="1001"/>
      <c r="L422" s="186"/>
      <c r="M422" s="1001"/>
      <c r="N422" s="1013"/>
      <c r="O422" s="192"/>
      <c r="P422" s="1014"/>
      <c r="Q422" s="1014"/>
      <c r="R422" s="1001"/>
      <c r="S422" s="1014"/>
      <c r="T422" s="1013"/>
      <c r="U422" s="1015"/>
      <c r="V422" s="1014"/>
      <c r="W422" s="1014"/>
      <c r="X422" s="1001"/>
      <c r="Y422" s="1014"/>
      <c r="Z422" s="1013"/>
      <c r="AA422" s="1015"/>
      <c r="AB422" s="1015"/>
      <c r="AC422" s="194"/>
      <c r="AD422" s="194"/>
      <c r="AE422" s="194"/>
      <c r="AF422" s="194"/>
      <c r="AG422" s="1013"/>
      <c r="AH422" s="1015"/>
      <c r="AJ422" s="79" t="str">
        <f t="shared" si="171"/>
        <v/>
      </c>
      <c r="AK422" s="16" t="str">
        <f t="shared" si="172"/>
        <v/>
      </c>
      <c r="AL422" s="16" t="str">
        <f t="shared" si="173"/>
        <v/>
      </c>
      <c r="AM422" s="16" t="str">
        <f t="shared" si="174"/>
        <v/>
      </c>
      <c r="AN422" s="16" t="str">
        <f t="shared" si="175"/>
        <v/>
      </c>
      <c r="AO422" s="55"/>
      <c r="AP422" s="98">
        <v>3</v>
      </c>
      <c r="AQ422" s="109"/>
      <c r="AR422" s="100">
        <f>IFERROR(AP422*AQ422*AS422,0)</f>
        <v>0</v>
      </c>
      <c r="AS422" s="48">
        <f>IFERROR(AR423/((AP422*AQ422)+(AP421*AQ421)+(AP420*AQ420)+(AP419*AQ419)),0)</f>
        <v>0</v>
      </c>
      <c r="AT422" s="167"/>
      <c r="AU422" s="167"/>
      <c r="AV422" s="168"/>
      <c r="AW422" s="169"/>
      <c r="AX422" s="94">
        <f t="shared" si="176"/>
        <v>0</v>
      </c>
      <c r="AY422" s="95">
        <f t="shared" si="177"/>
        <v>0</v>
      </c>
    </row>
    <row r="423" spans="1:51" ht="14.25" customHeight="1" thickBot="1">
      <c r="A423" s="1001"/>
      <c r="B423" s="1010"/>
      <c r="C423" s="1011"/>
      <c r="D423" s="1011"/>
      <c r="E423" s="1011"/>
      <c r="F423" s="1012"/>
      <c r="G423" s="1012"/>
      <c r="H423" s="184"/>
      <c r="I423" s="190"/>
      <c r="J423" s="1001"/>
      <c r="K423" s="1001"/>
      <c r="L423" s="186"/>
      <c r="M423" s="1001"/>
      <c r="N423" s="1013"/>
      <c r="O423" s="192"/>
      <c r="P423" s="185"/>
      <c r="Q423" s="1014"/>
      <c r="R423" s="1001"/>
      <c r="S423" s="1014"/>
      <c r="T423" s="1013"/>
      <c r="U423" s="1015"/>
      <c r="V423" s="185"/>
      <c r="W423" s="1014"/>
      <c r="X423" s="1001"/>
      <c r="Y423" s="1014"/>
      <c r="Z423" s="1013"/>
      <c r="AA423" s="1015"/>
      <c r="AB423" s="1015"/>
      <c r="AC423" s="194"/>
      <c r="AD423" s="194"/>
      <c r="AE423" s="194"/>
      <c r="AF423" s="194"/>
      <c r="AG423" s="1013"/>
      <c r="AH423" s="1015"/>
      <c r="AJ423" s="79" t="str">
        <f t="shared" si="171"/>
        <v/>
      </c>
      <c r="AK423" s="16" t="str">
        <f t="shared" si="172"/>
        <v/>
      </c>
      <c r="AL423" s="16" t="str">
        <f t="shared" si="173"/>
        <v/>
      </c>
      <c r="AM423" s="16" t="str">
        <f t="shared" si="174"/>
        <v/>
      </c>
      <c r="AN423" s="16" t="str">
        <f t="shared" si="175"/>
        <v/>
      </c>
      <c r="AO423" s="55"/>
      <c r="AP423" s="111"/>
      <c r="AQ423" s="112"/>
      <c r="AR423" s="113"/>
      <c r="AS423" s="104"/>
      <c r="AT423" s="167"/>
      <c r="AU423" s="167"/>
      <c r="AV423" s="168"/>
      <c r="AW423" s="169"/>
      <c r="AX423" s="94">
        <f t="shared" si="176"/>
        <v>0</v>
      </c>
      <c r="AY423" s="95">
        <f t="shared" si="177"/>
        <v>0</v>
      </c>
    </row>
    <row r="424" spans="1:51" ht="14.25" customHeight="1" thickBot="1">
      <c r="A424" s="1001"/>
      <c r="B424" s="1010"/>
      <c r="C424" s="1011"/>
      <c r="D424" s="1011"/>
      <c r="E424" s="1011"/>
      <c r="F424" s="1012"/>
      <c r="G424" s="1012"/>
      <c r="H424" s="184"/>
      <c r="I424" s="190"/>
      <c r="J424" s="1001"/>
      <c r="K424" s="1001"/>
      <c r="L424" s="186"/>
      <c r="M424" s="1001"/>
      <c r="N424" s="1013"/>
      <c r="O424" s="192"/>
      <c r="P424" s="1014"/>
      <c r="Q424" s="1014"/>
      <c r="R424" s="1001"/>
      <c r="S424" s="1014"/>
      <c r="T424" s="1013"/>
      <c r="U424" s="1015"/>
      <c r="V424" s="1014"/>
      <c r="W424" s="1014"/>
      <c r="X424" s="1001"/>
      <c r="Y424" s="1014"/>
      <c r="Z424" s="1013"/>
      <c r="AA424" s="1015"/>
      <c r="AB424" s="1015"/>
      <c r="AC424" s="194"/>
      <c r="AD424" s="194"/>
      <c r="AE424" s="194"/>
      <c r="AF424" s="194"/>
      <c r="AG424" s="1013"/>
      <c r="AH424" s="1015"/>
      <c r="AJ424" s="79" t="str">
        <f t="shared" si="171"/>
        <v/>
      </c>
      <c r="AK424" s="16" t="str">
        <f t="shared" si="172"/>
        <v/>
      </c>
      <c r="AL424" s="16" t="str">
        <f t="shared" si="173"/>
        <v/>
      </c>
      <c r="AM424" s="16" t="str">
        <f t="shared" si="174"/>
        <v/>
      </c>
      <c r="AN424" s="16" t="str">
        <f t="shared" si="175"/>
        <v/>
      </c>
      <c r="AO424" s="55"/>
      <c r="AP424" s="1250" t="s">
        <v>7</v>
      </c>
      <c r="AQ424" s="1250"/>
      <c r="AR424" s="1250"/>
      <c r="AS424" s="104"/>
      <c r="AT424" s="167"/>
      <c r="AU424" s="167"/>
      <c r="AV424" s="168"/>
      <c r="AW424" s="169"/>
      <c r="AX424" s="94">
        <f t="shared" si="176"/>
        <v>0</v>
      </c>
      <c r="AY424" s="95">
        <f t="shared" si="177"/>
        <v>0</v>
      </c>
    </row>
    <row r="425" spans="1:51" ht="15" customHeight="1" thickBot="1">
      <c r="A425" s="1001"/>
      <c r="B425" s="1010"/>
      <c r="C425" s="1011"/>
      <c r="D425" s="1011"/>
      <c r="E425" s="1011"/>
      <c r="F425" s="1012"/>
      <c r="G425" s="1012"/>
      <c r="H425" s="184"/>
      <c r="I425" s="190"/>
      <c r="J425" s="1001"/>
      <c r="K425" s="1001"/>
      <c r="L425" s="186"/>
      <c r="M425" s="1001"/>
      <c r="N425" s="1013"/>
      <c r="O425" s="192"/>
      <c r="P425" s="1014"/>
      <c r="Q425" s="1014"/>
      <c r="R425" s="1001"/>
      <c r="S425" s="1014"/>
      <c r="T425" s="1013"/>
      <c r="U425" s="1015"/>
      <c r="V425" s="1014"/>
      <c r="W425" s="185"/>
      <c r="X425" s="1001"/>
      <c r="Y425" s="1014"/>
      <c r="Z425" s="1013"/>
      <c r="AA425" s="1015"/>
      <c r="AB425" s="1015"/>
      <c r="AC425" s="194"/>
      <c r="AD425" s="194"/>
      <c r="AE425" s="194"/>
      <c r="AF425" s="194"/>
      <c r="AG425" s="1013"/>
      <c r="AH425" s="1015"/>
      <c r="AJ425" s="79" t="str">
        <f t="shared" si="171"/>
        <v/>
      </c>
      <c r="AK425" s="16" t="str">
        <f t="shared" si="172"/>
        <v/>
      </c>
      <c r="AL425" s="16" t="str">
        <f t="shared" si="173"/>
        <v/>
      </c>
      <c r="AM425" s="16" t="str">
        <f t="shared" si="174"/>
        <v/>
      </c>
      <c r="AN425" s="16" t="str">
        <f t="shared" si="175"/>
        <v/>
      </c>
      <c r="AO425" s="73">
        <v>160</v>
      </c>
      <c r="AP425" s="1250"/>
      <c r="AQ425" s="1250"/>
      <c r="AR425" s="1250"/>
      <c r="AS425" s="55"/>
      <c r="AT425" s="167"/>
      <c r="AU425" s="167"/>
      <c r="AV425" s="168"/>
      <c r="AW425" s="169"/>
      <c r="AX425" s="94">
        <f t="shared" si="176"/>
        <v>0</v>
      </c>
      <c r="AY425" s="95">
        <f t="shared" si="177"/>
        <v>0</v>
      </c>
    </row>
    <row r="426" spans="1:51" ht="15" customHeight="1" thickBot="1">
      <c r="A426" s="1001"/>
      <c r="B426" s="1010"/>
      <c r="C426" s="1011"/>
      <c r="D426" s="1011"/>
      <c r="E426" s="1011"/>
      <c r="F426" s="1012"/>
      <c r="G426" s="1012"/>
      <c r="H426" s="184"/>
      <c r="I426" s="190"/>
      <c r="J426" s="1001"/>
      <c r="K426" s="1001"/>
      <c r="L426" s="186"/>
      <c r="M426" s="1001"/>
      <c r="N426" s="1013"/>
      <c r="O426" s="192"/>
      <c r="P426" s="1014"/>
      <c r="Q426" s="185"/>
      <c r="R426" s="1018"/>
      <c r="S426" s="1014"/>
      <c r="T426" s="1013"/>
      <c r="U426" s="1015"/>
      <c r="V426" s="1014"/>
      <c r="W426" s="185"/>
      <c r="X426" s="1001"/>
      <c r="Y426" s="1014"/>
      <c r="Z426" s="1013"/>
      <c r="AA426" s="1015"/>
      <c r="AB426" s="1015"/>
      <c r="AC426" s="194"/>
      <c r="AD426" s="194"/>
      <c r="AE426" s="194"/>
      <c r="AF426" s="194"/>
      <c r="AG426" s="1013"/>
      <c r="AH426" s="1015"/>
      <c r="AJ426" s="79" t="str">
        <f t="shared" si="171"/>
        <v/>
      </c>
      <c r="AK426" s="16" t="str">
        <f t="shared" si="172"/>
        <v/>
      </c>
      <c r="AL426" s="16" t="str">
        <f t="shared" si="173"/>
        <v/>
      </c>
      <c r="AM426" s="16" t="str">
        <f t="shared" si="174"/>
        <v/>
      </c>
      <c r="AN426" s="16" t="str">
        <f t="shared" si="175"/>
        <v/>
      </c>
      <c r="AO426" s="55"/>
      <c r="AP426" s="1250"/>
      <c r="AQ426" s="1250"/>
      <c r="AR426" s="1250"/>
      <c r="AS426" s="55"/>
      <c r="AT426" s="167"/>
      <c r="AU426" s="167"/>
      <c r="AV426" s="168"/>
      <c r="AW426" s="169"/>
      <c r="AX426" s="94">
        <f t="shared" si="176"/>
        <v>0</v>
      </c>
      <c r="AY426" s="95">
        <f t="shared" si="177"/>
        <v>0</v>
      </c>
    </row>
    <row r="427" spans="1:51" ht="16.5" customHeight="1">
      <c r="A427" s="1001"/>
      <c r="B427" s="1010"/>
      <c r="C427" s="1011"/>
      <c r="D427" s="1011"/>
      <c r="E427" s="1011"/>
      <c r="F427" s="1012"/>
      <c r="G427" s="1012"/>
      <c r="H427" s="184"/>
      <c r="I427" s="190"/>
      <c r="J427" s="1001"/>
      <c r="K427" s="1001"/>
      <c r="L427" s="186"/>
      <c r="M427" s="1001"/>
      <c r="N427" s="1013"/>
      <c r="O427" s="192"/>
      <c r="P427" s="1014"/>
      <c r="Q427" s="185"/>
      <c r="R427" s="1014"/>
      <c r="S427" s="1014"/>
      <c r="T427" s="1013"/>
      <c r="U427" s="1015"/>
      <c r="V427" s="1014"/>
      <c r="W427" s="185"/>
      <c r="X427" s="1001"/>
      <c r="Y427" s="1014"/>
      <c r="Z427" s="1013"/>
      <c r="AA427" s="1015"/>
      <c r="AB427" s="1015"/>
      <c r="AC427" s="194"/>
      <c r="AD427" s="194"/>
      <c r="AE427" s="194"/>
      <c r="AF427" s="194"/>
      <c r="AG427" s="1013"/>
      <c r="AH427" s="1015"/>
      <c r="AJ427" s="79" t="str">
        <f t="shared" si="171"/>
        <v/>
      </c>
      <c r="AK427" s="16" t="str">
        <f t="shared" si="172"/>
        <v/>
      </c>
      <c r="AL427" s="16" t="str">
        <f t="shared" si="173"/>
        <v/>
      </c>
      <c r="AM427" s="16" t="str">
        <f t="shared" si="174"/>
        <v/>
      </c>
      <c r="AN427" s="16" t="str">
        <f t="shared" si="175"/>
        <v/>
      </c>
      <c r="AO427" s="55"/>
      <c r="AP427" s="117">
        <v>6</v>
      </c>
      <c r="AQ427" s="118"/>
      <c r="AR427" s="100">
        <f>IFERROR(AP427*AQ427*AS430,0)</f>
        <v>0</v>
      </c>
      <c r="AS427" s="55"/>
      <c r="AT427" s="167"/>
      <c r="AU427" s="167"/>
      <c r="AV427" s="168"/>
      <c r="AW427" s="169"/>
      <c r="AX427" s="94">
        <f t="shared" si="176"/>
        <v>0</v>
      </c>
      <c r="AY427" s="95">
        <f t="shared" si="177"/>
        <v>0</v>
      </c>
    </row>
    <row r="428" spans="1:51" ht="16.5" customHeight="1">
      <c r="A428" s="1001"/>
      <c r="B428" s="1010"/>
      <c r="C428" s="1011"/>
      <c r="D428" s="1011"/>
      <c r="E428" s="1011"/>
      <c r="F428" s="1012"/>
      <c r="G428" s="1012"/>
      <c r="H428" s="184"/>
      <c r="I428" s="190"/>
      <c r="J428" s="1001"/>
      <c r="K428" s="1001"/>
      <c r="L428" s="186"/>
      <c r="M428" s="1001"/>
      <c r="N428" s="1013"/>
      <c r="O428" s="192"/>
      <c r="P428" s="1014"/>
      <c r="Q428" s="184"/>
      <c r="R428" s="1018"/>
      <c r="S428" s="1019"/>
      <c r="T428" s="1013"/>
      <c r="U428" s="1015"/>
      <c r="V428" s="1014"/>
      <c r="W428" s="185"/>
      <c r="X428" s="1001"/>
      <c r="Y428" s="1014"/>
      <c r="Z428" s="1013"/>
      <c r="AA428" s="1015"/>
      <c r="AB428" s="1015"/>
      <c r="AC428" s="194"/>
      <c r="AD428" s="194"/>
      <c r="AE428" s="194"/>
      <c r="AF428" s="194"/>
      <c r="AG428" s="1013"/>
      <c r="AH428" s="1015"/>
      <c r="AJ428" s="79" t="str">
        <f t="shared" si="171"/>
        <v/>
      </c>
      <c r="AK428" s="16" t="str">
        <f t="shared" si="172"/>
        <v/>
      </c>
      <c r="AL428" s="16" t="str">
        <f t="shared" si="173"/>
        <v/>
      </c>
      <c r="AM428" s="16" t="str">
        <f t="shared" si="174"/>
        <v/>
      </c>
      <c r="AN428" s="16" t="str">
        <f t="shared" si="175"/>
        <v/>
      </c>
      <c r="AO428" s="55"/>
      <c r="AP428" s="98">
        <v>5</v>
      </c>
      <c r="AQ428" s="99"/>
      <c r="AR428" s="100">
        <f>IFERROR(AP428*AQ428*AS430,0)</f>
        <v>0</v>
      </c>
      <c r="AS428" s="55"/>
      <c r="AT428" s="177"/>
      <c r="AU428" s="178"/>
      <c r="AV428" s="177"/>
      <c r="AW428" s="179"/>
      <c r="AX428" s="94">
        <f t="shared" si="176"/>
        <v>0</v>
      </c>
      <c r="AY428" s="95">
        <f t="shared" si="177"/>
        <v>0</v>
      </c>
    </row>
    <row r="429" spans="1:51" ht="15.75" customHeight="1">
      <c r="A429" s="1001"/>
      <c r="B429" s="1010"/>
      <c r="C429" s="1020"/>
      <c r="D429" s="1021"/>
      <c r="E429" s="1020"/>
      <c r="F429" s="1022"/>
      <c r="G429" s="1022"/>
      <c r="H429" s="184"/>
      <c r="I429" s="190"/>
      <c r="J429" s="1001"/>
      <c r="K429" s="1001"/>
      <c r="L429" s="186"/>
      <c r="M429" s="1001"/>
      <c r="N429" s="1013"/>
      <c r="O429" s="192"/>
      <c r="P429" s="1019"/>
      <c r="Q429" s="184"/>
      <c r="R429" s="1018"/>
      <c r="S429" s="1019"/>
      <c r="T429" s="1013"/>
      <c r="U429" s="1015"/>
      <c r="V429" s="1014"/>
      <c r="W429" s="185"/>
      <c r="X429" s="1001"/>
      <c r="Y429" s="1014"/>
      <c r="Z429" s="1013"/>
      <c r="AA429" s="1015"/>
      <c r="AB429" s="1015"/>
      <c r="AC429" s="194"/>
      <c r="AD429" s="194"/>
      <c r="AE429" s="194"/>
      <c r="AF429" s="194"/>
      <c r="AG429" s="1013"/>
      <c r="AH429" s="1015"/>
      <c r="AJ429" s="79" t="str">
        <f t="shared" si="171"/>
        <v/>
      </c>
      <c r="AK429" s="16" t="str">
        <f t="shared" si="172"/>
        <v/>
      </c>
      <c r="AL429" s="16" t="str">
        <f t="shared" si="173"/>
        <v/>
      </c>
      <c r="AM429" s="16" t="str">
        <f t="shared" si="174"/>
        <v/>
      </c>
      <c r="AN429" s="16" t="str">
        <f t="shared" si="175"/>
        <v/>
      </c>
      <c r="AO429" s="104"/>
      <c r="AP429" s="98">
        <v>4</v>
      </c>
      <c r="AQ429" s="99"/>
      <c r="AR429" s="100">
        <f>IFERROR(AP429*AQ429*AS430,0)</f>
        <v>0</v>
      </c>
      <c r="AS429" s="55"/>
      <c r="AT429" s="167"/>
      <c r="AU429" s="165"/>
      <c r="AV429" s="168"/>
      <c r="AW429" s="169"/>
      <c r="AX429" s="94">
        <f t="shared" si="176"/>
        <v>0</v>
      </c>
      <c r="AY429" s="95">
        <f t="shared" si="177"/>
        <v>0</v>
      </c>
    </row>
    <row r="430" spans="1:51" ht="15" customHeight="1">
      <c r="A430" s="1001"/>
      <c r="B430" s="1001"/>
      <c r="C430" s="1023"/>
      <c r="D430" s="1023"/>
      <c r="E430" s="1023"/>
      <c r="F430" s="1024"/>
      <c r="G430" s="1024"/>
      <c r="H430" s="1001"/>
      <c r="I430" s="1001"/>
      <c r="J430" s="201"/>
      <c r="K430" s="201"/>
      <c r="L430" s="201"/>
      <c r="M430" s="201"/>
      <c r="N430" s="1025"/>
      <c r="O430" s="1002"/>
      <c r="P430" s="1001"/>
      <c r="Q430" s="1001"/>
      <c r="R430" s="1001"/>
      <c r="S430" s="1003"/>
      <c r="T430" s="1001"/>
      <c r="U430" s="1004"/>
      <c r="V430" s="1001"/>
      <c r="W430" s="1001"/>
      <c r="X430" s="1001"/>
      <c r="Y430" s="1001"/>
      <c r="Z430" s="1001"/>
      <c r="AA430" s="1004"/>
      <c r="AB430" s="1001"/>
      <c r="AC430" s="1001"/>
      <c r="AD430" s="1001"/>
      <c r="AE430" s="1001"/>
      <c r="AF430" s="1001"/>
      <c r="AG430" s="54"/>
      <c r="AH430" s="54"/>
      <c r="AK430" s="2"/>
      <c r="AL430" s="2"/>
      <c r="AM430" s="2"/>
      <c r="AN430" s="2"/>
      <c r="AO430" s="55"/>
      <c r="AP430" s="98">
        <v>3</v>
      </c>
      <c r="AQ430" s="109"/>
      <c r="AR430" s="100">
        <f>IFERROR(AP430*AQ430*AS430,0)</f>
        <v>0</v>
      </c>
      <c r="AS430" s="48">
        <f>IFERROR(AR431/((AP430*AQ430)+(AP429*AQ429)+(AP428*AQ428)+(AP427*AQ427)),0)</f>
        <v>0</v>
      </c>
    </row>
    <row r="431" spans="1:51" ht="15.75" customHeight="1" thickBot="1">
      <c r="A431" s="1001"/>
      <c r="B431" s="1001"/>
      <c r="C431" s="1023"/>
      <c r="D431" s="1023"/>
      <c r="E431" s="1023"/>
      <c r="F431" s="1024"/>
      <c r="G431" s="1024"/>
      <c r="H431" s="184"/>
      <c r="I431" s="190"/>
      <c r="J431" s="1026"/>
      <c r="K431" s="1026"/>
      <c r="L431" s="1026"/>
      <c r="M431" s="1026"/>
      <c r="N431" s="1013"/>
      <c r="O431" s="192"/>
      <c r="P431" s="1027"/>
      <c r="Q431" s="1027"/>
      <c r="R431" s="1027"/>
      <c r="S431" s="1027"/>
      <c r="T431" s="1018"/>
      <c r="U431" s="1018"/>
      <c r="V431" s="1027"/>
      <c r="W431" s="1027"/>
      <c r="X431" s="1027"/>
      <c r="Y431" s="1027"/>
      <c r="Z431" s="1001"/>
      <c r="AA431" s="1001"/>
      <c r="AB431" s="1001"/>
      <c r="AC431" s="1027"/>
      <c r="AD431" s="1027"/>
      <c r="AE431" s="1027"/>
      <c r="AF431" s="1027"/>
      <c r="AG431" s="54"/>
      <c r="AH431" s="54"/>
      <c r="AK431" s="154">
        <f>SUM(AK418:AK430)</f>
        <v>0</v>
      </c>
      <c r="AL431" s="154">
        <f>SUM(AL418:AL430)</f>
        <v>0</v>
      </c>
      <c r="AM431" s="154">
        <f>SUM(AM418:AM430)</f>
        <v>0</v>
      </c>
      <c r="AN431" s="154">
        <f>SUM(AN418:AN430)</f>
        <v>0</v>
      </c>
      <c r="AO431" s="55"/>
      <c r="AP431" s="111"/>
      <c r="AQ431" s="112"/>
      <c r="AR431" s="155"/>
      <c r="AS431" s="55"/>
    </row>
    <row r="432" spans="1:51" ht="15.75" customHeight="1">
      <c r="A432" s="1028"/>
      <c r="B432" s="1001"/>
      <c r="C432" s="1001"/>
      <c r="D432" s="1001"/>
      <c r="E432" s="1001"/>
      <c r="F432" s="1001"/>
      <c r="G432" s="1001"/>
      <c r="H432" s="1018"/>
      <c r="I432" s="190"/>
      <c r="J432" s="1026"/>
      <c r="K432" s="1026"/>
      <c r="L432" s="1026"/>
      <c r="M432" s="1026"/>
      <c r="N432" s="1013"/>
      <c r="O432" s="192"/>
      <c r="P432" s="1027"/>
      <c r="Q432" s="1027"/>
      <c r="R432" s="1027"/>
      <c r="S432" s="1027"/>
      <c r="T432" s="1029"/>
      <c r="U432" s="1030"/>
      <c r="V432" s="1027"/>
      <c r="W432" s="1027"/>
      <c r="X432" s="1027"/>
      <c r="Y432" s="1027"/>
      <c r="Z432" s="1031"/>
      <c r="AA432" s="1032"/>
      <c r="AB432" s="1033"/>
      <c r="AC432" s="1027"/>
      <c r="AD432" s="1027"/>
      <c r="AE432" s="1027"/>
      <c r="AF432" s="1027"/>
      <c r="AG432" s="54"/>
      <c r="AH432" s="1030"/>
      <c r="AK432" s="48"/>
      <c r="AL432" s="48"/>
      <c r="AM432" s="48"/>
      <c r="AN432" s="48"/>
      <c r="AO432" s="55"/>
      <c r="AP432" s="55"/>
      <c r="AQ432" s="55"/>
      <c r="AR432" s="157">
        <f>AR423+AR431</f>
        <v>0</v>
      </c>
      <c r="AS432" s="55"/>
    </row>
    <row r="433" spans="1:51" ht="19.5" customHeight="1" thickBot="1">
      <c r="A433" s="1007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007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  <c r="AC433" s="182"/>
      <c r="AD433" s="182"/>
      <c r="AE433" s="182"/>
      <c r="AF433" s="182"/>
      <c r="AG433" s="54"/>
      <c r="AH433" s="54"/>
      <c r="AK433" s="48"/>
      <c r="AL433" s="48"/>
      <c r="AM433" s="48"/>
      <c r="AN433" s="48"/>
      <c r="AO433" s="48"/>
      <c r="AP433" s="48"/>
      <c r="AQ433" s="48"/>
      <c r="AR433" s="48"/>
      <c r="AS433" s="48"/>
    </row>
    <row r="434" spans="1:51" ht="14.25" customHeight="1" thickBot="1">
      <c r="A434" s="1252"/>
      <c r="B434" s="1253"/>
      <c r="C434" s="1254"/>
      <c r="D434" s="1254"/>
      <c r="E434" s="1254"/>
      <c r="F434" s="1254"/>
      <c r="G434" s="1254"/>
      <c r="H434" s="1253"/>
      <c r="I434" s="1254"/>
      <c r="J434" s="1253"/>
      <c r="K434" s="1253"/>
      <c r="L434" s="1253"/>
      <c r="M434" s="1253"/>
      <c r="N434" s="1255"/>
      <c r="O434" s="1258"/>
      <c r="P434" s="1254"/>
      <c r="Q434" s="1254"/>
      <c r="R434" s="1254"/>
      <c r="S434" s="1254"/>
      <c r="T434" s="1259"/>
      <c r="U434" s="1258"/>
      <c r="V434" s="1254"/>
      <c r="W434" s="1254"/>
      <c r="X434" s="1254"/>
      <c r="Y434" s="1254"/>
      <c r="Z434" s="1259"/>
      <c r="AA434" s="1258"/>
      <c r="AB434" s="1258"/>
      <c r="AC434" s="1260"/>
      <c r="AD434" s="1260"/>
      <c r="AE434" s="1260"/>
      <c r="AF434" s="1260"/>
      <c r="AG434" s="1259"/>
      <c r="AH434" s="1258"/>
      <c r="AK434" s="1257" t="s">
        <v>37</v>
      </c>
      <c r="AL434" s="1257"/>
      <c r="AM434" s="1257"/>
      <c r="AN434" s="1257"/>
      <c r="AO434" s="55"/>
      <c r="AP434" s="1250" t="s">
        <v>7</v>
      </c>
      <c r="AQ434" s="1250"/>
      <c r="AR434" s="1250"/>
      <c r="AS434" s="55"/>
      <c r="AT434" s="1251" t="s">
        <v>38</v>
      </c>
      <c r="AU434" s="1251"/>
      <c r="AV434" s="1251"/>
      <c r="AW434" s="1251"/>
      <c r="AX434" s="94" t="s">
        <v>39</v>
      </c>
      <c r="AY434" s="95" t="s">
        <v>12</v>
      </c>
    </row>
    <row r="435" spans="1:51" ht="18" customHeight="1" thickBot="1">
      <c r="A435" s="1252"/>
      <c r="B435" s="1252"/>
      <c r="C435" s="186"/>
      <c r="D435" s="186"/>
      <c r="E435" s="186"/>
      <c r="F435" s="186"/>
      <c r="G435" s="186"/>
      <c r="H435" s="1253"/>
      <c r="I435" s="1254"/>
      <c r="J435" s="185"/>
      <c r="K435" s="185"/>
      <c r="L435" s="185"/>
      <c r="M435" s="185"/>
      <c r="N435" s="1255"/>
      <c r="O435" s="1258"/>
      <c r="P435" s="186"/>
      <c r="Q435" s="185"/>
      <c r="R435" s="1008"/>
      <c r="S435" s="185"/>
      <c r="T435" s="1259"/>
      <c r="U435" s="1259"/>
      <c r="V435" s="186"/>
      <c r="W435" s="185"/>
      <c r="X435" s="1008"/>
      <c r="Y435" s="185"/>
      <c r="Z435" s="1259"/>
      <c r="AA435" s="1259"/>
      <c r="AB435" s="1258"/>
      <c r="AC435" s="186"/>
      <c r="AD435" s="185"/>
      <c r="AE435" s="1008"/>
      <c r="AF435" s="185"/>
      <c r="AG435" s="1259"/>
      <c r="AH435" s="1258"/>
      <c r="AK435" s="162" t="s">
        <v>49</v>
      </c>
      <c r="AL435" s="162" t="s">
        <v>50</v>
      </c>
      <c r="AM435" s="162" t="s">
        <v>51</v>
      </c>
      <c r="AN435" s="162" t="s">
        <v>52</v>
      </c>
      <c r="AO435" s="73">
        <v>130</v>
      </c>
      <c r="AP435" s="1250"/>
      <c r="AQ435" s="1250"/>
      <c r="AR435" s="1250"/>
      <c r="AS435" s="55"/>
      <c r="AT435" s="164" t="s">
        <v>45</v>
      </c>
      <c r="AU435" s="165" t="s">
        <v>46</v>
      </c>
      <c r="AV435" s="166" t="s">
        <v>47</v>
      </c>
      <c r="AW435" s="161" t="s">
        <v>48</v>
      </c>
      <c r="AX435" s="94"/>
      <c r="AY435" s="95"/>
    </row>
    <row r="436" spans="1:51" ht="15" customHeight="1" thickBot="1">
      <c r="A436" s="1009"/>
      <c r="B436" s="1010"/>
      <c r="C436" s="1011"/>
      <c r="D436" s="1011"/>
      <c r="E436" s="1011"/>
      <c r="F436" s="1012"/>
      <c r="G436" s="1012"/>
      <c r="H436" s="184"/>
      <c r="I436" s="190"/>
      <c r="J436" s="1001"/>
      <c r="K436" s="1001"/>
      <c r="L436" s="186"/>
      <c r="M436" s="1001"/>
      <c r="N436" s="1013"/>
      <c r="O436" s="192"/>
      <c r="P436" s="1014"/>
      <c r="Q436" s="1014"/>
      <c r="R436" s="1001"/>
      <c r="S436" s="1014"/>
      <c r="T436" s="1013"/>
      <c r="U436" s="1015"/>
      <c r="V436" s="1014"/>
      <c r="W436" s="1014"/>
      <c r="X436" s="1001"/>
      <c r="Y436" s="1014"/>
      <c r="Z436" s="1013"/>
      <c r="AA436" s="1015"/>
      <c r="AB436" s="1015"/>
      <c r="AC436" s="194"/>
      <c r="AD436" s="194"/>
      <c r="AE436" s="194"/>
      <c r="AF436" s="194"/>
      <c r="AG436" s="1013"/>
      <c r="AH436" s="1015"/>
      <c r="AJ436" s="79" t="str">
        <f t="shared" ref="AJ436:AJ447" si="178">IF(H436=130,0.132335,IF(H436=100,0.0785,IF(H436=110,0.095,IF(H436=160,0.198005,""))))</f>
        <v/>
      </c>
      <c r="AK436" s="16" t="str">
        <f t="shared" ref="AK436:AK447" si="179">IFERROR(P436*3*AJ436,"")</f>
        <v/>
      </c>
      <c r="AL436" s="16" t="str">
        <f t="shared" ref="AL436:AL447" si="180">IFERROR(Q436*4*AJ436,"")</f>
        <v/>
      </c>
      <c r="AM436" s="16" t="str">
        <f t="shared" ref="AM436:AM447" si="181">IFERROR(R436*5*AJ436,"")</f>
        <v/>
      </c>
      <c r="AN436" s="16" t="str">
        <f t="shared" ref="AN436:AN447" si="182">IFERROR(S436*6*AJ436,"")</f>
        <v/>
      </c>
      <c r="AO436" s="55"/>
      <c r="AP436" s="1250"/>
      <c r="AQ436" s="1250"/>
      <c r="AR436" s="1250"/>
      <c r="AS436" s="55"/>
      <c r="AT436" s="167"/>
      <c r="AU436" s="167"/>
      <c r="AV436" s="168"/>
      <c r="AW436" s="169"/>
      <c r="AX436" s="94">
        <f t="shared" ref="AX436:AX447" si="183">AT436*3+AU436*4+AV436*5+AW436*6</f>
        <v>0</v>
      </c>
      <c r="AY436" s="95">
        <f t="shared" ref="AY436:AY447" si="184">AX436*I436</f>
        <v>0</v>
      </c>
    </row>
    <row r="437" spans="1:51" ht="15" customHeight="1">
      <c r="A437" s="1001"/>
      <c r="B437" s="1010"/>
      <c r="C437" s="1011"/>
      <c r="D437" s="1011"/>
      <c r="E437" s="1011"/>
      <c r="F437" s="1012"/>
      <c r="G437" s="1012"/>
      <c r="H437" s="184"/>
      <c r="I437" s="190"/>
      <c r="J437" s="1001"/>
      <c r="K437" s="1001"/>
      <c r="L437" s="186"/>
      <c r="M437" s="1001"/>
      <c r="N437" s="1013"/>
      <c r="O437" s="192"/>
      <c r="P437" s="1014"/>
      <c r="Q437" s="1014"/>
      <c r="R437" s="1001"/>
      <c r="S437" s="1014"/>
      <c r="T437" s="1013"/>
      <c r="U437" s="1015"/>
      <c r="V437" s="1014"/>
      <c r="W437" s="1014"/>
      <c r="X437" s="186"/>
      <c r="Y437" s="1014"/>
      <c r="Z437" s="1013"/>
      <c r="AA437" s="1015"/>
      <c r="AB437" s="1015"/>
      <c r="AC437" s="194"/>
      <c r="AD437" s="194"/>
      <c r="AE437" s="194"/>
      <c r="AF437" s="194"/>
      <c r="AG437" s="1013"/>
      <c r="AH437" s="1015"/>
      <c r="AJ437" s="79" t="str">
        <f t="shared" si="178"/>
        <v/>
      </c>
      <c r="AK437" s="16" t="str">
        <f t="shared" si="179"/>
        <v/>
      </c>
      <c r="AL437" s="16" t="str">
        <f t="shared" si="180"/>
        <v/>
      </c>
      <c r="AM437" s="16" t="str">
        <f t="shared" si="181"/>
        <v/>
      </c>
      <c r="AN437" s="16" t="str">
        <f t="shared" si="182"/>
        <v/>
      </c>
      <c r="AO437" s="55"/>
      <c r="AP437" s="98">
        <v>6</v>
      </c>
      <c r="AQ437" s="99"/>
      <c r="AR437" s="100">
        <f>IFERROR(AP437*AQ437*AS440,0)</f>
        <v>0</v>
      </c>
      <c r="AS437" s="55"/>
      <c r="AT437" s="167"/>
      <c r="AU437" s="167"/>
      <c r="AV437" s="164"/>
      <c r="AW437" s="169"/>
      <c r="AX437" s="94">
        <f t="shared" si="183"/>
        <v>0</v>
      </c>
      <c r="AY437" s="95">
        <f t="shared" si="184"/>
        <v>0</v>
      </c>
    </row>
    <row r="438" spans="1:51" ht="15" customHeight="1">
      <c r="A438" s="1001"/>
      <c r="B438" s="1010"/>
      <c r="C438" s="1016"/>
      <c r="D438" s="1016"/>
      <c r="E438" s="1016"/>
      <c r="F438" s="1017"/>
      <c r="G438" s="1017"/>
      <c r="H438" s="184"/>
      <c r="I438" s="190"/>
      <c r="J438" s="1001"/>
      <c r="K438" s="1001"/>
      <c r="L438" s="186"/>
      <c r="M438" s="1001"/>
      <c r="N438" s="1013"/>
      <c r="O438" s="192"/>
      <c r="P438" s="1014"/>
      <c r="Q438" s="1014"/>
      <c r="R438" s="1001"/>
      <c r="S438" s="1014"/>
      <c r="T438" s="1013"/>
      <c r="U438" s="1015"/>
      <c r="V438" s="1014"/>
      <c r="W438" s="1014"/>
      <c r="X438" s="1001"/>
      <c r="Y438" s="1014"/>
      <c r="Z438" s="1013"/>
      <c r="AA438" s="1015"/>
      <c r="AB438" s="1015"/>
      <c r="AC438" s="194"/>
      <c r="AD438" s="194"/>
      <c r="AE438" s="194"/>
      <c r="AF438" s="194"/>
      <c r="AG438" s="1013"/>
      <c r="AH438" s="1015"/>
      <c r="AJ438" s="79" t="str">
        <f t="shared" si="178"/>
        <v/>
      </c>
      <c r="AK438" s="16" t="str">
        <f t="shared" si="179"/>
        <v/>
      </c>
      <c r="AL438" s="16" t="str">
        <f t="shared" si="180"/>
        <v/>
      </c>
      <c r="AM438" s="16" t="str">
        <f t="shared" si="181"/>
        <v/>
      </c>
      <c r="AN438" s="16" t="str">
        <f t="shared" si="182"/>
        <v/>
      </c>
      <c r="AO438" s="55"/>
      <c r="AP438" s="98">
        <v>5</v>
      </c>
      <c r="AQ438" s="99"/>
      <c r="AR438" s="100">
        <f>IFERROR(AP438*AQ438*AS440,0)</f>
        <v>0</v>
      </c>
      <c r="AS438" s="104"/>
      <c r="AT438" s="167"/>
      <c r="AU438" s="167"/>
      <c r="AV438" s="164"/>
      <c r="AW438" s="169"/>
      <c r="AX438" s="94">
        <f t="shared" si="183"/>
        <v>0</v>
      </c>
      <c r="AY438" s="95">
        <f t="shared" si="184"/>
        <v>0</v>
      </c>
    </row>
    <row r="439" spans="1:51" ht="15" customHeight="1">
      <c r="A439" s="1001"/>
      <c r="B439" s="1010"/>
      <c r="C439" s="1011"/>
      <c r="D439" s="1011"/>
      <c r="E439" s="1011"/>
      <c r="F439" s="1012"/>
      <c r="G439" s="1012"/>
      <c r="H439" s="184"/>
      <c r="I439" s="190"/>
      <c r="J439" s="1001"/>
      <c r="K439" s="1001"/>
      <c r="L439" s="186"/>
      <c r="M439" s="1001"/>
      <c r="N439" s="1013"/>
      <c r="O439" s="192"/>
      <c r="P439" s="1014"/>
      <c r="Q439" s="1014"/>
      <c r="R439" s="1001"/>
      <c r="S439" s="1014"/>
      <c r="T439" s="1013"/>
      <c r="U439" s="1015"/>
      <c r="V439" s="1014"/>
      <c r="W439" s="1014"/>
      <c r="X439" s="1001"/>
      <c r="Y439" s="1014"/>
      <c r="Z439" s="1013"/>
      <c r="AA439" s="1015"/>
      <c r="AB439" s="1015"/>
      <c r="AC439" s="194"/>
      <c r="AD439" s="194"/>
      <c r="AE439" s="194"/>
      <c r="AF439" s="194"/>
      <c r="AG439" s="1013"/>
      <c r="AH439" s="1015"/>
      <c r="AJ439" s="79" t="str">
        <f t="shared" si="178"/>
        <v/>
      </c>
      <c r="AK439" s="16" t="str">
        <f t="shared" si="179"/>
        <v/>
      </c>
      <c r="AL439" s="16" t="str">
        <f t="shared" si="180"/>
        <v/>
      </c>
      <c r="AM439" s="16" t="str">
        <f t="shared" si="181"/>
        <v/>
      </c>
      <c r="AN439" s="16" t="str">
        <f t="shared" si="182"/>
        <v/>
      </c>
      <c r="AO439" s="55"/>
      <c r="AP439" s="98">
        <v>4</v>
      </c>
      <c r="AQ439" s="99"/>
      <c r="AR439" s="100">
        <f>IFERROR(AP439*AQ439*AS440,0)</f>
        <v>0</v>
      </c>
      <c r="AS439" s="104"/>
      <c r="AT439" s="167"/>
      <c r="AU439" s="167"/>
      <c r="AV439" s="168"/>
      <c r="AW439" s="169"/>
      <c r="AX439" s="94">
        <f t="shared" si="183"/>
        <v>0</v>
      </c>
      <c r="AY439" s="95">
        <f t="shared" si="184"/>
        <v>0</v>
      </c>
    </row>
    <row r="440" spans="1:51" ht="15" customHeight="1">
      <c r="A440" s="1001"/>
      <c r="B440" s="1010"/>
      <c r="C440" s="1011"/>
      <c r="D440" s="188"/>
      <c r="E440" s="1011"/>
      <c r="F440" s="1012"/>
      <c r="G440" s="1012"/>
      <c r="H440" s="184"/>
      <c r="I440" s="190"/>
      <c r="J440" s="1001"/>
      <c r="K440" s="1001"/>
      <c r="L440" s="186"/>
      <c r="M440" s="1001"/>
      <c r="N440" s="1013"/>
      <c r="O440" s="192"/>
      <c r="P440" s="1014"/>
      <c r="Q440" s="1014"/>
      <c r="R440" s="1001"/>
      <c r="S440" s="1014"/>
      <c r="T440" s="1013"/>
      <c r="U440" s="1015"/>
      <c r="V440" s="1014"/>
      <c r="W440" s="1014"/>
      <c r="X440" s="1001"/>
      <c r="Y440" s="1014"/>
      <c r="Z440" s="1013"/>
      <c r="AA440" s="1015"/>
      <c r="AB440" s="1015"/>
      <c r="AC440" s="194"/>
      <c r="AD440" s="194"/>
      <c r="AE440" s="194"/>
      <c r="AF440" s="194"/>
      <c r="AG440" s="1013"/>
      <c r="AH440" s="1015"/>
      <c r="AJ440" s="79" t="str">
        <f t="shared" si="178"/>
        <v/>
      </c>
      <c r="AK440" s="16" t="str">
        <f t="shared" si="179"/>
        <v/>
      </c>
      <c r="AL440" s="16" t="str">
        <f t="shared" si="180"/>
        <v/>
      </c>
      <c r="AM440" s="16" t="str">
        <f t="shared" si="181"/>
        <v/>
      </c>
      <c r="AN440" s="16" t="str">
        <f t="shared" si="182"/>
        <v/>
      </c>
      <c r="AO440" s="55"/>
      <c r="AP440" s="98">
        <v>3</v>
      </c>
      <c r="AQ440" s="109"/>
      <c r="AR440" s="100">
        <f>IFERROR(AP440*AQ440*AS440,0)</f>
        <v>0</v>
      </c>
      <c r="AS440" s="48">
        <f>IFERROR(AR441/((AP440*AQ440)+(AP439*AQ439)+(AP438*AQ438)+(AP437*AQ437)),0)</f>
        <v>0</v>
      </c>
      <c r="AT440" s="167"/>
      <c r="AU440" s="167"/>
      <c r="AV440" s="168"/>
      <c r="AW440" s="169"/>
      <c r="AX440" s="94">
        <f t="shared" si="183"/>
        <v>0</v>
      </c>
      <c r="AY440" s="95">
        <f t="shared" si="184"/>
        <v>0</v>
      </c>
    </row>
    <row r="441" spans="1:51" ht="14.25" customHeight="1" thickBot="1">
      <c r="A441" s="1001"/>
      <c r="B441" s="1010"/>
      <c r="C441" s="1011"/>
      <c r="D441" s="1011"/>
      <c r="E441" s="1011"/>
      <c r="F441" s="1012"/>
      <c r="G441" s="1012"/>
      <c r="H441" s="184"/>
      <c r="I441" s="190"/>
      <c r="J441" s="1001"/>
      <c r="K441" s="1001"/>
      <c r="L441" s="186"/>
      <c r="M441" s="1001"/>
      <c r="N441" s="1013"/>
      <c r="O441" s="192"/>
      <c r="P441" s="185"/>
      <c r="Q441" s="1014"/>
      <c r="R441" s="1001"/>
      <c r="S441" s="1014"/>
      <c r="T441" s="1013"/>
      <c r="U441" s="1015"/>
      <c r="V441" s="185"/>
      <c r="W441" s="1014"/>
      <c r="X441" s="1001"/>
      <c r="Y441" s="1014"/>
      <c r="Z441" s="1013"/>
      <c r="AA441" s="1015"/>
      <c r="AB441" s="1015"/>
      <c r="AC441" s="194"/>
      <c r="AD441" s="194"/>
      <c r="AE441" s="194"/>
      <c r="AF441" s="194"/>
      <c r="AG441" s="1013"/>
      <c r="AH441" s="1015"/>
      <c r="AJ441" s="79" t="str">
        <f t="shared" si="178"/>
        <v/>
      </c>
      <c r="AK441" s="16" t="str">
        <f t="shared" si="179"/>
        <v/>
      </c>
      <c r="AL441" s="16" t="str">
        <f t="shared" si="180"/>
        <v/>
      </c>
      <c r="AM441" s="16" t="str">
        <f t="shared" si="181"/>
        <v/>
      </c>
      <c r="AN441" s="16" t="str">
        <f t="shared" si="182"/>
        <v/>
      </c>
      <c r="AO441" s="55"/>
      <c r="AP441" s="111"/>
      <c r="AQ441" s="112"/>
      <c r="AR441" s="113"/>
      <c r="AS441" s="104"/>
      <c r="AT441" s="167"/>
      <c r="AU441" s="167"/>
      <c r="AV441" s="168"/>
      <c r="AW441" s="169"/>
      <c r="AX441" s="94">
        <f t="shared" si="183"/>
        <v>0</v>
      </c>
      <c r="AY441" s="95">
        <f t="shared" si="184"/>
        <v>0</v>
      </c>
    </row>
    <row r="442" spans="1:51" ht="14.25" customHeight="1" thickBot="1">
      <c r="A442" s="1001"/>
      <c r="B442" s="1010"/>
      <c r="C442" s="1011"/>
      <c r="D442" s="1011"/>
      <c r="E442" s="1011"/>
      <c r="F442" s="1012"/>
      <c r="G442" s="1012"/>
      <c r="H442" s="184"/>
      <c r="I442" s="190"/>
      <c r="J442" s="1001"/>
      <c r="K442" s="1001"/>
      <c r="L442" s="186"/>
      <c r="M442" s="1001"/>
      <c r="N442" s="1013"/>
      <c r="O442" s="192"/>
      <c r="P442" s="1014"/>
      <c r="Q442" s="1014"/>
      <c r="R442" s="1001"/>
      <c r="S442" s="1014"/>
      <c r="T442" s="1013"/>
      <c r="U442" s="1015"/>
      <c r="V442" s="1014"/>
      <c r="W442" s="1014"/>
      <c r="X442" s="1001"/>
      <c r="Y442" s="1014"/>
      <c r="Z442" s="1013"/>
      <c r="AA442" s="1015"/>
      <c r="AB442" s="1015"/>
      <c r="AC442" s="194"/>
      <c r="AD442" s="194"/>
      <c r="AE442" s="194"/>
      <c r="AF442" s="194"/>
      <c r="AG442" s="1013"/>
      <c r="AH442" s="1015"/>
      <c r="AJ442" s="79" t="str">
        <f t="shared" si="178"/>
        <v/>
      </c>
      <c r="AK442" s="16" t="str">
        <f t="shared" si="179"/>
        <v/>
      </c>
      <c r="AL442" s="16" t="str">
        <f t="shared" si="180"/>
        <v/>
      </c>
      <c r="AM442" s="16" t="str">
        <f t="shared" si="181"/>
        <v/>
      </c>
      <c r="AN442" s="16" t="str">
        <f t="shared" si="182"/>
        <v/>
      </c>
      <c r="AO442" s="55"/>
      <c r="AP442" s="1250" t="s">
        <v>7</v>
      </c>
      <c r="AQ442" s="1250"/>
      <c r="AR442" s="1250"/>
      <c r="AS442" s="104"/>
      <c r="AT442" s="167"/>
      <c r="AU442" s="167"/>
      <c r="AV442" s="168"/>
      <c r="AW442" s="169"/>
      <c r="AX442" s="94">
        <f t="shared" si="183"/>
        <v>0</v>
      </c>
      <c r="AY442" s="95">
        <f t="shared" si="184"/>
        <v>0</v>
      </c>
    </row>
    <row r="443" spans="1:51" ht="15" customHeight="1" thickBot="1">
      <c r="A443" s="1001"/>
      <c r="B443" s="1010"/>
      <c r="C443" s="1011"/>
      <c r="D443" s="1011"/>
      <c r="E443" s="1011"/>
      <c r="F443" s="1012"/>
      <c r="G443" s="1012"/>
      <c r="H443" s="184"/>
      <c r="I443" s="190"/>
      <c r="J443" s="1001"/>
      <c r="K443" s="1001"/>
      <c r="L443" s="186"/>
      <c r="M443" s="1001"/>
      <c r="N443" s="1013"/>
      <c r="O443" s="192"/>
      <c r="P443" s="1014"/>
      <c r="Q443" s="1014"/>
      <c r="R443" s="1001"/>
      <c r="S443" s="1014"/>
      <c r="T443" s="1013"/>
      <c r="U443" s="1015"/>
      <c r="V443" s="1014"/>
      <c r="W443" s="185"/>
      <c r="X443" s="1001"/>
      <c r="Y443" s="1014"/>
      <c r="Z443" s="1013"/>
      <c r="AA443" s="1015"/>
      <c r="AB443" s="1015"/>
      <c r="AC443" s="194"/>
      <c r="AD443" s="194"/>
      <c r="AE443" s="194"/>
      <c r="AF443" s="194"/>
      <c r="AG443" s="1013"/>
      <c r="AH443" s="1015"/>
      <c r="AJ443" s="79" t="str">
        <f t="shared" si="178"/>
        <v/>
      </c>
      <c r="AK443" s="16" t="str">
        <f t="shared" si="179"/>
        <v/>
      </c>
      <c r="AL443" s="16" t="str">
        <f t="shared" si="180"/>
        <v/>
      </c>
      <c r="AM443" s="16" t="str">
        <f t="shared" si="181"/>
        <v/>
      </c>
      <c r="AN443" s="16" t="str">
        <f t="shared" si="182"/>
        <v/>
      </c>
      <c r="AO443" s="73">
        <v>160</v>
      </c>
      <c r="AP443" s="1250"/>
      <c r="AQ443" s="1250"/>
      <c r="AR443" s="1250"/>
      <c r="AS443" s="55"/>
      <c r="AT443" s="167"/>
      <c r="AU443" s="167"/>
      <c r="AV443" s="168"/>
      <c r="AW443" s="169"/>
      <c r="AX443" s="94">
        <f t="shared" si="183"/>
        <v>0</v>
      </c>
      <c r="AY443" s="95">
        <f t="shared" si="184"/>
        <v>0</v>
      </c>
    </row>
    <row r="444" spans="1:51" ht="15" customHeight="1" thickBot="1">
      <c r="A444" s="1001"/>
      <c r="B444" s="1010"/>
      <c r="C444" s="1011"/>
      <c r="D444" s="1011"/>
      <c r="E444" s="1011"/>
      <c r="F444" s="1012"/>
      <c r="G444" s="1012"/>
      <c r="H444" s="184"/>
      <c r="I444" s="190"/>
      <c r="J444" s="1001"/>
      <c r="K444" s="1001"/>
      <c r="L444" s="186"/>
      <c r="M444" s="1001"/>
      <c r="N444" s="1013"/>
      <c r="O444" s="192"/>
      <c r="P444" s="1014"/>
      <c r="Q444" s="185"/>
      <c r="R444" s="1018"/>
      <c r="S444" s="1014"/>
      <c r="T444" s="1013"/>
      <c r="U444" s="1015"/>
      <c r="V444" s="1014"/>
      <c r="W444" s="185"/>
      <c r="X444" s="1001"/>
      <c r="Y444" s="1014"/>
      <c r="Z444" s="1013"/>
      <c r="AA444" s="1015"/>
      <c r="AB444" s="1015"/>
      <c r="AC444" s="194"/>
      <c r="AD444" s="194"/>
      <c r="AE444" s="194"/>
      <c r="AF444" s="194"/>
      <c r="AG444" s="1013"/>
      <c r="AH444" s="1015"/>
      <c r="AJ444" s="79" t="str">
        <f t="shared" si="178"/>
        <v/>
      </c>
      <c r="AK444" s="16" t="str">
        <f t="shared" si="179"/>
        <v/>
      </c>
      <c r="AL444" s="16" t="str">
        <f t="shared" si="180"/>
        <v/>
      </c>
      <c r="AM444" s="16" t="str">
        <f t="shared" si="181"/>
        <v/>
      </c>
      <c r="AN444" s="16" t="str">
        <f t="shared" si="182"/>
        <v/>
      </c>
      <c r="AO444" s="55"/>
      <c r="AP444" s="1250"/>
      <c r="AQ444" s="1250"/>
      <c r="AR444" s="1250"/>
      <c r="AS444" s="55"/>
      <c r="AT444" s="167"/>
      <c r="AU444" s="167"/>
      <c r="AV444" s="168"/>
      <c r="AW444" s="169"/>
      <c r="AX444" s="94">
        <f t="shared" si="183"/>
        <v>0</v>
      </c>
      <c r="AY444" s="95">
        <f t="shared" si="184"/>
        <v>0</v>
      </c>
    </row>
    <row r="445" spans="1:51" ht="16.5" customHeight="1">
      <c r="A445" s="1001"/>
      <c r="B445" s="1010"/>
      <c r="C445" s="1011"/>
      <c r="D445" s="1011"/>
      <c r="E445" s="1011"/>
      <c r="F445" s="1012"/>
      <c r="G445" s="1012"/>
      <c r="H445" s="184"/>
      <c r="I445" s="190"/>
      <c r="J445" s="1001"/>
      <c r="K445" s="1001"/>
      <c r="L445" s="186"/>
      <c r="M445" s="1001"/>
      <c r="N445" s="1013"/>
      <c r="O445" s="192"/>
      <c r="P445" s="1014"/>
      <c r="Q445" s="185"/>
      <c r="R445" s="1014"/>
      <c r="S445" s="1014"/>
      <c r="T445" s="1013"/>
      <c r="U445" s="1015"/>
      <c r="V445" s="1014"/>
      <c r="W445" s="185"/>
      <c r="X445" s="1001"/>
      <c r="Y445" s="1014"/>
      <c r="Z445" s="1013"/>
      <c r="AA445" s="1015"/>
      <c r="AB445" s="1015"/>
      <c r="AC445" s="194"/>
      <c r="AD445" s="194"/>
      <c r="AE445" s="194"/>
      <c r="AF445" s="194"/>
      <c r="AG445" s="1013"/>
      <c r="AH445" s="1015"/>
      <c r="AJ445" s="79" t="str">
        <f t="shared" si="178"/>
        <v/>
      </c>
      <c r="AK445" s="16" t="str">
        <f t="shared" si="179"/>
        <v/>
      </c>
      <c r="AL445" s="16" t="str">
        <f t="shared" si="180"/>
        <v/>
      </c>
      <c r="AM445" s="16" t="str">
        <f t="shared" si="181"/>
        <v/>
      </c>
      <c r="AN445" s="16" t="str">
        <f t="shared" si="182"/>
        <v/>
      </c>
      <c r="AO445" s="55"/>
      <c r="AP445" s="117">
        <v>6</v>
      </c>
      <c r="AQ445" s="118"/>
      <c r="AR445" s="100">
        <f>IFERROR(AP445*AQ445*AS448,0)</f>
        <v>0</v>
      </c>
      <c r="AS445" s="55"/>
      <c r="AT445" s="167"/>
      <c r="AU445" s="167"/>
      <c r="AV445" s="168"/>
      <c r="AW445" s="169"/>
      <c r="AX445" s="94">
        <f t="shared" si="183"/>
        <v>0</v>
      </c>
      <c r="AY445" s="95">
        <f t="shared" si="184"/>
        <v>0</v>
      </c>
    </row>
    <row r="446" spans="1:51" ht="16.5" customHeight="1">
      <c r="A446" s="1001"/>
      <c r="B446" s="1010"/>
      <c r="C446" s="1011"/>
      <c r="D446" s="1011"/>
      <c r="E446" s="1011"/>
      <c r="F446" s="1012"/>
      <c r="G446" s="1012"/>
      <c r="H446" s="184"/>
      <c r="I446" s="190"/>
      <c r="J446" s="1001"/>
      <c r="K446" s="1001"/>
      <c r="L446" s="186"/>
      <c r="M446" s="1001"/>
      <c r="N446" s="1013"/>
      <c r="O446" s="192"/>
      <c r="P446" s="1014"/>
      <c r="Q446" s="184"/>
      <c r="R446" s="1018"/>
      <c r="S446" s="1019"/>
      <c r="T446" s="1013"/>
      <c r="U446" s="1015"/>
      <c r="V446" s="1014"/>
      <c r="W446" s="185"/>
      <c r="X446" s="1001"/>
      <c r="Y446" s="1014"/>
      <c r="Z446" s="1013"/>
      <c r="AA446" s="1015"/>
      <c r="AB446" s="1015"/>
      <c r="AC446" s="194"/>
      <c r="AD446" s="194"/>
      <c r="AE446" s="194"/>
      <c r="AF446" s="194"/>
      <c r="AG446" s="1013"/>
      <c r="AH446" s="1015"/>
      <c r="AJ446" s="79" t="str">
        <f t="shared" si="178"/>
        <v/>
      </c>
      <c r="AK446" s="16" t="str">
        <f t="shared" si="179"/>
        <v/>
      </c>
      <c r="AL446" s="16" t="str">
        <f t="shared" si="180"/>
        <v/>
      </c>
      <c r="AM446" s="16" t="str">
        <f t="shared" si="181"/>
        <v/>
      </c>
      <c r="AN446" s="16" t="str">
        <f t="shared" si="182"/>
        <v/>
      </c>
      <c r="AO446" s="55"/>
      <c r="AP446" s="98">
        <v>5</v>
      </c>
      <c r="AQ446" s="99"/>
      <c r="AR446" s="100">
        <f>IFERROR(AP446*AQ446*AS448,0)</f>
        <v>0</v>
      </c>
      <c r="AS446" s="55"/>
      <c r="AT446" s="177"/>
      <c r="AU446" s="178"/>
      <c r="AV446" s="177"/>
      <c r="AW446" s="179"/>
      <c r="AX446" s="94">
        <f t="shared" si="183"/>
        <v>0</v>
      </c>
      <c r="AY446" s="95">
        <f t="shared" si="184"/>
        <v>0</v>
      </c>
    </row>
    <row r="447" spans="1:51" ht="15.75" customHeight="1">
      <c r="A447" s="1001"/>
      <c r="B447" s="1010"/>
      <c r="C447" s="1020"/>
      <c r="D447" s="1021"/>
      <c r="E447" s="1020"/>
      <c r="F447" s="1022"/>
      <c r="G447" s="1022"/>
      <c r="H447" s="184"/>
      <c r="I447" s="190"/>
      <c r="J447" s="1001"/>
      <c r="K447" s="1001"/>
      <c r="L447" s="186"/>
      <c r="M447" s="1001"/>
      <c r="N447" s="1013"/>
      <c r="O447" s="192"/>
      <c r="P447" s="1019"/>
      <c r="Q447" s="184"/>
      <c r="R447" s="1018"/>
      <c r="S447" s="1019"/>
      <c r="T447" s="1013"/>
      <c r="U447" s="1015"/>
      <c r="V447" s="1014"/>
      <c r="W447" s="185"/>
      <c r="X447" s="1001"/>
      <c r="Y447" s="1014"/>
      <c r="Z447" s="1013"/>
      <c r="AA447" s="1015"/>
      <c r="AB447" s="1015"/>
      <c r="AC447" s="194"/>
      <c r="AD447" s="194"/>
      <c r="AE447" s="194"/>
      <c r="AF447" s="194"/>
      <c r="AG447" s="1013"/>
      <c r="AH447" s="1015"/>
      <c r="AJ447" s="79" t="str">
        <f t="shared" si="178"/>
        <v/>
      </c>
      <c r="AK447" s="16" t="str">
        <f t="shared" si="179"/>
        <v/>
      </c>
      <c r="AL447" s="16" t="str">
        <f t="shared" si="180"/>
        <v/>
      </c>
      <c r="AM447" s="16" t="str">
        <f t="shared" si="181"/>
        <v/>
      </c>
      <c r="AN447" s="16" t="str">
        <f t="shared" si="182"/>
        <v/>
      </c>
      <c r="AO447" s="104"/>
      <c r="AP447" s="98">
        <v>4</v>
      </c>
      <c r="AQ447" s="99"/>
      <c r="AR447" s="100">
        <f>IFERROR(AP447*AQ447*AS448,0)</f>
        <v>0</v>
      </c>
      <c r="AS447" s="55"/>
      <c r="AT447" s="167"/>
      <c r="AU447" s="165"/>
      <c r="AV447" s="168"/>
      <c r="AW447" s="169"/>
      <c r="AX447" s="94">
        <f t="shared" si="183"/>
        <v>0</v>
      </c>
      <c r="AY447" s="95">
        <f t="shared" si="184"/>
        <v>0</v>
      </c>
    </row>
    <row r="448" spans="1:51" ht="15" customHeight="1">
      <c r="A448" s="1001"/>
      <c r="B448" s="1001"/>
      <c r="C448" s="1023"/>
      <c r="D448" s="1023"/>
      <c r="E448" s="1023"/>
      <c r="F448" s="1024"/>
      <c r="G448" s="1024"/>
      <c r="H448" s="1001"/>
      <c r="I448" s="1001"/>
      <c r="J448" s="201"/>
      <c r="K448" s="201"/>
      <c r="L448" s="201"/>
      <c r="M448" s="201"/>
      <c r="N448" s="1025"/>
      <c r="O448" s="1002"/>
      <c r="P448" s="1001"/>
      <c r="Q448" s="1001"/>
      <c r="R448" s="1001"/>
      <c r="S448" s="1003"/>
      <c r="T448" s="1001"/>
      <c r="U448" s="1004"/>
      <c r="V448" s="1001"/>
      <c r="W448" s="1001"/>
      <c r="X448" s="1001"/>
      <c r="Y448" s="1001"/>
      <c r="Z448" s="1001"/>
      <c r="AA448" s="1004"/>
      <c r="AB448" s="1001"/>
      <c r="AC448" s="1001"/>
      <c r="AD448" s="1001"/>
      <c r="AE448" s="1001"/>
      <c r="AF448" s="1001"/>
      <c r="AG448" s="54"/>
      <c r="AH448" s="54"/>
      <c r="AK448" s="2"/>
      <c r="AL448" s="2"/>
      <c r="AM448" s="2"/>
      <c r="AN448" s="2"/>
      <c r="AO448" s="55"/>
      <c r="AP448" s="98">
        <v>3</v>
      </c>
      <c r="AQ448" s="109"/>
      <c r="AR448" s="100">
        <f>IFERROR(AP448*AQ448*AS448,0)</f>
        <v>0</v>
      </c>
      <c r="AS448" s="48">
        <f>IFERROR(AR449/((AP448*AQ448)+(AP447*AQ447)+(AP446*AQ446)+(AP445*AQ445)),0)</f>
        <v>0</v>
      </c>
    </row>
    <row r="449" spans="1:51" ht="15.75" customHeight="1" thickBot="1">
      <c r="A449" s="1001"/>
      <c r="B449" s="1001"/>
      <c r="C449" s="1023"/>
      <c r="D449" s="1023"/>
      <c r="E449" s="1023"/>
      <c r="F449" s="1024"/>
      <c r="G449" s="1024"/>
      <c r="H449" s="184"/>
      <c r="I449" s="190"/>
      <c r="J449" s="1026"/>
      <c r="K449" s="1026"/>
      <c r="L449" s="1026"/>
      <c r="M449" s="1026"/>
      <c r="N449" s="1013"/>
      <c r="O449" s="192"/>
      <c r="P449" s="1027"/>
      <c r="Q449" s="1027"/>
      <c r="R449" s="1027"/>
      <c r="S449" s="1027"/>
      <c r="T449" s="1018"/>
      <c r="U449" s="1018"/>
      <c r="V449" s="1027"/>
      <c r="W449" s="1027"/>
      <c r="X449" s="1027"/>
      <c r="Y449" s="1027"/>
      <c r="Z449" s="1001"/>
      <c r="AA449" s="1001"/>
      <c r="AB449" s="1001"/>
      <c r="AC449" s="1027"/>
      <c r="AD449" s="1027"/>
      <c r="AE449" s="1027"/>
      <c r="AF449" s="1027"/>
      <c r="AG449" s="54"/>
      <c r="AH449" s="54"/>
      <c r="AK449" s="154">
        <f>SUM(AK436:AK448)</f>
        <v>0</v>
      </c>
      <c r="AL449" s="154">
        <f>SUM(AL436:AL448)</f>
        <v>0</v>
      </c>
      <c r="AM449" s="154">
        <f>SUM(AM436:AM448)</f>
        <v>0</v>
      </c>
      <c r="AN449" s="154">
        <f>SUM(AN436:AN448)</f>
        <v>0</v>
      </c>
      <c r="AO449" s="55"/>
      <c r="AP449" s="111"/>
      <c r="AQ449" s="112"/>
      <c r="AR449" s="155"/>
      <c r="AS449" s="55"/>
    </row>
    <row r="450" spans="1:51" ht="15.75" customHeight="1">
      <c r="A450" s="1028"/>
      <c r="B450" s="1001"/>
      <c r="C450" s="1001"/>
      <c r="D450" s="1001"/>
      <c r="E450" s="1001"/>
      <c r="F450" s="1001"/>
      <c r="G450" s="1001"/>
      <c r="H450" s="1018"/>
      <c r="I450" s="190"/>
      <c r="J450" s="1026"/>
      <c r="K450" s="1026"/>
      <c r="L450" s="1026"/>
      <c r="M450" s="1026"/>
      <c r="N450" s="1013"/>
      <c r="O450" s="192"/>
      <c r="P450" s="1027"/>
      <c r="Q450" s="1027"/>
      <c r="R450" s="1027"/>
      <c r="S450" s="1027"/>
      <c r="T450" s="1029"/>
      <c r="U450" s="1030"/>
      <c r="V450" s="1027"/>
      <c r="W450" s="1027"/>
      <c r="X450" s="1027"/>
      <c r="Y450" s="1027"/>
      <c r="Z450" s="1031"/>
      <c r="AA450" s="1032"/>
      <c r="AB450" s="1033"/>
      <c r="AC450" s="1027"/>
      <c r="AD450" s="1027"/>
      <c r="AE450" s="1027"/>
      <c r="AF450" s="1027"/>
      <c r="AG450" s="54"/>
      <c r="AH450" s="1030"/>
      <c r="AK450" s="48"/>
      <c r="AL450" s="48"/>
      <c r="AM450" s="48"/>
      <c r="AN450" s="48"/>
      <c r="AO450" s="55"/>
      <c r="AP450" s="55"/>
      <c r="AQ450" s="55"/>
      <c r="AR450" s="157">
        <f>AR441+AR449</f>
        <v>0</v>
      </c>
      <c r="AS450" s="55"/>
    </row>
    <row r="451" spans="1:51" ht="19.5" customHeight="1" thickBot="1">
      <c r="A451" s="1007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007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  <c r="AC451" s="182"/>
      <c r="AD451" s="182"/>
      <c r="AE451" s="182"/>
      <c r="AF451" s="182"/>
      <c r="AG451" s="54"/>
      <c r="AH451" s="54"/>
      <c r="AK451" s="48"/>
      <c r="AL451" s="48"/>
      <c r="AM451" s="48"/>
      <c r="AN451" s="48"/>
      <c r="AO451" s="48"/>
      <c r="AP451" s="48"/>
      <c r="AQ451" s="48"/>
      <c r="AR451" s="160"/>
      <c r="AS451" s="160"/>
    </row>
    <row r="452" spans="1:51" ht="14.25" customHeight="1" thickBot="1">
      <c r="A452" s="1252"/>
      <c r="B452" s="1253"/>
      <c r="C452" s="1254"/>
      <c r="D452" s="1254"/>
      <c r="E452" s="1254"/>
      <c r="F452" s="1254"/>
      <c r="G452" s="1254"/>
      <c r="H452" s="1253"/>
      <c r="I452" s="1254"/>
      <c r="J452" s="1253"/>
      <c r="K452" s="1253"/>
      <c r="L452" s="1253"/>
      <c r="M452" s="1253"/>
      <c r="N452" s="1255"/>
      <c r="O452" s="1258"/>
      <c r="P452" s="1254"/>
      <c r="Q452" s="1254"/>
      <c r="R452" s="1254"/>
      <c r="S452" s="1254"/>
      <c r="T452" s="1259"/>
      <c r="U452" s="1258"/>
      <c r="V452" s="1254"/>
      <c r="W452" s="1254"/>
      <c r="X452" s="1254"/>
      <c r="Y452" s="1254"/>
      <c r="Z452" s="1259"/>
      <c r="AA452" s="1258"/>
      <c r="AB452" s="1258"/>
      <c r="AC452" s="1260"/>
      <c r="AD452" s="1260"/>
      <c r="AE452" s="1260"/>
      <c r="AF452" s="1260"/>
      <c r="AG452" s="1259"/>
      <c r="AH452" s="1258"/>
      <c r="AK452" s="1257" t="s">
        <v>37</v>
      </c>
      <c r="AL452" s="1257"/>
      <c r="AM452" s="1257"/>
      <c r="AN452" s="1257"/>
      <c r="AO452" s="55"/>
      <c r="AP452" s="1250" t="s">
        <v>7</v>
      </c>
      <c r="AQ452" s="1250"/>
      <c r="AR452" s="1250"/>
      <c r="AS452" s="55"/>
      <c r="AT452" s="1251" t="s">
        <v>38</v>
      </c>
      <c r="AU452" s="1251"/>
      <c r="AV452" s="1251"/>
      <c r="AW452" s="1251"/>
      <c r="AX452" s="94" t="s">
        <v>39</v>
      </c>
      <c r="AY452" s="95" t="s">
        <v>12</v>
      </c>
    </row>
    <row r="453" spans="1:51" ht="18" customHeight="1" thickBot="1">
      <c r="A453" s="1252"/>
      <c r="B453" s="1252"/>
      <c r="C453" s="186"/>
      <c r="D453" s="186"/>
      <c r="E453" s="186"/>
      <c r="F453" s="186"/>
      <c r="G453" s="186"/>
      <c r="H453" s="1253"/>
      <c r="I453" s="1254"/>
      <c r="J453" s="185"/>
      <c r="K453" s="185"/>
      <c r="L453" s="185"/>
      <c r="M453" s="185"/>
      <c r="N453" s="1255"/>
      <c r="O453" s="1258"/>
      <c r="P453" s="186"/>
      <c r="Q453" s="185"/>
      <c r="R453" s="1008"/>
      <c r="S453" s="185"/>
      <c r="T453" s="1259"/>
      <c r="U453" s="1259"/>
      <c r="V453" s="186"/>
      <c r="W453" s="185"/>
      <c r="X453" s="1008"/>
      <c r="Y453" s="185"/>
      <c r="Z453" s="1259"/>
      <c r="AA453" s="1259"/>
      <c r="AB453" s="1258"/>
      <c r="AC453" s="186"/>
      <c r="AD453" s="185"/>
      <c r="AE453" s="1008"/>
      <c r="AF453" s="185"/>
      <c r="AG453" s="1259"/>
      <c r="AH453" s="1258"/>
      <c r="AK453" s="162" t="s">
        <v>49</v>
      </c>
      <c r="AL453" s="162" t="s">
        <v>50</v>
      </c>
      <c r="AM453" s="162" t="s">
        <v>51</v>
      </c>
      <c r="AN453" s="162" t="s">
        <v>52</v>
      </c>
      <c r="AO453" s="73">
        <v>130</v>
      </c>
      <c r="AP453" s="1250"/>
      <c r="AQ453" s="1250"/>
      <c r="AR453" s="1250"/>
      <c r="AS453" s="55"/>
      <c r="AT453" s="164" t="s">
        <v>45</v>
      </c>
      <c r="AU453" s="165" t="s">
        <v>46</v>
      </c>
      <c r="AV453" s="166" t="s">
        <v>47</v>
      </c>
      <c r="AW453" s="161" t="s">
        <v>48</v>
      </c>
      <c r="AX453" s="94"/>
      <c r="AY453" s="95"/>
    </row>
    <row r="454" spans="1:51" ht="15" customHeight="1" thickBot="1">
      <c r="A454" s="1009"/>
      <c r="B454" s="1010"/>
      <c r="C454" s="1011"/>
      <c r="D454" s="1011"/>
      <c r="E454" s="1011"/>
      <c r="F454" s="1012"/>
      <c r="G454" s="1012"/>
      <c r="H454" s="184"/>
      <c r="I454" s="190"/>
      <c r="J454" s="1001"/>
      <c r="K454" s="1001"/>
      <c r="L454" s="186"/>
      <c r="M454" s="1001"/>
      <c r="N454" s="1013"/>
      <c r="O454" s="192"/>
      <c r="P454" s="1014"/>
      <c r="Q454" s="1014"/>
      <c r="R454" s="1001"/>
      <c r="S454" s="1014"/>
      <c r="T454" s="1013"/>
      <c r="U454" s="1015"/>
      <c r="V454" s="1014"/>
      <c r="W454" s="1014"/>
      <c r="X454" s="1001"/>
      <c r="Y454" s="1014"/>
      <c r="Z454" s="1013"/>
      <c r="AA454" s="1015"/>
      <c r="AB454" s="1015"/>
      <c r="AC454" s="194"/>
      <c r="AD454" s="194"/>
      <c r="AE454" s="194"/>
      <c r="AF454" s="194"/>
      <c r="AG454" s="1013"/>
      <c r="AH454" s="1015"/>
      <c r="AJ454" s="79" t="str">
        <f t="shared" ref="AJ454:AJ465" si="185">IF(H454=130,0.132335,IF(H454=100,0.0785,IF(H454=110,0.095,IF(H454=160,0.198005,""))))</f>
        <v/>
      </c>
      <c r="AK454" s="16" t="str">
        <f t="shared" ref="AK454:AK465" si="186">IFERROR(P454*3*AJ454,"")</f>
        <v/>
      </c>
      <c r="AL454" s="16" t="str">
        <f t="shared" ref="AL454:AL465" si="187">IFERROR(Q454*4*AJ454,"")</f>
        <v/>
      </c>
      <c r="AM454" s="16" t="str">
        <f t="shared" ref="AM454:AM465" si="188">IFERROR(R454*5*AJ454,"")</f>
        <v/>
      </c>
      <c r="AN454" s="16" t="str">
        <f t="shared" ref="AN454:AN465" si="189">IFERROR(S454*6*AJ454,"")</f>
        <v/>
      </c>
      <c r="AO454" s="55"/>
      <c r="AP454" s="1250"/>
      <c r="AQ454" s="1250"/>
      <c r="AR454" s="1250"/>
      <c r="AS454" s="55"/>
      <c r="AT454" s="167"/>
      <c r="AU454" s="167"/>
      <c r="AV454" s="168"/>
      <c r="AW454" s="169"/>
      <c r="AX454" s="94">
        <f t="shared" ref="AX454:AX465" si="190">AT454*3+AU454*4+AV454*5+AW454*6</f>
        <v>0</v>
      </c>
      <c r="AY454" s="95">
        <f t="shared" ref="AY454:AY465" si="191">AX454*I454</f>
        <v>0</v>
      </c>
    </row>
    <row r="455" spans="1:51" ht="15" customHeight="1">
      <c r="A455" s="1001"/>
      <c r="B455" s="1010"/>
      <c r="C455" s="1011"/>
      <c r="D455" s="1011"/>
      <c r="E455" s="1011"/>
      <c r="F455" s="1012"/>
      <c r="G455" s="1012"/>
      <c r="H455" s="184"/>
      <c r="I455" s="190"/>
      <c r="J455" s="1001"/>
      <c r="K455" s="1001"/>
      <c r="L455" s="186"/>
      <c r="M455" s="1001"/>
      <c r="N455" s="1013"/>
      <c r="O455" s="192"/>
      <c r="P455" s="1014"/>
      <c r="Q455" s="1014"/>
      <c r="R455" s="1001"/>
      <c r="S455" s="1014"/>
      <c r="T455" s="1013"/>
      <c r="U455" s="1015"/>
      <c r="V455" s="1014"/>
      <c r="W455" s="1014"/>
      <c r="X455" s="186"/>
      <c r="Y455" s="1014"/>
      <c r="Z455" s="1013"/>
      <c r="AA455" s="1015"/>
      <c r="AB455" s="1015"/>
      <c r="AC455" s="194"/>
      <c r="AD455" s="194"/>
      <c r="AE455" s="194"/>
      <c r="AF455" s="194"/>
      <c r="AG455" s="1013"/>
      <c r="AH455" s="1015"/>
      <c r="AJ455" s="79" t="str">
        <f t="shared" si="185"/>
        <v/>
      </c>
      <c r="AK455" s="16" t="str">
        <f t="shared" si="186"/>
        <v/>
      </c>
      <c r="AL455" s="16" t="str">
        <f t="shared" si="187"/>
        <v/>
      </c>
      <c r="AM455" s="16" t="str">
        <f t="shared" si="188"/>
        <v/>
      </c>
      <c r="AN455" s="16" t="str">
        <f t="shared" si="189"/>
        <v/>
      </c>
      <c r="AO455" s="55"/>
      <c r="AP455" s="98">
        <v>6</v>
      </c>
      <c r="AQ455" s="99"/>
      <c r="AR455" s="100">
        <f>IFERROR(AP455*AQ455*AS458,0)</f>
        <v>0</v>
      </c>
      <c r="AS455" s="55"/>
      <c r="AT455" s="167"/>
      <c r="AU455" s="167"/>
      <c r="AV455" s="164"/>
      <c r="AW455" s="169"/>
      <c r="AX455" s="94">
        <f t="shared" si="190"/>
        <v>0</v>
      </c>
      <c r="AY455" s="95">
        <f t="shared" si="191"/>
        <v>0</v>
      </c>
    </row>
    <row r="456" spans="1:51" ht="15" customHeight="1">
      <c r="A456" s="1001"/>
      <c r="B456" s="1010"/>
      <c r="C456" s="1016"/>
      <c r="D456" s="1016"/>
      <c r="E456" s="1016"/>
      <c r="F456" s="1017"/>
      <c r="G456" s="1017"/>
      <c r="H456" s="184"/>
      <c r="I456" s="190"/>
      <c r="J456" s="1001"/>
      <c r="K456" s="1001"/>
      <c r="L456" s="186"/>
      <c r="M456" s="1001"/>
      <c r="N456" s="1013"/>
      <c r="O456" s="192"/>
      <c r="P456" s="1014"/>
      <c r="Q456" s="1014"/>
      <c r="R456" s="1001"/>
      <c r="S456" s="1014"/>
      <c r="T456" s="1013"/>
      <c r="U456" s="1015"/>
      <c r="V456" s="1014"/>
      <c r="W456" s="1014"/>
      <c r="X456" s="1001"/>
      <c r="Y456" s="1014"/>
      <c r="Z456" s="1013"/>
      <c r="AA456" s="1015"/>
      <c r="AB456" s="1015"/>
      <c r="AC456" s="194"/>
      <c r="AD456" s="194"/>
      <c r="AE456" s="194"/>
      <c r="AF456" s="194"/>
      <c r="AG456" s="1013"/>
      <c r="AH456" s="1015"/>
      <c r="AJ456" s="79" t="str">
        <f t="shared" si="185"/>
        <v/>
      </c>
      <c r="AK456" s="16" t="str">
        <f t="shared" si="186"/>
        <v/>
      </c>
      <c r="AL456" s="16" t="str">
        <f t="shared" si="187"/>
        <v/>
      </c>
      <c r="AM456" s="16" t="str">
        <f t="shared" si="188"/>
        <v/>
      </c>
      <c r="AN456" s="16" t="str">
        <f t="shared" si="189"/>
        <v/>
      </c>
      <c r="AO456" s="55"/>
      <c r="AP456" s="98">
        <v>5</v>
      </c>
      <c r="AQ456" s="99"/>
      <c r="AR456" s="100">
        <f>IFERROR(AP456*AQ456*AS458,0)</f>
        <v>0</v>
      </c>
      <c r="AS456" s="104"/>
      <c r="AT456" s="167"/>
      <c r="AU456" s="167"/>
      <c r="AV456" s="164"/>
      <c r="AW456" s="169"/>
      <c r="AX456" s="94">
        <f t="shared" si="190"/>
        <v>0</v>
      </c>
      <c r="AY456" s="95">
        <f t="shared" si="191"/>
        <v>0</v>
      </c>
    </row>
    <row r="457" spans="1:51" ht="15" customHeight="1">
      <c r="A457" s="1001"/>
      <c r="B457" s="1010"/>
      <c r="C457" s="1011"/>
      <c r="D457" s="1011"/>
      <c r="E457" s="1011"/>
      <c r="F457" s="1012"/>
      <c r="G457" s="1012"/>
      <c r="H457" s="184"/>
      <c r="I457" s="190"/>
      <c r="J457" s="1001"/>
      <c r="K457" s="1001"/>
      <c r="L457" s="186"/>
      <c r="M457" s="1001"/>
      <c r="N457" s="1013"/>
      <c r="O457" s="192"/>
      <c r="P457" s="1014"/>
      <c r="Q457" s="1014"/>
      <c r="R457" s="1001"/>
      <c r="S457" s="1014"/>
      <c r="T457" s="1013"/>
      <c r="U457" s="1015"/>
      <c r="V457" s="1014"/>
      <c r="W457" s="1014"/>
      <c r="X457" s="1001"/>
      <c r="Y457" s="1014"/>
      <c r="Z457" s="1013"/>
      <c r="AA457" s="1015"/>
      <c r="AB457" s="1015"/>
      <c r="AC457" s="194"/>
      <c r="AD457" s="194"/>
      <c r="AE457" s="194"/>
      <c r="AF457" s="194"/>
      <c r="AG457" s="1013"/>
      <c r="AH457" s="1015"/>
      <c r="AJ457" s="79" t="str">
        <f t="shared" si="185"/>
        <v/>
      </c>
      <c r="AK457" s="16" t="str">
        <f t="shared" si="186"/>
        <v/>
      </c>
      <c r="AL457" s="16" t="str">
        <f t="shared" si="187"/>
        <v/>
      </c>
      <c r="AM457" s="16" t="str">
        <f t="shared" si="188"/>
        <v/>
      </c>
      <c r="AN457" s="16" t="str">
        <f t="shared" si="189"/>
        <v/>
      </c>
      <c r="AO457" s="55"/>
      <c r="AP457" s="98">
        <v>4</v>
      </c>
      <c r="AQ457" s="99"/>
      <c r="AR457" s="100">
        <f>IFERROR(AP457*AQ457*AS458,0)</f>
        <v>0</v>
      </c>
      <c r="AS457" s="104"/>
      <c r="AT457" s="167"/>
      <c r="AU457" s="167"/>
      <c r="AV457" s="168"/>
      <c r="AW457" s="169"/>
      <c r="AX457" s="94">
        <f t="shared" si="190"/>
        <v>0</v>
      </c>
      <c r="AY457" s="95">
        <f t="shared" si="191"/>
        <v>0</v>
      </c>
    </row>
    <row r="458" spans="1:51" ht="15" customHeight="1">
      <c r="A458" s="1001"/>
      <c r="B458" s="1010"/>
      <c r="C458" s="1011"/>
      <c r="D458" s="188"/>
      <c r="E458" s="1011"/>
      <c r="F458" s="1012"/>
      <c r="G458" s="1012"/>
      <c r="H458" s="184"/>
      <c r="I458" s="190"/>
      <c r="J458" s="1001"/>
      <c r="K458" s="1001"/>
      <c r="L458" s="186"/>
      <c r="M458" s="1001"/>
      <c r="N458" s="1013"/>
      <c r="O458" s="192"/>
      <c r="P458" s="1014"/>
      <c r="Q458" s="1014"/>
      <c r="R458" s="1001"/>
      <c r="S458" s="1014"/>
      <c r="T458" s="1013"/>
      <c r="U458" s="1015"/>
      <c r="V458" s="1014"/>
      <c r="W458" s="1014"/>
      <c r="X458" s="1001"/>
      <c r="Y458" s="1014"/>
      <c r="Z458" s="1013"/>
      <c r="AA458" s="1015"/>
      <c r="AB458" s="1015"/>
      <c r="AC458" s="194"/>
      <c r="AD458" s="194"/>
      <c r="AE458" s="194"/>
      <c r="AF458" s="194"/>
      <c r="AG458" s="1013"/>
      <c r="AH458" s="1015"/>
      <c r="AJ458" s="79" t="str">
        <f t="shared" si="185"/>
        <v/>
      </c>
      <c r="AK458" s="16" t="str">
        <f t="shared" si="186"/>
        <v/>
      </c>
      <c r="AL458" s="16" t="str">
        <f t="shared" si="187"/>
        <v/>
      </c>
      <c r="AM458" s="16" t="str">
        <f t="shared" si="188"/>
        <v/>
      </c>
      <c r="AN458" s="16" t="str">
        <f t="shared" si="189"/>
        <v/>
      </c>
      <c r="AO458" s="55"/>
      <c r="AP458" s="98">
        <v>3</v>
      </c>
      <c r="AQ458" s="109"/>
      <c r="AR458" s="100">
        <f>IFERROR(AP458*AQ458*AS458,0)</f>
        <v>0</v>
      </c>
      <c r="AS458" s="48">
        <f>IFERROR(AR459/((AP458*AQ458)+(AP457*AQ457)+(AP456*AQ456)+(AP455*AQ455)),0)</f>
        <v>0</v>
      </c>
      <c r="AT458" s="167"/>
      <c r="AU458" s="167"/>
      <c r="AV458" s="168"/>
      <c r="AW458" s="169"/>
      <c r="AX458" s="94">
        <f t="shared" si="190"/>
        <v>0</v>
      </c>
      <c r="AY458" s="95">
        <f t="shared" si="191"/>
        <v>0</v>
      </c>
    </row>
    <row r="459" spans="1:51" ht="14.25" customHeight="1" thickBot="1">
      <c r="A459" s="1001"/>
      <c r="B459" s="1010"/>
      <c r="C459" s="1011"/>
      <c r="D459" s="1011"/>
      <c r="E459" s="1011"/>
      <c r="F459" s="1012"/>
      <c r="G459" s="1012"/>
      <c r="H459" s="184"/>
      <c r="I459" s="190"/>
      <c r="J459" s="1001"/>
      <c r="K459" s="1001"/>
      <c r="L459" s="186"/>
      <c r="M459" s="1001"/>
      <c r="N459" s="1013"/>
      <c r="O459" s="192"/>
      <c r="P459" s="185"/>
      <c r="Q459" s="1014"/>
      <c r="R459" s="1001"/>
      <c r="S459" s="1014"/>
      <c r="T459" s="1013"/>
      <c r="U459" s="1015"/>
      <c r="V459" s="185"/>
      <c r="W459" s="1014"/>
      <c r="X459" s="1001"/>
      <c r="Y459" s="1014"/>
      <c r="Z459" s="1013"/>
      <c r="AA459" s="1015"/>
      <c r="AB459" s="1015"/>
      <c r="AC459" s="194"/>
      <c r="AD459" s="194"/>
      <c r="AE459" s="194"/>
      <c r="AF459" s="194"/>
      <c r="AG459" s="1013"/>
      <c r="AH459" s="1015"/>
      <c r="AJ459" s="79" t="str">
        <f t="shared" si="185"/>
        <v/>
      </c>
      <c r="AK459" s="16" t="str">
        <f t="shared" si="186"/>
        <v/>
      </c>
      <c r="AL459" s="16" t="str">
        <f t="shared" si="187"/>
        <v/>
      </c>
      <c r="AM459" s="16" t="str">
        <f t="shared" si="188"/>
        <v/>
      </c>
      <c r="AN459" s="16" t="str">
        <f t="shared" si="189"/>
        <v/>
      </c>
      <c r="AO459" s="55"/>
      <c r="AP459" s="111"/>
      <c r="AQ459" s="112"/>
      <c r="AR459" s="113"/>
      <c r="AS459" s="104"/>
      <c r="AT459" s="167"/>
      <c r="AU459" s="167"/>
      <c r="AV459" s="168"/>
      <c r="AW459" s="169"/>
      <c r="AX459" s="94">
        <f t="shared" si="190"/>
        <v>0</v>
      </c>
      <c r="AY459" s="95">
        <f t="shared" si="191"/>
        <v>0</v>
      </c>
    </row>
    <row r="460" spans="1:51" ht="14.25" customHeight="1" thickBot="1">
      <c r="A460" s="1001"/>
      <c r="B460" s="1010"/>
      <c r="C460" s="1011"/>
      <c r="D460" s="1011"/>
      <c r="E460" s="1011"/>
      <c r="F460" s="1012"/>
      <c r="G460" s="1012"/>
      <c r="H460" s="184"/>
      <c r="I460" s="190"/>
      <c r="J460" s="1001"/>
      <c r="K460" s="1001"/>
      <c r="L460" s="186"/>
      <c r="M460" s="1001"/>
      <c r="N460" s="1013"/>
      <c r="O460" s="192"/>
      <c r="P460" s="1014"/>
      <c r="Q460" s="1014"/>
      <c r="R460" s="1001"/>
      <c r="S460" s="1014"/>
      <c r="T460" s="1013"/>
      <c r="U460" s="1015"/>
      <c r="V460" s="1014"/>
      <c r="W460" s="1014"/>
      <c r="X460" s="1001"/>
      <c r="Y460" s="1014"/>
      <c r="Z460" s="1013"/>
      <c r="AA460" s="1015"/>
      <c r="AB460" s="1015"/>
      <c r="AC460" s="194"/>
      <c r="AD460" s="194"/>
      <c r="AE460" s="194"/>
      <c r="AF460" s="194"/>
      <c r="AG460" s="1013"/>
      <c r="AH460" s="1015"/>
      <c r="AJ460" s="79" t="str">
        <f t="shared" si="185"/>
        <v/>
      </c>
      <c r="AK460" s="16" t="str">
        <f t="shared" si="186"/>
        <v/>
      </c>
      <c r="AL460" s="16" t="str">
        <f t="shared" si="187"/>
        <v/>
      </c>
      <c r="AM460" s="16" t="str">
        <f t="shared" si="188"/>
        <v/>
      </c>
      <c r="AN460" s="16" t="str">
        <f t="shared" si="189"/>
        <v/>
      </c>
      <c r="AO460" s="55"/>
      <c r="AP460" s="1250" t="s">
        <v>7</v>
      </c>
      <c r="AQ460" s="1250"/>
      <c r="AR460" s="1250"/>
      <c r="AS460" s="104"/>
      <c r="AT460" s="167"/>
      <c r="AU460" s="167"/>
      <c r="AV460" s="168"/>
      <c r="AW460" s="169"/>
      <c r="AX460" s="94">
        <f t="shared" si="190"/>
        <v>0</v>
      </c>
      <c r="AY460" s="95">
        <f t="shared" si="191"/>
        <v>0</v>
      </c>
    </row>
    <row r="461" spans="1:51" ht="15" customHeight="1" thickBot="1">
      <c r="A461" s="1001"/>
      <c r="B461" s="1010"/>
      <c r="C461" s="1011"/>
      <c r="D461" s="1011"/>
      <c r="E461" s="1011"/>
      <c r="F461" s="1012"/>
      <c r="G461" s="1012"/>
      <c r="H461" s="184"/>
      <c r="I461" s="190"/>
      <c r="J461" s="1001"/>
      <c r="K461" s="1001"/>
      <c r="L461" s="186"/>
      <c r="M461" s="1001"/>
      <c r="N461" s="1013"/>
      <c r="O461" s="192"/>
      <c r="P461" s="1014"/>
      <c r="Q461" s="1014"/>
      <c r="R461" s="1001"/>
      <c r="S461" s="1014"/>
      <c r="T461" s="1013"/>
      <c r="U461" s="1015"/>
      <c r="V461" s="1014"/>
      <c r="W461" s="185"/>
      <c r="X461" s="1001"/>
      <c r="Y461" s="1014"/>
      <c r="Z461" s="1013"/>
      <c r="AA461" s="1015"/>
      <c r="AB461" s="1015"/>
      <c r="AC461" s="194"/>
      <c r="AD461" s="194"/>
      <c r="AE461" s="194"/>
      <c r="AF461" s="194"/>
      <c r="AG461" s="1013"/>
      <c r="AH461" s="1015"/>
      <c r="AJ461" s="79" t="str">
        <f t="shared" si="185"/>
        <v/>
      </c>
      <c r="AK461" s="16" t="str">
        <f t="shared" si="186"/>
        <v/>
      </c>
      <c r="AL461" s="16" t="str">
        <f t="shared" si="187"/>
        <v/>
      </c>
      <c r="AM461" s="16" t="str">
        <f t="shared" si="188"/>
        <v/>
      </c>
      <c r="AN461" s="16" t="str">
        <f t="shared" si="189"/>
        <v/>
      </c>
      <c r="AO461" s="73">
        <v>160</v>
      </c>
      <c r="AP461" s="1250"/>
      <c r="AQ461" s="1250"/>
      <c r="AR461" s="1250"/>
      <c r="AS461" s="55"/>
      <c r="AT461" s="167"/>
      <c r="AU461" s="167"/>
      <c r="AV461" s="168"/>
      <c r="AW461" s="169"/>
      <c r="AX461" s="94">
        <f t="shared" si="190"/>
        <v>0</v>
      </c>
      <c r="AY461" s="95">
        <f t="shared" si="191"/>
        <v>0</v>
      </c>
    </row>
    <row r="462" spans="1:51" ht="15" customHeight="1" thickBot="1">
      <c r="A462" s="1001"/>
      <c r="B462" s="1010"/>
      <c r="C462" s="1011"/>
      <c r="D462" s="1011"/>
      <c r="E462" s="1011"/>
      <c r="F462" s="1012"/>
      <c r="G462" s="1012"/>
      <c r="H462" s="184"/>
      <c r="I462" s="190"/>
      <c r="J462" s="1001"/>
      <c r="K462" s="1001"/>
      <c r="L462" s="186"/>
      <c r="M462" s="1001"/>
      <c r="N462" s="1013"/>
      <c r="O462" s="192"/>
      <c r="P462" s="1014"/>
      <c r="Q462" s="185"/>
      <c r="R462" s="1018"/>
      <c r="S462" s="1014"/>
      <c r="T462" s="1013"/>
      <c r="U462" s="1015"/>
      <c r="V462" s="1014"/>
      <c r="W462" s="185"/>
      <c r="X462" s="1001"/>
      <c r="Y462" s="1014"/>
      <c r="Z462" s="1013"/>
      <c r="AA462" s="1015"/>
      <c r="AB462" s="1015"/>
      <c r="AC462" s="194"/>
      <c r="AD462" s="194"/>
      <c r="AE462" s="194"/>
      <c r="AF462" s="194"/>
      <c r="AG462" s="1013"/>
      <c r="AH462" s="1015"/>
      <c r="AJ462" s="79" t="str">
        <f t="shared" si="185"/>
        <v/>
      </c>
      <c r="AK462" s="16" t="str">
        <f t="shared" si="186"/>
        <v/>
      </c>
      <c r="AL462" s="16" t="str">
        <f t="shared" si="187"/>
        <v/>
      </c>
      <c r="AM462" s="16" t="str">
        <f t="shared" si="188"/>
        <v/>
      </c>
      <c r="AN462" s="16" t="str">
        <f t="shared" si="189"/>
        <v/>
      </c>
      <c r="AO462" s="55"/>
      <c r="AP462" s="1250"/>
      <c r="AQ462" s="1250"/>
      <c r="AR462" s="1250"/>
      <c r="AS462" s="55"/>
      <c r="AT462" s="167"/>
      <c r="AU462" s="167"/>
      <c r="AV462" s="168"/>
      <c r="AW462" s="169"/>
      <c r="AX462" s="94">
        <f t="shared" si="190"/>
        <v>0</v>
      </c>
      <c r="AY462" s="95">
        <f t="shared" si="191"/>
        <v>0</v>
      </c>
    </row>
    <row r="463" spans="1:51" ht="16.5" customHeight="1">
      <c r="A463" s="1001"/>
      <c r="B463" s="1010"/>
      <c r="C463" s="1011"/>
      <c r="D463" s="1011"/>
      <c r="E463" s="1011"/>
      <c r="F463" s="1012"/>
      <c r="G463" s="1012"/>
      <c r="H463" s="184"/>
      <c r="I463" s="190"/>
      <c r="J463" s="1001"/>
      <c r="K463" s="1001"/>
      <c r="L463" s="186"/>
      <c r="M463" s="1001"/>
      <c r="N463" s="1013"/>
      <c r="O463" s="192"/>
      <c r="P463" s="1014"/>
      <c r="Q463" s="185"/>
      <c r="R463" s="1014"/>
      <c r="S463" s="1014"/>
      <c r="T463" s="1013"/>
      <c r="U463" s="1015"/>
      <c r="V463" s="1014"/>
      <c r="W463" s="185"/>
      <c r="X463" s="1001"/>
      <c r="Y463" s="1014"/>
      <c r="Z463" s="1013"/>
      <c r="AA463" s="1015"/>
      <c r="AB463" s="1015"/>
      <c r="AC463" s="194"/>
      <c r="AD463" s="194"/>
      <c r="AE463" s="194"/>
      <c r="AF463" s="194"/>
      <c r="AG463" s="1013"/>
      <c r="AH463" s="1015"/>
      <c r="AJ463" s="79" t="str">
        <f t="shared" si="185"/>
        <v/>
      </c>
      <c r="AK463" s="16" t="str">
        <f t="shared" si="186"/>
        <v/>
      </c>
      <c r="AL463" s="16" t="str">
        <f t="shared" si="187"/>
        <v/>
      </c>
      <c r="AM463" s="16" t="str">
        <f t="shared" si="188"/>
        <v/>
      </c>
      <c r="AN463" s="16" t="str">
        <f t="shared" si="189"/>
        <v/>
      </c>
      <c r="AO463" s="55"/>
      <c r="AP463" s="117">
        <v>6</v>
      </c>
      <c r="AQ463" s="118"/>
      <c r="AR463" s="100">
        <f>IFERROR(AP463*AQ463*AS466,0)</f>
        <v>0</v>
      </c>
      <c r="AS463" s="55"/>
      <c r="AT463" s="167"/>
      <c r="AU463" s="167"/>
      <c r="AV463" s="168"/>
      <c r="AW463" s="169"/>
      <c r="AX463" s="94">
        <f t="shared" si="190"/>
        <v>0</v>
      </c>
      <c r="AY463" s="95">
        <f t="shared" si="191"/>
        <v>0</v>
      </c>
    </row>
    <row r="464" spans="1:51" ht="16.5" customHeight="1">
      <c r="A464" s="1001"/>
      <c r="B464" s="1010"/>
      <c r="C464" s="1011"/>
      <c r="D464" s="1011"/>
      <c r="E464" s="1011"/>
      <c r="F464" s="1012"/>
      <c r="G464" s="1012"/>
      <c r="H464" s="184"/>
      <c r="I464" s="190"/>
      <c r="J464" s="1001"/>
      <c r="K464" s="1001"/>
      <c r="L464" s="186"/>
      <c r="M464" s="1001"/>
      <c r="N464" s="1013"/>
      <c r="O464" s="192"/>
      <c r="P464" s="1014"/>
      <c r="Q464" s="184"/>
      <c r="R464" s="1018"/>
      <c r="S464" s="1019"/>
      <c r="T464" s="1013"/>
      <c r="U464" s="1015"/>
      <c r="V464" s="1014"/>
      <c r="W464" s="185"/>
      <c r="X464" s="1001"/>
      <c r="Y464" s="1014"/>
      <c r="Z464" s="1013"/>
      <c r="AA464" s="1015"/>
      <c r="AB464" s="1015"/>
      <c r="AC464" s="194"/>
      <c r="AD464" s="194"/>
      <c r="AE464" s="194"/>
      <c r="AF464" s="194"/>
      <c r="AG464" s="1013"/>
      <c r="AH464" s="1015"/>
      <c r="AJ464" s="79" t="str">
        <f t="shared" si="185"/>
        <v/>
      </c>
      <c r="AK464" s="16" t="str">
        <f t="shared" si="186"/>
        <v/>
      </c>
      <c r="AL464" s="16" t="str">
        <f t="shared" si="187"/>
        <v/>
      </c>
      <c r="AM464" s="16" t="str">
        <f t="shared" si="188"/>
        <v/>
      </c>
      <c r="AN464" s="16" t="str">
        <f t="shared" si="189"/>
        <v/>
      </c>
      <c r="AO464" s="55"/>
      <c r="AP464" s="98">
        <v>5</v>
      </c>
      <c r="AQ464" s="99"/>
      <c r="AR464" s="100">
        <f>IFERROR(AP464*AQ464*AS466,0)</f>
        <v>0</v>
      </c>
      <c r="AS464" s="55"/>
      <c r="AT464" s="177"/>
      <c r="AU464" s="178"/>
      <c r="AV464" s="177"/>
      <c r="AW464" s="179"/>
      <c r="AX464" s="94">
        <f t="shared" si="190"/>
        <v>0</v>
      </c>
      <c r="AY464" s="95">
        <f t="shared" si="191"/>
        <v>0</v>
      </c>
    </row>
    <row r="465" spans="1:51" ht="15.75" customHeight="1">
      <c r="A465" s="1001"/>
      <c r="B465" s="1010"/>
      <c r="C465" s="1020"/>
      <c r="D465" s="1021"/>
      <c r="E465" s="1020"/>
      <c r="F465" s="1022"/>
      <c r="G465" s="1022"/>
      <c r="H465" s="184"/>
      <c r="I465" s="190"/>
      <c r="J465" s="1001"/>
      <c r="K465" s="1001"/>
      <c r="L465" s="186"/>
      <c r="M465" s="1001"/>
      <c r="N465" s="1013"/>
      <c r="O465" s="192"/>
      <c r="P465" s="1019"/>
      <c r="Q465" s="184"/>
      <c r="R465" s="1018"/>
      <c r="S465" s="1019"/>
      <c r="T465" s="1013"/>
      <c r="U465" s="1015"/>
      <c r="V465" s="1014"/>
      <c r="W465" s="185"/>
      <c r="X465" s="1001"/>
      <c r="Y465" s="1014"/>
      <c r="Z465" s="1013"/>
      <c r="AA465" s="1015"/>
      <c r="AB465" s="1015"/>
      <c r="AC465" s="194"/>
      <c r="AD465" s="194"/>
      <c r="AE465" s="194"/>
      <c r="AF465" s="194"/>
      <c r="AG465" s="1013"/>
      <c r="AH465" s="1015"/>
      <c r="AJ465" s="79" t="str">
        <f t="shared" si="185"/>
        <v/>
      </c>
      <c r="AK465" s="16" t="str">
        <f t="shared" si="186"/>
        <v/>
      </c>
      <c r="AL465" s="16" t="str">
        <f t="shared" si="187"/>
        <v/>
      </c>
      <c r="AM465" s="16" t="str">
        <f t="shared" si="188"/>
        <v/>
      </c>
      <c r="AN465" s="16" t="str">
        <f t="shared" si="189"/>
        <v/>
      </c>
      <c r="AO465" s="104"/>
      <c r="AP465" s="98">
        <v>4</v>
      </c>
      <c r="AQ465" s="99"/>
      <c r="AR465" s="100">
        <f>IFERROR(AP465*AQ465*AS466,0)</f>
        <v>0</v>
      </c>
      <c r="AS465" s="55"/>
      <c r="AT465" s="167"/>
      <c r="AU465" s="165"/>
      <c r="AV465" s="168"/>
      <c r="AW465" s="169"/>
      <c r="AX465" s="94">
        <f t="shared" si="190"/>
        <v>0</v>
      </c>
      <c r="AY465" s="95">
        <f t="shared" si="191"/>
        <v>0</v>
      </c>
    </row>
    <row r="466" spans="1:51" ht="15" customHeight="1">
      <c r="A466" s="1001"/>
      <c r="B466" s="1001"/>
      <c r="C466" s="1023"/>
      <c r="D466" s="1023"/>
      <c r="E466" s="1023"/>
      <c r="F466" s="1024"/>
      <c r="G466" s="1024"/>
      <c r="H466" s="1001"/>
      <c r="I466" s="1001"/>
      <c r="J466" s="201"/>
      <c r="K466" s="201"/>
      <c r="L466" s="201"/>
      <c r="M466" s="201"/>
      <c r="N466" s="1025"/>
      <c r="O466" s="1002"/>
      <c r="P466" s="1001"/>
      <c r="Q466" s="1001"/>
      <c r="R466" s="1001"/>
      <c r="S466" s="1003"/>
      <c r="T466" s="1001"/>
      <c r="U466" s="1004"/>
      <c r="V466" s="1001"/>
      <c r="W466" s="1001"/>
      <c r="X466" s="1001"/>
      <c r="Y466" s="1001"/>
      <c r="Z466" s="1001"/>
      <c r="AA466" s="1004"/>
      <c r="AB466" s="1001"/>
      <c r="AC466" s="1001"/>
      <c r="AD466" s="1001"/>
      <c r="AE466" s="1001"/>
      <c r="AF466" s="1001"/>
      <c r="AG466" s="54"/>
      <c r="AH466" s="54"/>
      <c r="AK466" s="2"/>
      <c r="AL466" s="2"/>
      <c r="AM466" s="2"/>
      <c r="AN466" s="2"/>
      <c r="AO466" s="55"/>
      <c r="AP466" s="98">
        <v>3</v>
      </c>
      <c r="AQ466" s="109"/>
      <c r="AR466" s="100">
        <f>IFERROR(AP466*AQ466*AS466,0)</f>
        <v>0</v>
      </c>
      <c r="AS466" s="48">
        <f>IFERROR(AR467/((AP466*AQ466)+(AP465*AQ465)+(AP464*AQ464)+(AP463*AQ463)),0)</f>
        <v>0</v>
      </c>
    </row>
    <row r="467" spans="1:51" ht="15.75" customHeight="1" thickBot="1">
      <c r="A467" s="1001"/>
      <c r="B467" s="1001"/>
      <c r="C467" s="1023"/>
      <c r="D467" s="1023"/>
      <c r="E467" s="1023"/>
      <c r="F467" s="1024"/>
      <c r="G467" s="1024"/>
      <c r="H467" s="184"/>
      <c r="I467" s="190"/>
      <c r="J467" s="1026"/>
      <c r="K467" s="1026"/>
      <c r="L467" s="1026"/>
      <c r="M467" s="1026"/>
      <c r="N467" s="1013"/>
      <c r="O467" s="192"/>
      <c r="P467" s="1027"/>
      <c r="Q467" s="1027"/>
      <c r="R467" s="1027"/>
      <c r="S467" s="1027"/>
      <c r="T467" s="1018"/>
      <c r="U467" s="1018"/>
      <c r="V467" s="1027"/>
      <c r="W467" s="1027"/>
      <c r="X467" s="1027"/>
      <c r="Y467" s="1027"/>
      <c r="Z467" s="1001"/>
      <c r="AA467" s="1001"/>
      <c r="AB467" s="1001"/>
      <c r="AC467" s="1027"/>
      <c r="AD467" s="1027"/>
      <c r="AE467" s="1027"/>
      <c r="AF467" s="1027"/>
      <c r="AG467" s="54"/>
      <c r="AH467" s="54"/>
      <c r="AK467" s="154">
        <f>SUM(AK454:AK466)</f>
        <v>0</v>
      </c>
      <c r="AL467" s="154">
        <f>SUM(AL454:AL466)</f>
        <v>0</v>
      </c>
      <c r="AM467" s="154">
        <f>SUM(AM454:AM466)</f>
        <v>0</v>
      </c>
      <c r="AN467" s="154">
        <f>SUM(AN454:AN466)</f>
        <v>0</v>
      </c>
      <c r="AO467" s="55"/>
      <c r="AP467" s="111"/>
      <c r="AQ467" s="112"/>
      <c r="AR467" s="155"/>
      <c r="AS467" s="55"/>
    </row>
    <row r="468" spans="1:51" ht="15.75" customHeight="1">
      <c r="A468" s="1028"/>
      <c r="B468" s="1001"/>
      <c r="C468" s="1001"/>
      <c r="D468" s="1001"/>
      <c r="E468" s="1001"/>
      <c r="F468" s="1001"/>
      <c r="G468" s="1001"/>
      <c r="H468" s="1018"/>
      <c r="I468" s="190"/>
      <c r="J468" s="1026"/>
      <c r="K468" s="1026"/>
      <c r="L468" s="1026"/>
      <c r="M468" s="1026"/>
      <c r="N468" s="1013"/>
      <c r="O468" s="192"/>
      <c r="P468" s="1027"/>
      <c r="Q468" s="1027"/>
      <c r="R468" s="1027"/>
      <c r="S468" s="1027"/>
      <c r="T468" s="1029"/>
      <c r="U468" s="1030"/>
      <c r="V468" s="1027"/>
      <c r="W468" s="1027"/>
      <c r="X468" s="1027"/>
      <c r="Y468" s="1027"/>
      <c r="Z468" s="1031"/>
      <c r="AA468" s="1032"/>
      <c r="AB468" s="1033"/>
      <c r="AC468" s="1027"/>
      <c r="AD468" s="1027"/>
      <c r="AE468" s="1027"/>
      <c r="AF468" s="1027"/>
      <c r="AG468" s="54"/>
      <c r="AH468" s="1030"/>
      <c r="AK468" s="48"/>
      <c r="AL468" s="48"/>
      <c r="AM468" s="48"/>
      <c r="AN468" s="48"/>
      <c r="AO468" s="55"/>
      <c r="AP468" s="55"/>
      <c r="AQ468" s="55"/>
      <c r="AR468" s="157">
        <f>AR459+AR467</f>
        <v>0</v>
      </c>
      <c r="AS468" s="55"/>
    </row>
    <row r="469" spans="1:51" ht="19.5" customHeight="1" thickBot="1">
      <c r="A469" s="1007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007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  <c r="AC469" s="182"/>
      <c r="AD469" s="182"/>
      <c r="AE469" s="182"/>
      <c r="AF469" s="182"/>
      <c r="AG469" s="54"/>
      <c r="AH469" s="54"/>
      <c r="AK469" s="48"/>
      <c r="AL469" s="48"/>
      <c r="AM469" s="48"/>
      <c r="AN469" s="48"/>
      <c r="AO469" s="48"/>
      <c r="AP469" s="48"/>
      <c r="AQ469" s="48"/>
      <c r="AR469" s="48"/>
      <c r="AS469" s="48"/>
    </row>
    <row r="470" spans="1:51" ht="14.25" customHeight="1" thickBot="1">
      <c r="A470" s="1252"/>
      <c r="B470" s="1253"/>
      <c r="C470" s="1254"/>
      <c r="D470" s="1254"/>
      <c r="E470" s="1254"/>
      <c r="F470" s="1254"/>
      <c r="G470" s="1254"/>
      <c r="H470" s="1253"/>
      <c r="I470" s="1254"/>
      <c r="J470" s="1253"/>
      <c r="K470" s="1253"/>
      <c r="L470" s="1253"/>
      <c r="M470" s="1253"/>
      <c r="N470" s="1255"/>
      <c r="O470" s="1258"/>
      <c r="P470" s="1254"/>
      <c r="Q470" s="1254"/>
      <c r="R470" s="1254"/>
      <c r="S470" s="1254"/>
      <c r="T470" s="1259"/>
      <c r="U470" s="1258"/>
      <c r="V470" s="1254"/>
      <c r="W470" s="1254"/>
      <c r="X470" s="1254"/>
      <c r="Y470" s="1254"/>
      <c r="Z470" s="1259"/>
      <c r="AA470" s="1258"/>
      <c r="AB470" s="1258"/>
      <c r="AC470" s="1260"/>
      <c r="AD470" s="1260"/>
      <c r="AE470" s="1260"/>
      <c r="AF470" s="1260"/>
      <c r="AG470" s="1259"/>
      <c r="AH470" s="1258"/>
      <c r="AK470" s="1257" t="s">
        <v>37</v>
      </c>
      <c r="AL470" s="1257"/>
      <c r="AM470" s="1257"/>
      <c r="AN470" s="1257"/>
      <c r="AO470" s="55"/>
      <c r="AP470" s="1250" t="s">
        <v>7</v>
      </c>
      <c r="AQ470" s="1250"/>
      <c r="AR470" s="1250"/>
      <c r="AS470" s="55"/>
      <c r="AT470" s="1251" t="s">
        <v>38</v>
      </c>
      <c r="AU470" s="1251"/>
      <c r="AV470" s="1251"/>
      <c r="AW470" s="1251"/>
      <c r="AX470" s="94" t="s">
        <v>39</v>
      </c>
      <c r="AY470" s="95" t="s">
        <v>12</v>
      </c>
    </row>
    <row r="471" spans="1:51" ht="18" customHeight="1" thickBot="1">
      <c r="A471" s="1252"/>
      <c r="B471" s="1252"/>
      <c r="C471" s="186"/>
      <c r="D471" s="186"/>
      <c r="E471" s="186"/>
      <c r="F471" s="186"/>
      <c r="G471" s="186"/>
      <c r="H471" s="1253"/>
      <c r="I471" s="1254"/>
      <c r="J471" s="185"/>
      <c r="K471" s="185"/>
      <c r="L471" s="185"/>
      <c r="M471" s="185"/>
      <c r="N471" s="1255"/>
      <c r="O471" s="1258"/>
      <c r="P471" s="186"/>
      <c r="Q471" s="185"/>
      <c r="R471" s="1008"/>
      <c r="S471" s="185"/>
      <c r="T471" s="1259"/>
      <c r="U471" s="1259"/>
      <c r="V471" s="186"/>
      <c r="W471" s="185"/>
      <c r="X471" s="1008"/>
      <c r="Y471" s="185"/>
      <c r="Z471" s="1259"/>
      <c r="AA471" s="1259"/>
      <c r="AB471" s="1258"/>
      <c r="AC471" s="186"/>
      <c r="AD471" s="185"/>
      <c r="AE471" s="1008"/>
      <c r="AF471" s="185"/>
      <c r="AG471" s="1259"/>
      <c r="AH471" s="1258"/>
      <c r="AK471" s="162" t="s">
        <v>49</v>
      </c>
      <c r="AL471" s="162" t="s">
        <v>50</v>
      </c>
      <c r="AM471" s="162" t="s">
        <v>51</v>
      </c>
      <c r="AN471" s="162" t="s">
        <v>52</v>
      </c>
      <c r="AO471" s="73">
        <v>130</v>
      </c>
      <c r="AP471" s="1250"/>
      <c r="AQ471" s="1250"/>
      <c r="AR471" s="1250"/>
      <c r="AS471" s="55"/>
      <c r="AT471" s="164" t="s">
        <v>45</v>
      </c>
      <c r="AU471" s="165" t="s">
        <v>46</v>
      </c>
      <c r="AV471" s="166" t="s">
        <v>47</v>
      </c>
      <c r="AW471" s="161" t="s">
        <v>48</v>
      </c>
      <c r="AX471" s="94"/>
      <c r="AY471" s="95"/>
    </row>
    <row r="472" spans="1:51" ht="15" customHeight="1" thickBot="1">
      <c r="A472" s="1009"/>
      <c r="B472" s="1010"/>
      <c r="C472" s="1011"/>
      <c r="D472" s="1011"/>
      <c r="E472" s="1011"/>
      <c r="F472" s="1012"/>
      <c r="G472" s="1012"/>
      <c r="H472" s="184"/>
      <c r="I472" s="190"/>
      <c r="J472" s="1001"/>
      <c r="K472" s="1001"/>
      <c r="L472" s="186"/>
      <c r="M472" s="1001"/>
      <c r="N472" s="1013"/>
      <c r="O472" s="192"/>
      <c r="P472" s="1014"/>
      <c r="Q472" s="1014"/>
      <c r="R472" s="1001"/>
      <c r="S472" s="1014"/>
      <c r="T472" s="1013"/>
      <c r="U472" s="1015"/>
      <c r="V472" s="1014"/>
      <c r="W472" s="1014"/>
      <c r="X472" s="1001"/>
      <c r="Y472" s="1014"/>
      <c r="Z472" s="1013"/>
      <c r="AA472" s="1015"/>
      <c r="AB472" s="1015"/>
      <c r="AC472" s="194"/>
      <c r="AD472" s="194"/>
      <c r="AE472" s="194"/>
      <c r="AF472" s="194"/>
      <c r="AG472" s="1013"/>
      <c r="AH472" s="1015"/>
      <c r="AJ472" s="79" t="str">
        <f t="shared" ref="AJ472:AJ483" si="192">IF(H472=130,0.132335,IF(H472=100,0.0785,IF(H472=110,0.095,IF(H472=160,0.198005,""))))</f>
        <v/>
      </c>
      <c r="AK472" s="16" t="str">
        <f t="shared" ref="AK472:AK483" si="193">IFERROR(P472*3*AJ472,"")</f>
        <v/>
      </c>
      <c r="AL472" s="16" t="str">
        <f t="shared" ref="AL472:AL483" si="194">IFERROR(Q472*4*AJ472,"")</f>
        <v/>
      </c>
      <c r="AM472" s="16" t="str">
        <f t="shared" ref="AM472:AM483" si="195">IFERROR(R472*5*AJ472,"")</f>
        <v/>
      </c>
      <c r="AN472" s="16" t="str">
        <f t="shared" ref="AN472:AN483" si="196">IFERROR(S472*6*AJ472,"")</f>
        <v/>
      </c>
      <c r="AO472" s="55"/>
      <c r="AP472" s="1250"/>
      <c r="AQ472" s="1250"/>
      <c r="AR472" s="1250"/>
      <c r="AS472" s="55"/>
      <c r="AT472" s="167"/>
      <c r="AU472" s="167"/>
      <c r="AV472" s="168"/>
      <c r="AW472" s="169"/>
      <c r="AX472" s="94">
        <f t="shared" ref="AX472:AX483" si="197">AT472*3+AU472*4+AV472*5+AW472*6</f>
        <v>0</v>
      </c>
      <c r="AY472" s="95">
        <f t="shared" ref="AY472:AY483" si="198">AX472*I472</f>
        <v>0</v>
      </c>
    </row>
    <row r="473" spans="1:51" ht="15" customHeight="1">
      <c r="A473" s="1001"/>
      <c r="B473" s="1010"/>
      <c r="C473" s="1011"/>
      <c r="D473" s="1011"/>
      <c r="E473" s="1011"/>
      <c r="F473" s="1012"/>
      <c r="G473" s="1012"/>
      <c r="H473" s="184"/>
      <c r="I473" s="190"/>
      <c r="J473" s="1001"/>
      <c r="K473" s="1001"/>
      <c r="L473" s="186"/>
      <c r="M473" s="1001"/>
      <c r="N473" s="1013"/>
      <c r="O473" s="192"/>
      <c r="P473" s="1014"/>
      <c r="Q473" s="1014"/>
      <c r="R473" s="1001"/>
      <c r="S473" s="1014"/>
      <c r="T473" s="1013"/>
      <c r="U473" s="1015"/>
      <c r="V473" s="1014"/>
      <c r="W473" s="1014"/>
      <c r="X473" s="186"/>
      <c r="Y473" s="1014"/>
      <c r="Z473" s="1013"/>
      <c r="AA473" s="1015"/>
      <c r="AB473" s="1015"/>
      <c r="AC473" s="194"/>
      <c r="AD473" s="194"/>
      <c r="AE473" s="194"/>
      <c r="AF473" s="194"/>
      <c r="AG473" s="1013"/>
      <c r="AH473" s="1015"/>
      <c r="AJ473" s="79" t="str">
        <f t="shared" si="192"/>
        <v/>
      </c>
      <c r="AK473" s="16" t="str">
        <f t="shared" si="193"/>
        <v/>
      </c>
      <c r="AL473" s="16" t="str">
        <f t="shared" si="194"/>
        <v/>
      </c>
      <c r="AM473" s="16" t="str">
        <f t="shared" si="195"/>
        <v/>
      </c>
      <c r="AN473" s="16" t="str">
        <f t="shared" si="196"/>
        <v/>
      </c>
      <c r="AO473" s="55"/>
      <c r="AP473" s="98">
        <v>6</v>
      </c>
      <c r="AQ473" s="99"/>
      <c r="AR473" s="100">
        <f>IFERROR(AP473*AQ473*AS476,0)</f>
        <v>0</v>
      </c>
      <c r="AS473" s="55"/>
      <c r="AT473" s="167"/>
      <c r="AU473" s="167"/>
      <c r="AV473" s="164"/>
      <c r="AW473" s="169"/>
      <c r="AX473" s="94">
        <f t="shared" si="197"/>
        <v>0</v>
      </c>
      <c r="AY473" s="95">
        <f t="shared" si="198"/>
        <v>0</v>
      </c>
    </row>
    <row r="474" spans="1:51" ht="15" customHeight="1">
      <c r="A474" s="1001"/>
      <c r="B474" s="1010"/>
      <c r="C474" s="1016"/>
      <c r="D474" s="1016"/>
      <c r="E474" s="1016"/>
      <c r="F474" s="1017"/>
      <c r="G474" s="1017"/>
      <c r="H474" s="184"/>
      <c r="I474" s="190"/>
      <c r="J474" s="1001"/>
      <c r="K474" s="1001"/>
      <c r="L474" s="186"/>
      <c r="M474" s="1001"/>
      <c r="N474" s="1013"/>
      <c r="O474" s="192"/>
      <c r="P474" s="1014"/>
      <c r="Q474" s="1014"/>
      <c r="R474" s="1001"/>
      <c r="S474" s="1014"/>
      <c r="T474" s="1013"/>
      <c r="U474" s="1015"/>
      <c r="V474" s="1014"/>
      <c r="W474" s="1014"/>
      <c r="X474" s="1001"/>
      <c r="Y474" s="1014"/>
      <c r="Z474" s="1013"/>
      <c r="AA474" s="1015"/>
      <c r="AB474" s="1015"/>
      <c r="AC474" s="194"/>
      <c r="AD474" s="194"/>
      <c r="AE474" s="194"/>
      <c r="AF474" s="194"/>
      <c r="AG474" s="1013"/>
      <c r="AH474" s="1015"/>
      <c r="AJ474" s="79" t="str">
        <f t="shared" si="192"/>
        <v/>
      </c>
      <c r="AK474" s="16" t="str">
        <f t="shared" si="193"/>
        <v/>
      </c>
      <c r="AL474" s="16" t="str">
        <f t="shared" si="194"/>
        <v/>
      </c>
      <c r="AM474" s="16" t="str">
        <f t="shared" si="195"/>
        <v/>
      </c>
      <c r="AN474" s="16" t="str">
        <f t="shared" si="196"/>
        <v/>
      </c>
      <c r="AO474" s="55"/>
      <c r="AP474" s="98">
        <v>5</v>
      </c>
      <c r="AQ474" s="99"/>
      <c r="AR474" s="100">
        <f>IFERROR(AP474*AQ474*AS476,0)</f>
        <v>0</v>
      </c>
      <c r="AS474" s="104"/>
      <c r="AT474" s="167"/>
      <c r="AU474" s="167"/>
      <c r="AV474" s="164"/>
      <c r="AW474" s="169"/>
      <c r="AX474" s="94">
        <f t="shared" si="197"/>
        <v>0</v>
      </c>
      <c r="AY474" s="95">
        <f t="shared" si="198"/>
        <v>0</v>
      </c>
    </row>
    <row r="475" spans="1:51" ht="15" customHeight="1">
      <c r="A475" s="1001"/>
      <c r="B475" s="1010"/>
      <c r="C475" s="1011"/>
      <c r="D475" s="1011"/>
      <c r="E475" s="1011"/>
      <c r="F475" s="1012"/>
      <c r="G475" s="1012"/>
      <c r="H475" s="184"/>
      <c r="I475" s="190"/>
      <c r="J475" s="1001"/>
      <c r="K475" s="1001"/>
      <c r="L475" s="186"/>
      <c r="M475" s="1001"/>
      <c r="N475" s="1013"/>
      <c r="O475" s="192"/>
      <c r="P475" s="1014"/>
      <c r="Q475" s="1014"/>
      <c r="R475" s="1001"/>
      <c r="S475" s="1014"/>
      <c r="T475" s="1013"/>
      <c r="U475" s="1015"/>
      <c r="V475" s="1014"/>
      <c r="W475" s="1014"/>
      <c r="X475" s="1001"/>
      <c r="Y475" s="1014"/>
      <c r="Z475" s="1013"/>
      <c r="AA475" s="1015"/>
      <c r="AB475" s="1015"/>
      <c r="AC475" s="194"/>
      <c r="AD475" s="194"/>
      <c r="AE475" s="194"/>
      <c r="AF475" s="194"/>
      <c r="AG475" s="1013"/>
      <c r="AH475" s="1015"/>
      <c r="AJ475" s="79" t="str">
        <f t="shared" si="192"/>
        <v/>
      </c>
      <c r="AK475" s="16" t="str">
        <f t="shared" si="193"/>
        <v/>
      </c>
      <c r="AL475" s="16" t="str">
        <f t="shared" si="194"/>
        <v/>
      </c>
      <c r="AM475" s="16" t="str">
        <f t="shared" si="195"/>
        <v/>
      </c>
      <c r="AN475" s="16" t="str">
        <f t="shared" si="196"/>
        <v/>
      </c>
      <c r="AO475" s="55"/>
      <c r="AP475" s="98">
        <v>4</v>
      </c>
      <c r="AQ475" s="99"/>
      <c r="AR475" s="100">
        <f>IFERROR(AP475*AQ475*AS476,0)</f>
        <v>0</v>
      </c>
      <c r="AS475" s="104"/>
      <c r="AT475" s="167"/>
      <c r="AU475" s="167"/>
      <c r="AV475" s="168"/>
      <c r="AW475" s="169"/>
      <c r="AX475" s="94">
        <f t="shared" si="197"/>
        <v>0</v>
      </c>
      <c r="AY475" s="95">
        <f t="shared" si="198"/>
        <v>0</v>
      </c>
    </row>
    <row r="476" spans="1:51" ht="15" customHeight="1">
      <c r="A476" s="1001"/>
      <c r="B476" s="1010"/>
      <c r="C476" s="1011"/>
      <c r="D476" s="188"/>
      <c r="E476" s="1011"/>
      <c r="F476" s="1012"/>
      <c r="G476" s="1012"/>
      <c r="H476" s="184"/>
      <c r="I476" s="190"/>
      <c r="J476" s="1001"/>
      <c r="K476" s="1001"/>
      <c r="L476" s="186"/>
      <c r="M476" s="1001"/>
      <c r="N476" s="1013"/>
      <c r="O476" s="192"/>
      <c r="P476" s="1014"/>
      <c r="Q476" s="1014"/>
      <c r="R476" s="1001"/>
      <c r="S476" s="1014"/>
      <c r="T476" s="1013"/>
      <c r="U476" s="1015"/>
      <c r="V476" s="1014"/>
      <c r="W476" s="1014"/>
      <c r="X476" s="1001"/>
      <c r="Y476" s="1014"/>
      <c r="Z476" s="1013"/>
      <c r="AA476" s="1015"/>
      <c r="AB476" s="1015"/>
      <c r="AC476" s="194"/>
      <c r="AD476" s="194"/>
      <c r="AE476" s="194"/>
      <c r="AF476" s="194"/>
      <c r="AG476" s="1013"/>
      <c r="AH476" s="1015"/>
      <c r="AJ476" s="79" t="str">
        <f t="shared" si="192"/>
        <v/>
      </c>
      <c r="AK476" s="16" t="str">
        <f t="shared" si="193"/>
        <v/>
      </c>
      <c r="AL476" s="16" t="str">
        <f t="shared" si="194"/>
        <v/>
      </c>
      <c r="AM476" s="16" t="str">
        <f t="shared" si="195"/>
        <v/>
      </c>
      <c r="AN476" s="16" t="str">
        <f t="shared" si="196"/>
        <v/>
      </c>
      <c r="AO476" s="55"/>
      <c r="AP476" s="98">
        <v>3</v>
      </c>
      <c r="AQ476" s="109"/>
      <c r="AR476" s="100">
        <f>IFERROR(AP476*AQ476*AS476,0)</f>
        <v>0</v>
      </c>
      <c r="AS476" s="48">
        <f>IFERROR(AR477/((AP476*AQ476)+(AP475*AQ475)+(AP474*AQ474)+(AP473*AQ473)),0)</f>
        <v>0</v>
      </c>
      <c r="AT476" s="167"/>
      <c r="AU476" s="167"/>
      <c r="AV476" s="168"/>
      <c r="AW476" s="169"/>
      <c r="AX476" s="94">
        <f t="shared" si="197"/>
        <v>0</v>
      </c>
      <c r="AY476" s="95">
        <f t="shared" si="198"/>
        <v>0</v>
      </c>
    </row>
    <row r="477" spans="1:51" ht="14.25" customHeight="1" thickBot="1">
      <c r="A477" s="1001"/>
      <c r="B477" s="1010"/>
      <c r="C477" s="1011"/>
      <c r="D477" s="1011"/>
      <c r="E477" s="1011"/>
      <c r="F477" s="1012"/>
      <c r="G477" s="1012"/>
      <c r="H477" s="184"/>
      <c r="I477" s="190"/>
      <c r="J477" s="1001"/>
      <c r="K477" s="1001"/>
      <c r="L477" s="186"/>
      <c r="M477" s="1001"/>
      <c r="N477" s="1013"/>
      <c r="O477" s="192"/>
      <c r="P477" s="185"/>
      <c r="Q477" s="1014"/>
      <c r="R477" s="1001"/>
      <c r="S477" s="1014"/>
      <c r="T477" s="1013"/>
      <c r="U477" s="1015"/>
      <c r="V477" s="185"/>
      <c r="W477" s="1014"/>
      <c r="X477" s="1001"/>
      <c r="Y477" s="1014"/>
      <c r="Z477" s="1013"/>
      <c r="AA477" s="1015"/>
      <c r="AB477" s="1015"/>
      <c r="AC477" s="194"/>
      <c r="AD477" s="194"/>
      <c r="AE477" s="194"/>
      <c r="AF477" s="194"/>
      <c r="AG477" s="1013"/>
      <c r="AH477" s="1015"/>
      <c r="AJ477" s="79" t="str">
        <f t="shared" si="192"/>
        <v/>
      </c>
      <c r="AK477" s="16" t="str">
        <f t="shared" si="193"/>
        <v/>
      </c>
      <c r="AL477" s="16" t="str">
        <f t="shared" si="194"/>
        <v/>
      </c>
      <c r="AM477" s="16" t="str">
        <f t="shared" si="195"/>
        <v/>
      </c>
      <c r="AN477" s="16" t="str">
        <f t="shared" si="196"/>
        <v/>
      </c>
      <c r="AO477" s="55"/>
      <c r="AP477" s="111"/>
      <c r="AQ477" s="112"/>
      <c r="AR477" s="113"/>
      <c r="AS477" s="104"/>
      <c r="AT477" s="167"/>
      <c r="AU477" s="167"/>
      <c r="AV477" s="168"/>
      <c r="AW477" s="169"/>
      <c r="AX477" s="94">
        <f t="shared" si="197"/>
        <v>0</v>
      </c>
      <c r="AY477" s="95">
        <f t="shared" si="198"/>
        <v>0</v>
      </c>
    </row>
    <row r="478" spans="1:51" ht="14.25" customHeight="1" thickBot="1">
      <c r="A478" s="1001"/>
      <c r="B478" s="1010"/>
      <c r="C478" s="1011"/>
      <c r="D478" s="1011"/>
      <c r="E478" s="1011"/>
      <c r="F478" s="1012"/>
      <c r="G478" s="1012"/>
      <c r="H478" s="184"/>
      <c r="I478" s="190"/>
      <c r="J478" s="1001"/>
      <c r="K478" s="1001"/>
      <c r="L478" s="186"/>
      <c r="M478" s="1001"/>
      <c r="N478" s="1013"/>
      <c r="O478" s="192"/>
      <c r="P478" s="1014"/>
      <c r="Q478" s="1014"/>
      <c r="R478" s="1001"/>
      <c r="S478" s="1014"/>
      <c r="T478" s="1013"/>
      <c r="U478" s="1015"/>
      <c r="V478" s="1014"/>
      <c r="W478" s="1014"/>
      <c r="X478" s="1001"/>
      <c r="Y478" s="1014"/>
      <c r="Z478" s="1013"/>
      <c r="AA478" s="1015"/>
      <c r="AB478" s="1015"/>
      <c r="AC478" s="194"/>
      <c r="AD478" s="194"/>
      <c r="AE478" s="194"/>
      <c r="AF478" s="194"/>
      <c r="AG478" s="1013"/>
      <c r="AH478" s="1015"/>
      <c r="AJ478" s="79" t="str">
        <f t="shared" si="192"/>
        <v/>
      </c>
      <c r="AK478" s="16" t="str">
        <f t="shared" si="193"/>
        <v/>
      </c>
      <c r="AL478" s="16" t="str">
        <f t="shared" si="194"/>
        <v/>
      </c>
      <c r="AM478" s="16" t="str">
        <f t="shared" si="195"/>
        <v/>
      </c>
      <c r="AN478" s="16" t="str">
        <f t="shared" si="196"/>
        <v/>
      </c>
      <c r="AO478" s="55"/>
      <c r="AP478" s="1250" t="s">
        <v>7</v>
      </c>
      <c r="AQ478" s="1250"/>
      <c r="AR478" s="1250"/>
      <c r="AS478" s="104"/>
      <c r="AT478" s="167"/>
      <c r="AU478" s="167"/>
      <c r="AV478" s="168"/>
      <c r="AW478" s="169"/>
      <c r="AX478" s="94">
        <f t="shared" si="197"/>
        <v>0</v>
      </c>
      <c r="AY478" s="95">
        <f t="shared" si="198"/>
        <v>0</v>
      </c>
    </row>
    <row r="479" spans="1:51" ht="15" customHeight="1" thickBot="1">
      <c r="A479" s="1001"/>
      <c r="B479" s="1010"/>
      <c r="C479" s="1011"/>
      <c r="D479" s="1011"/>
      <c r="E479" s="1011"/>
      <c r="F479" s="1012"/>
      <c r="G479" s="1012"/>
      <c r="H479" s="184"/>
      <c r="I479" s="190"/>
      <c r="J479" s="1001"/>
      <c r="K479" s="1001"/>
      <c r="L479" s="186"/>
      <c r="M479" s="1001"/>
      <c r="N479" s="1013"/>
      <c r="O479" s="192"/>
      <c r="P479" s="1014"/>
      <c r="Q479" s="1014"/>
      <c r="R479" s="1001"/>
      <c r="S479" s="1014"/>
      <c r="T479" s="1013"/>
      <c r="U479" s="1015"/>
      <c r="V479" s="1014"/>
      <c r="W479" s="185"/>
      <c r="X479" s="1001"/>
      <c r="Y479" s="1014"/>
      <c r="Z479" s="1013"/>
      <c r="AA479" s="1015"/>
      <c r="AB479" s="1015"/>
      <c r="AC479" s="194"/>
      <c r="AD479" s="194"/>
      <c r="AE479" s="194"/>
      <c r="AF479" s="194"/>
      <c r="AG479" s="1013"/>
      <c r="AH479" s="1015"/>
      <c r="AJ479" s="79" t="str">
        <f t="shared" si="192"/>
        <v/>
      </c>
      <c r="AK479" s="16" t="str">
        <f t="shared" si="193"/>
        <v/>
      </c>
      <c r="AL479" s="16" t="str">
        <f t="shared" si="194"/>
        <v/>
      </c>
      <c r="AM479" s="16" t="str">
        <f t="shared" si="195"/>
        <v/>
      </c>
      <c r="AN479" s="16" t="str">
        <f t="shared" si="196"/>
        <v/>
      </c>
      <c r="AO479" s="73">
        <v>160</v>
      </c>
      <c r="AP479" s="1250"/>
      <c r="AQ479" s="1250"/>
      <c r="AR479" s="1250"/>
      <c r="AS479" s="55"/>
      <c r="AT479" s="167"/>
      <c r="AU479" s="167"/>
      <c r="AV479" s="168"/>
      <c r="AW479" s="169"/>
      <c r="AX479" s="94">
        <f t="shared" si="197"/>
        <v>0</v>
      </c>
      <c r="AY479" s="95">
        <f t="shared" si="198"/>
        <v>0</v>
      </c>
    </row>
    <row r="480" spans="1:51" ht="15" customHeight="1" thickBot="1">
      <c r="A480" s="1001"/>
      <c r="B480" s="1010"/>
      <c r="C480" s="1011"/>
      <c r="D480" s="1011"/>
      <c r="E480" s="1011"/>
      <c r="F480" s="1012"/>
      <c r="G480" s="1012"/>
      <c r="H480" s="184"/>
      <c r="I480" s="190"/>
      <c r="J480" s="1001"/>
      <c r="K480" s="1001"/>
      <c r="L480" s="186"/>
      <c r="M480" s="1001"/>
      <c r="N480" s="1013"/>
      <c r="O480" s="192"/>
      <c r="P480" s="1014"/>
      <c r="Q480" s="185"/>
      <c r="R480" s="1018"/>
      <c r="S480" s="1014"/>
      <c r="T480" s="1013"/>
      <c r="U480" s="1015"/>
      <c r="V480" s="1014"/>
      <c r="W480" s="185"/>
      <c r="X480" s="1001"/>
      <c r="Y480" s="1014"/>
      <c r="Z480" s="1013"/>
      <c r="AA480" s="1015"/>
      <c r="AB480" s="1015"/>
      <c r="AC480" s="194"/>
      <c r="AD480" s="194"/>
      <c r="AE480" s="194"/>
      <c r="AF480" s="194"/>
      <c r="AG480" s="1013"/>
      <c r="AH480" s="1015"/>
      <c r="AJ480" s="79" t="str">
        <f t="shared" si="192"/>
        <v/>
      </c>
      <c r="AK480" s="16" t="str">
        <f t="shared" si="193"/>
        <v/>
      </c>
      <c r="AL480" s="16" t="str">
        <f t="shared" si="194"/>
        <v/>
      </c>
      <c r="AM480" s="16" t="str">
        <f t="shared" si="195"/>
        <v/>
      </c>
      <c r="AN480" s="16" t="str">
        <f t="shared" si="196"/>
        <v/>
      </c>
      <c r="AO480" s="55"/>
      <c r="AP480" s="1250"/>
      <c r="AQ480" s="1250"/>
      <c r="AR480" s="1250"/>
      <c r="AS480" s="55"/>
      <c r="AT480" s="167"/>
      <c r="AU480" s="167"/>
      <c r="AV480" s="168"/>
      <c r="AW480" s="169"/>
      <c r="AX480" s="94">
        <f t="shared" si="197"/>
        <v>0</v>
      </c>
      <c r="AY480" s="95">
        <f t="shared" si="198"/>
        <v>0</v>
      </c>
    </row>
    <row r="481" spans="1:51" ht="16.5" customHeight="1">
      <c r="A481" s="1001"/>
      <c r="B481" s="1010"/>
      <c r="C481" s="1011"/>
      <c r="D481" s="1011"/>
      <c r="E481" s="1011"/>
      <c r="F481" s="1012"/>
      <c r="G481" s="1012"/>
      <c r="H481" s="184"/>
      <c r="I481" s="190"/>
      <c r="J481" s="1001"/>
      <c r="K481" s="1001"/>
      <c r="L481" s="186"/>
      <c r="M481" s="1001"/>
      <c r="N481" s="1013"/>
      <c r="O481" s="192"/>
      <c r="P481" s="1014"/>
      <c r="Q481" s="185"/>
      <c r="R481" s="1014"/>
      <c r="S481" s="1014"/>
      <c r="T481" s="1013"/>
      <c r="U481" s="1015"/>
      <c r="V481" s="1014"/>
      <c r="W481" s="185"/>
      <c r="X481" s="1001"/>
      <c r="Y481" s="1014"/>
      <c r="Z481" s="1013"/>
      <c r="AA481" s="1015"/>
      <c r="AB481" s="1015"/>
      <c r="AC481" s="194"/>
      <c r="AD481" s="194"/>
      <c r="AE481" s="194"/>
      <c r="AF481" s="194"/>
      <c r="AG481" s="1013"/>
      <c r="AH481" s="1015"/>
      <c r="AJ481" s="79" t="str">
        <f t="shared" si="192"/>
        <v/>
      </c>
      <c r="AK481" s="16" t="str">
        <f t="shared" si="193"/>
        <v/>
      </c>
      <c r="AL481" s="16" t="str">
        <f t="shared" si="194"/>
        <v/>
      </c>
      <c r="AM481" s="16" t="str">
        <f t="shared" si="195"/>
        <v/>
      </c>
      <c r="AN481" s="16" t="str">
        <f t="shared" si="196"/>
        <v/>
      </c>
      <c r="AO481" s="55"/>
      <c r="AP481" s="117">
        <v>6</v>
      </c>
      <c r="AQ481" s="118"/>
      <c r="AR481" s="100">
        <f>IFERROR(AP481*AQ481*AS484,0)</f>
        <v>0</v>
      </c>
      <c r="AS481" s="55"/>
      <c r="AT481" s="167"/>
      <c r="AU481" s="167"/>
      <c r="AV481" s="168"/>
      <c r="AW481" s="169"/>
      <c r="AX481" s="94">
        <f t="shared" si="197"/>
        <v>0</v>
      </c>
      <c r="AY481" s="95">
        <f t="shared" si="198"/>
        <v>0</v>
      </c>
    </row>
    <row r="482" spans="1:51" ht="16.5" customHeight="1">
      <c r="A482" s="1001"/>
      <c r="B482" s="1010"/>
      <c r="C482" s="1011"/>
      <c r="D482" s="1011"/>
      <c r="E482" s="1011"/>
      <c r="F482" s="1012"/>
      <c r="G482" s="1012"/>
      <c r="H482" s="184"/>
      <c r="I482" s="190"/>
      <c r="J482" s="1001"/>
      <c r="K482" s="1001"/>
      <c r="L482" s="186"/>
      <c r="M482" s="1001"/>
      <c r="N482" s="1013"/>
      <c r="O482" s="192"/>
      <c r="P482" s="1014"/>
      <c r="Q482" s="184"/>
      <c r="R482" s="1018"/>
      <c r="S482" s="1019"/>
      <c r="T482" s="1013"/>
      <c r="U482" s="1015"/>
      <c r="V482" s="1014"/>
      <c r="W482" s="185"/>
      <c r="X482" s="1001"/>
      <c r="Y482" s="1014"/>
      <c r="Z482" s="1013"/>
      <c r="AA482" s="1015"/>
      <c r="AB482" s="1015"/>
      <c r="AC482" s="194"/>
      <c r="AD482" s="194"/>
      <c r="AE482" s="194"/>
      <c r="AF482" s="194"/>
      <c r="AG482" s="1013"/>
      <c r="AH482" s="1015"/>
      <c r="AJ482" s="79" t="str">
        <f t="shared" si="192"/>
        <v/>
      </c>
      <c r="AK482" s="16" t="str">
        <f t="shared" si="193"/>
        <v/>
      </c>
      <c r="AL482" s="16" t="str">
        <f t="shared" si="194"/>
        <v/>
      </c>
      <c r="AM482" s="16" t="str">
        <f t="shared" si="195"/>
        <v/>
      </c>
      <c r="AN482" s="16" t="str">
        <f t="shared" si="196"/>
        <v/>
      </c>
      <c r="AO482" s="55"/>
      <c r="AP482" s="98">
        <v>5</v>
      </c>
      <c r="AQ482" s="99"/>
      <c r="AR482" s="100">
        <f>IFERROR(AP482*AQ482*AS484,0)</f>
        <v>0</v>
      </c>
      <c r="AS482" s="55"/>
      <c r="AT482" s="177"/>
      <c r="AU482" s="178"/>
      <c r="AV482" s="177"/>
      <c r="AW482" s="179"/>
      <c r="AX482" s="94">
        <f t="shared" si="197"/>
        <v>0</v>
      </c>
      <c r="AY482" s="95">
        <f t="shared" si="198"/>
        <v>0</v>
      </c>
    </row>
    <row r="483" spans="1:51" ht="15.75" customHeight="1">
      <c r="A483" s="1001"/>
      <c r="B483" s="1010"/>
      <c r="C483" s="1020"/>
      <c r="D483" s="1021"/>
      <c r="E483" s="1020"/>
      <c r="F483" s="1022"/>
      <c r="G483" s="1022"/>
      <c r="H483" s="184"/>
      <c r="I483" s="190"/>
      <c r="J483" s="1001"/>
      <c r="K483" s="1001"/>
      <c r="L483" s="186"/>
      <c r="M483" s="1001"/>
      <c r="N483" s="1013"/>
      <c r="O483" s="192"/>
      <c r="P483" s="1019"/>
      <c r="Q483" s="184"/>
      <c r="R483" s="1018"/>
      <c r="S483" s="1019"/>
      <c r="T483" s="1013"/>
      <c r="U483" s="1015"/>
      <c r="V483" s="1014"/>
      <c r="W483" s="185"/>
      <c r="X483" s="1001"/>
      <c r="Y483" s="1014"/>
      <c r="Z483" s="1013"/>
      <c r="AA483" s="1015"/>
      <c r="AB483" s="1015"/>
      <c r="AC483" s="194"/>
      <c r="AD483" s="194"/>
      <c r="AE483" s="194"/>
      <c r="AF483" s="194"/>
      <c r="AG483" s="1013"/>
      <c r="AH483" s="1015"/>
      <c r="AJ483" s="79" t="str">
        <f t="shared" si="192"/>
        <v/>
      </c>
      <c r="AK483" s="16" t="str">
        <f t="shared" si="193"/>
        <v/>
      </c>
      <c r="AL483" s="16" t="str">
        <f t="shared" si="194"/>
        <v/>
      </c>
      <c r="AM483" s="16" t="str">
        <f t="shared" si="195"/>
        <v/>
      </c>
      <c r="AN483" s="16" t="str">
        <f t="shared" si="196"/>
        <v/>
      </c>
      <c r="AO483" s="104"/>
      <c r="AP483" s="98">
        <v>4</v>
      </c>
      <c r="AQ483" s="99"/>
      <c r="AR483" s="100">
        <f>IFERROR(AP483*AQ483*AS484,0)</f>
        <v>0</v>
      </c>
      <c r="AS483" s="55"/>
      <c r="AT483" s="167"/>
      <c r="AU483" s="165"/>
      <c r="AV483" s="168"/>
      <c r="AW483" s="169"/>
      <c r="AX483" s="94">
        <f t="shared" si="197"/>
        <v>0</v>
      </c>
      <c r="AY483" s="95">
        <f t="shared" si="198"/>
        <v>0</v>
      </c>
    </row>
    <row r="484" spans="1:51" ht="15" customHeight="1">
      <c r="A484" s="1001"/>
      <c r="B484" s="1001"/>
      <c r="C484" s="1023"/>
      <c r="D484" s="1023"/>
      <c r="E484" s="1023"/>
      <c r="F484" s="1024"/>
      <c r="G484" s="1024"/>
      <c r="H484" s="1001"/>
      <c r="I484" s="1001"/>
      <c r="J484" s="201"/>
      <c r="K484" s="201"/>
      <c r="L484" s="201"/>
      <c r="M484" s="201"/>
      <c r="N484" s="1025"/>
      <c r="O484" s="1002"/>
      <c r="P484" s="1001"/>
      <c r="Q484" s="1001"/>
      <c r="R484" s="1001"/>
      <c r="S484" s="1003"/>
      <c r="T484" s="1001"/>
      <c r="U484" s="1004"/>
      <c r="V484" s="1001"/>
      <c r="W484" s="1001"/>
      <c r="X484" s="1001"/>
      <c r="Y484" s="1001"/>
      <c r="Z484" s="1001"/>
      <c r="AA484" s="1004"/>
      <c r="AB484" s="1001"/>
      <c r="AC484" s="1001"/>
      <c r="AD484" s="1001"/>
      <c r="AE484" s="1001"/>
      <c r="AF484" s="1001"/>
      <c r="AG484" s="54"/>
      <c r="AH484" s="54"/>
      <c r="AK484" s="2"/>
      <c r="AL484" s="2"/>
      <c r="AM484" s="2"/>
      <c r="AN484" s="2"/>
      <c r="AO484" s="55"/>
      <c r="AP484" s="98">
        <v>3</v>
      </c>
      <c r="AQ484" s="109"/>
      <c r="AR484" s="100">
        <f>IFERROR(AP484*AQ484*AS484,0)</f>
        <v>0</v>
      </c>
      <c r="AS484" s="48">
        <f>IFERROR(AR485/((AP484*AQ484)+(AP483*AQ483)+(AP482*AQ482)+(AP481*AQ481)),0)</f>
        <v>0</v>
      </c>
    </row>
    <row r="485" spans="1:51" ht="15.75" customHeight="1" thickBot="1">
      <c r="A485" s="1001"/>
      <c r="B485" s="1001"/>
      <c r="C485" s="1023"/>
      <c r="D485" s="1023"/>
      <c r="E485" s="1023"/>
      <c r="F485" s="1024"/>
      <c r="G485" s="1024"/>
      <c r="H485" s="184"/>
      <c r="I485" s="190"/>
      <c r="J485" s="1026"/>
      <c r="K485" s="1026"/>
      <c r="L485" s="1026"/>
      <c r="M485" s="1026"/>
      <c r="N485" s="1013"/>
      <c r="O485" s="192"/>
      <c r="P485" s="1027"/>
      <c r="Q485" s="1027"/>
      <c r="R485" s="1027"/>
      <c r="S485" s="1027"/>
      <c r="T485" s="1018"/>
      <c r="U485" s="1018"/>
      <c r="V485" s="1027"/>
      <c r="W485" s="1027"/>
      <c r="X485" s="1027"/>
      <c r="Y485" s="1027"/>
      <c r="Z485" s="1001"/>
      <c r="AA485" s="1001"/>
      <c r="AB485" s="1001"/>
      <c r="AC485" s="1027"/>
      <c r="AD485" s="1027"/>
      <c r="AE485" s="1027"/>
      <c r="AF485" s="1027"/>
      <c r="AG485" s="54"/>
      <c r="AH485" s="54"/>
      <c r="AK485" s="154">
        <f>SUM(AK472:AK484)</f>
        <v>0</v>
      </c>
      <c r="AL485" s="154">
        <f>SUM(AL472:AL484)</f>
        <v>0</v>
      </c>
      <c r="AM485" s="154">
        <f>SUM(AM472:AM484)</f>
        <v>0</v>
      </c>
      <c r="AN485" s="154">
        <f>SUM(AN472:AN484)</f>
        <v>0</v>
      </c>
      <c r="AO485" s="55"/>
      <c r="AP485" s="111"/>
      <c r="AQ485" s="112"/>
      <c r="AR485" s="155"/>
      <c r="AS485" s="55"/>
    </row>
    <row r="486" spans="1:51" ht="15.75" customHeight="1">
      <c r="A486" s="1028"/>
      <c r="B486" s="1001"/>
      <c r="C486" s="1001"/>
      <c r="D486" s="1001"/>
      <c r="E486" s="1001"/>
      <c r="F486" s="1001"/>
      <c r="G486" s="1001"/>
      <c r="H486" s="1018"/>
      <c r="I486" s="190"/>
      <c r="J486" s="1026"/>
      <c r="K486" s="1026"/>
      <c r="L486" s="1026"/>
      <c r="M486" s="1026"/>
      <c r="N486" s="1013"/>
      <c r="O486" s="192"/>
      <c r="P486" s="1027"/>
      <c r="Q486" s="1027"/>
      <c r="R486" s="1027"/>
      <c r="S486" s="1027"/>
      <c r="T486" s="1029"/>
      <c r="U486" s="1030"/>
      <c r="V486" s="1027"/>
      <c r="W486" s="1027"/>
      <c r="X486" s="1027"/>
      <c r="Y486" s="1027"/>
      <c r="Z486" s="1031"/>
      <c r="AA486" s="1032"/>
      <c r="AB486" s="1033"/>
      <c r="AC486" s="1027"/>
      <c r="AD486" s="1027"/>
      <c r="AE486" s="1027"/>
      <c r="AF486" s="1027"/>
      <c r="AG486" s="54"/>
      <c r="AH486" s="1030"/>
      <c r="AK486" s="48"/>
      <c r="AL486" s="48"/>
      <c r="AM486" s="48"/>
      <c r="AN486" s="48"/>
      <c r="AO486" s="55"/>
      <c r="AP486" s="55"/>
      <c r="AQ486" s="55"/>
      <c r="AR486" s="157">
        <f>AR477+AR485</f>
        <v>0</v>
      </c>
      <c r="AS486" s="55"/>
    </row>
    <row r="487" spans="1:51" ht="19.5" customHeight="1" thickBot="1">
      <c r="A487" s="1007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007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  <c r="AC487" s="182"/>
      <c r="AD487" s="182"/>
      <c r="AE487" s="182"/>
      <c r="AF487" s="182"/>
      <c r="AG487" s="54"/>
      <c r="AH487" s="54"/>
      <c r="AK487" s="48"/>
      <c r="AL487" s="48"/>
      <c r="AM487" s="48"/>
      <c r="AN487" s="48"/>
      <c r="AO487" s="48"/>
      <c r="AP487" s="48"/>
      <c r="AQ487" s="48"/>
      <c r="AR487" s="48"/>
      <c r="AS487" s="48"/>
    </row>
    <row r="488" spans="1:51" ht="14.25" customHeight="1" thickBot="1">
      <c r="A488" s="1252"/>
      <c r="B488" s="1253"/>
      <c r="C488" s="1254"/>
      <c r="D488" s="1254"/>
      <c r="E488" s="1254"/>
      <c r="F488" s="1254"/>
      <c r="G488" s="1254"/>
      <c r="H488" s="1253"/>
      <c r="I488" s="1254"/>
      <c r="J488" s="1253"/>
      <c r="K488" s="1253"/>
      <c r="L488" s="1253"/>
      <c r="M488" s="1253"/>
      <c r="N488" s="1255"/>
      <c r="O488" s="1258"/>
      <c r="P488" s="1254"/>
      <c r="Q488" s="1254"/>
      <c r="R488" s="1254"/>
      <c r="S488" s="1254"/>
      <c r="T488" s="1259"/>
      <c r="U488" s="1258"/>
      <c r="V488" s="1254"/>
      <c r="W488" s="1254"/>
      <c r="X488" s="1254"/>
      <c r="Y488" s="1254"/>
      <c r="Z488" s="1259"/>
      <c r="AA488" s="1258"/>
      <c r="AB488" s="1258"/>
      <c r="AC488" s="1260"/>
      <c r="AD488" s="1260"/>
      <c r="AE488" s="1260"/>
      <c r="AF488" s="1260"/>
      <c r="AG488" s="1259"/>
      <c r="AH488" s="1258"/>
      <c r="AK488" s="1257" t="s">
        <v>37</v>
      </c>
      <c r="AL488" s="1257"/>
      <c r="AM488" s="1257"/>
      <c r="AN488" s="1257"/>
      <c r="AO488" s="55"/>
      <c r="AP488" s="1250" t="s">
        <v>7</v>
      </c>
      <c r="AQ488" s="1250"/>
      <c r="AR488" s="1250"/>
      <c r="AS488" s="55"/>
      <c r="AT488" s="1251" t="s">
        <v>38</v>
      </c>
      <c r="AU488" s="1251"/>
      <c r="AV488" s="1251"/>
      <c r="AW488" s="1251"/>
      <c r="AX488" s="94" t="s">
        <v>39</v>
      </c>
      <c r="AY488" s="95" t="s">
        <v>12</v>
      </c>
    </row>
    <row r="489" spans="1:51" ht="18" customHeight="1" thickBot="1">
      <c r="A489" s="1252"/>
      <c r="B489" s="1252"/>
      <c r="C489" s="186"/>
      <c r="D489" s="186"/>
      <c r="E489" s="186"/>
      <c r="F489" s="186"/>
      <c r="G489" s="186"/>
      <c r="H489" s="1253"/>
      <c r="I489" s="1254"/>
      <c r="J489" s="185"/>
      <c r="K489" s="185"/>
      <c r="L489" s="185"/>
      <c r="M489" s="185"/>
      <c r="N489" s="1255"/>
      <c r="O489" s="1258"/>
      <c r="P489" s="186"/>
      <c r="Q489" s="185"/>
      <c r="R489" s="1008"/>
      <c r="S489" s="185"/>
      <c r="T489" s="1259"/>
      <c r="U489" s="1259"/>
      <c r="V489" s="186"/>
      <c r="W489" s="185"/>
      <c r="X489" s="1008"/>
      <c r="Y489" s="185"/>
      <c r="Z489" s="1259"/>
      <c r="AA489" s="1259"/>
      <c r="AB489" s="1258"/>
      <c r="AC489" s="186"/>
      <c r="AD489" s="185"/>
      <c r="AE489" s="1008"/>
      <c r="AF489" s="185"/>
      <c r="AG489" s="1259"/>
      <c r="AH489" s="1258"/>
      <c r="AK489" s="162" t="s">
        <v>49</v>
      </c>
      <c r="AL489" s="162" t="s">
        <v>50</v>
      </c>
      <c r="AM489" s="162" t="s">
        <v>51</v>
      </c>
      <c r="AN489" s="162" t="s">
        <v>52</v>
      </c>
      <c r="AO489" s="73">
        <v>130</v>
      </c>
      <c r="AP489" s="1250"/>
      <c r="AQ489" s="1250"/>
      <c r="AR489" s="1250"/>
      <c r="AS489" s="55"/>
      <c r="AT489" s="164" t="s">
        <v>45</v>
      </c>
      <c r="AU489" s="165" t="s">
        <v>46</v>
      </c>
      <c r="AV489" s="166" t="s">
        <v>47</v>
      </c>
      <c r="AW489" s="161" t="s">
        <v>48</v>
      </c>
      <c r="AX489" s="94"/>
      <c r="AY489" s="95"/>
    </row>
    <row r="490" spans="1:51" ht="15" customHeight="1" thickBot="1">
      <c r="A490" s="1009"/>
      <c r="B490" s="1010"/>
      <c r="C490" s="1011"/>
      <c r="D490" s="1011"/>
      <c r="E490" s="1011"/>
      <c r="F490" s="1012"/>
      <c r="G490" s="1012"/>
      <c r="H490" s="184"/>
      <c r="I490" s="190"/>
      <c r="J490" s="1001"/>
      <c r="K490" s="1001"/>
      <c r="L490" s="186"/>
      <c r="M490" s="1001"/>
      <c r="N490" s="1013"/>
      <c r="O490" s="192"/>
      <c r="P490" s="1014"/>
      <c r="Q490" s="1014"/>
      <c r="R490" s="1001"/>
      <c r="S490" s="1014"/>
      <c r="T490" s="1013"/>
      <c r="U490" s="1015"/>
      <c r="V490" s="1014"/>
      <c r="W490" s="1014"/>
      <c r="X490" s="1001"/>
      <c r="Y490" s="1014"/>
      <c r="Z490" s="1013"/>
      <c r="AA490" s="1015"/>
      <c r="AB490" s="1015"/>
      <c r="AC490" s="194"/>
      <c r="AD490" s="194"/>
      <c r="AE490" s="194"/>
      <c r="AF490" s="194"/>
      <c r="AG490" s="1013"/>
      <c r="AH490" s="1015"/>
      <c r="AJ490" s="79" t="str">
        <f t="shared" ref="AJ490:AJ501" si="199">IF(H490=130,0.132335,IF(H490=100,0.0785,IF(H490=110,0.095,IF(H490=160,0.198005,""))))</f>
        <v/>
      </c>
      <c r="AK490" s="16" t="str">
        <f t="shared" ref="AK490:AK501" si="200">IFERROR(P490*3*AJ490,"")</f>
        <v/>
      </c>
      <c r="AL490" s="16" t="str">
        <f t="shared" ref="AL490:AL501" si="201">IFERROR(Q490*4*AJ490,"")</f>
        <v/>
      </c>
      <c r="AM490" s="16" t="str">
        <f t="shared" ref="AM490:AM501" si="202">IFERROR(R490*5*AJ490,"")</f>
        <v/>
      </c>
      <c r="AN490" s="16" t="str">
        <f t="shared" ref="AN490:AN501" si="203">IFERROR(S490*6*AJ490,"")</f>
        <v/>
      </c>
      <c r="AO490" s="55"/>
      <c r="AP490" s="1250"/>
      <c r="AQ490" s="1250"/>
      <c r="AR490" s="1250"/>
      <c r="AS490" s="55"/>
      <c r="AT490" s="167"/>
      <c r="AU490" s="167"/>
      <c r="AV490" s="168"/>
      <c r="AW490" s="169"/>
      <c r="AX490" s="94">
        <f t="shared" ref="AX490:AX501" si="204">AT490*3+AU490*4+AV490*5+AW490*6</f>
        <v>0</v>
      </c>
      <c r="AY490" s="95">
        <f t="shared" ref="AY490:AY501" si="205">AX490*I490</f>
        <v>0</v>
      </c>
    </row>
    <row r="491" spans="1:51" ht="15" customHeight="1">
      <c r="A491" s="1001"/>
      <c r="B491" s="1010"/>
      <c r="C491" s="1011"/>
      <c r="D491" s="1011"/>
      <c r="E491" s="1011"/>
      <c r="F491" s="1012"/>
      <c r="G491" s="1012"/>
      <c r="H491" s="184"/>
      <c r="I491" s="190"/>
      <c r="J491" s="1001"/>
      <c r="K491" s="1001"/>
      <c r="L491" s="186"/>
      <c r="M491" s="1001"/>
      <c r="N491" s="1013"/>
      <c r="O491" s="192"/>
      <c r="P491" s="1014"/>
      <c r="Q491" s="1014"/>
      <c r="R491" s="1001"/>
      <c r="S491" s="1014"/>
      <c r="T491" s="1013"/>
      <c r="U491" s="1015"/>
      <c r="V491" s="1014"/>
      <c r="W491" s="1014"/>
      <c r="X491" s="186"/>
      <c r="Y491" s="1014"/>
      <c r="Z491" s="1013"/>
      <c r="AA491" s="1015"/>
      <c r="AB491" s="1015"/>
      <c r="AC491" s="194"/>
      <c r="AD491" s="194"/>
      <c r="AE491" s="194"/>
      <c r="AF491" s="194"/>
      <c r="AG491" s="1013"/>
      <c r="AH491" s="1015"/>
      <c r="AJ491" s="79" t="str">
        <f t="shared" si="199"/>
        <v/>
      </c>
      <c r="AK491" s="16" t="str">
        <f t="shared" si="200"/>
        <v/>
      </c>
      <c r="AL491" s="16" t="str">
        <f t="shared" si="201"/>
        <v/>
      </c>
      <c r="AM491" s="16" t="str">
        <f t="shared" si="202"/>
        <v/>
      </c>
      <c r="AN491" s="16" t="str">
        <f t="shared" si="203"/>
        <v/>
      </c>
      <c r="AO491" s="55"/>
      <c r="AP491" s="98">
        <v>6</v>
      </c>
      <c r="AQ491" s="99"/>
      <c r="AR491" s="100">
        <f>IFERROR(AP491*AQ491*AS494,0)</f>
        <v>0</v>
      </c>
      <c r="AS491" s="55"/>
      <c r="AT491" s="167"/>
      <c r="AU491" s="167"/>
      <c r="AV491" s="164"/>
      <c r="AW491" s="169"/>
      <c r="AX491" s="94">
        <f t="shared" si="204"/>
        <v>0</v>
      </c>
      <c r="AY491" s="95">
        <f t="shared" si="205"/>
        <v>0</v>
      </c>
    </row>
    <row r="492" spans="1:51" ht="15" customHeight="1">
      <c r="A492" s="1001"/>
      <c r="B492" s="1010"/>
      <c r="C492" s="1016"/>
      <c r="D492" s="1016"/>
      <c r="E492" s="1016"/>
      <c r="F492" s="1017"/>
      <c r="G492" s="1017"/>
      <c r="H492" s="184"/>
      <c r="I492" s="190"/>
      <c r="J492" s="1001"/>
      <c r="K492" s="1001"/>
      <c r="L492" s="186"/>
      <c r="M492" s="1001"/>
      <c r="N492" s="1013"/>
      <c r="O492" s="192"/>
      <c r="P492" s="1014"/>
      <c r="Q492" s="1014"/>
      <c r="R492" s="1001"/>
      <c r="S492" s="1014"/>
      <c r="T492" s="1013"/>
      <c r="U492" s="1015"/>
      <c r="V492" s="1014"/>
      <c r="W492" s="1014"/>
      <c r="X492" s="1001"/>
      <c r="Y492" s="1014"/>
      <c r="Z492" s="1013"/>
      <c r="AA492" s="1015"/>
      <c r="AB492" s="1015"/>
      <c r="AC492" s="194"/>
      <c r="AD492" s="194"/>
      <c r="AE492" s="194"/>
      <c r="AF492" s="194"/>
      <c r="AG492" s="1013"/>
      <c r="AH492" s="1015"/>
      <c r="AJ492" s="79" t="str">
        <f t="shared" si="199"/>
        <v/>
      </c>
      <c r="AK492" s="16" t="str">
        <f t="shared" si="200"/>
        <v/>
      </c>
      <c r="AL492" s="16" t="str">
        <f t="shared" si="201"/>
        <v/>
      </c>
      <c r="AM492" s="16" t="str">
        <f t="shared" si="202"/>
        <v/>
      </c>
      <c r="AN492" s="16" t="str">
        <f t="shared" si="203"/>
        <v/>
      </c>
      <c r="AO492" s="55"/>
      <c r="AP492" s="98">
        <v>5</v>
      </c>
      <c r="AQ492" s="99"/>
      <c r="AR492" s="100">
        <f>IFERROR(AP492*AQ492*AS494,0)</f>
        <v>0</v>
      </c>
      <c r="AS492" s="104"/>
      <c r="AT492" s="167"/>
      <c r="AU492" s="167"/>
      <c r="AV492" s="164"/>
      <c r="AW492" s="169"/>
      <c r="AX492" s="94">
        <f t="shared" si="204"/>
        <v>0</v>
      </c>
      <c r="AY492" s="95">
        <f t="shared" si="205"/>
        <v>0</v>
      </c>
    </row>
    <row r="493" spans="1:51" ht="15" customHeight="1">
      <c r="A493" s="1001"/>
      <c r="B493" s="1010"/>
      <c r="C493" s="1011"/>
      <c r="D493" s="1011"/>
      <c r="E493" s="1011"/>
      <c r="F493" s="1012"/>
      <c r="G493" s="1012"/>
      <c r="H493" s="184"/>
      <c r="I493" s="190"/>
      <c r="J493" s="1001"/>
      <c r="K493" s="1001"/>
      <c r="L493" s="186"/>
      <c r="M493" s="1001"/>
      <c r="N493" s="1013"/>
      <c r="O493" s="192"/>
      <c r="P493" s="1014"/>
      <c r="Q493" s="1014"/>
      <c r="R493" s="1001"/>
      <c r="S493" s="1014"/>
      <c r="T493" s="1013"/>
      <c r="U493" s="1015"/>
      <c r="V493" s="1014"/>
      <c r="W493" s="1014"/>
      <c r="X493" s="1001"/>
      <c r="Y493" s="1014"/>
      <c r="Z493" s="1013"/>
      <c r="AA493" s="1015"/>
      <c r="AB493" s="1015"/>
      <c r="AC493" s="194"/>
      <c r="AD493" s="194"/>
      <c r="AE493" s="194"/>
      <c r="AF493" s="194"/>
      <c r="AG493" s="1013"/>
      <c r="AH493" s="1015"/>
      <c r="AJ493" s="79" t="str">
        <f t="shared" si="199"/>
        <v/>
      </c>
      <c r="AK493" s="16" t="str">
        <f t="shared" si="200"/>
        <v/>
      </c>
      <c r="AL493" s="16" t="str">
        <f t="shared" si="201"/>
        <v/>
      </c>
      <c r="AM493" s="16" t="str">
        <f t="shared" si="202"/>
        <v/>
      </c>
      <c r="AN493" s="16" t="str">
        <f t="shared" si="203"/>
        <v/>
      </c>
      <c r="AO493" s="55"/>
      <c r="AP493" s="98">
        <v>4</v>
      </c>
      <c r="AQ493" s="99"/>
      <c r="AR493" s="100">
        <f>IFERROR(AP493*AQ493*AS494,0)</f>
        <v>0</v>
      </c>
      <c r="AS493" s="104"/>
      <c r="AT493" s="167"/>
      <c r="AU493" s="167"/>
      <c r="AV493" s="168"/>
      <c r="AW493" s="169"/>
      <c r="AX493" s="94">
        <f t="shared" si="204"/>
        <v>0</v>
      </c>
      <c r="AY493" s="95">
        <f t="shared" si="205"/>
        <v>0</v>
      </c>
    </row>
    <row r="494" spans="1:51" ht="15" customHeight="1">
      <c r="A494" s="1001"/>
      <c r="B494" s="1010"/>
      <c r="C494" s="1011"/>
      <c r="D494" s="188"/>
      <c r="E494" s="1011"/>
      <c r="F494" s="1012"/>
      <c r="G494" s="1012"/>
      <c r="H494" s="184"/>
      <c r="I494" s="190"/>
      <c r="J494" s="1001"/>
      <c r="K494" s="1001"/>
      <c r="L494" s="186"/>
      <c r="M494" s="1001"/>
      <c r="N494" s="1013"/>
      <c r="O494" s="192"/>
      <c r="P494" s="1014"/>
      <c r="Q494" s="1014"/>
      <c r="R494" s="1001"/>
      <c r="S494" s="1014"/>
      <c r="T494" s="1013"/>
      <c r="U494" s="1015"/>
      <c r="V494" s="1014"/>
      <c r="W494" s="1014"/>
      <c r="X494" s="1001"/>
      <c r="Y494" s="1014"/>
      <c r="Z494" s="1013"/>
      <c r="AA494" s="1015"/>
      <c r="AB494" s="1015"/>
      <c r="AC494" s="194"/>
      <c r="AD494" s="194"/>
      <c r="AE494" s="194"/>
      <c r="AF494" s="194"/>
      <c r="AG494" s="1013"/>
      <c r="AH494" s="1015"/>
      <c r="AJ494" s="79" t="str">
        <f t="shared" si="199"/>
        <v/>
      </c>
      <c r="AK494" s="16" t="str">
        <f t="shared" si="200"/>
        <v/>
      </c>
      <c r="AL494" s="16" t="str">
        <f t="shared" si="201"/>
        <v/>
      </c>
      <c r="AM494" s="16" t="str">
        <f t="shared" si="202"/>
        <v/>
      </c>
      <c r="AN494" s="16" t="str">
        <f t="shared" si="203"/>
        <v/>
      </c>
      <c r="AO494" s="55"/>
      <c r="AP494" s="98">
        <v>3</v>
      </c>
      <c r="AQ494" s="109"/>
      <c r="AR494" s="100">
        <f>IFERROR(AP494*AQ494*AS494,0)</f>
        <v>0</v>
      </c>
      <c r="AS494" s="48">
        <f>IFERROR(AR495/((AP494*AQ494)+(AP493*AQ493)+(AP492*AQ492)+(AP491*AQ491)),0)</f>
        <v>0</v>
      </c>
      <c r="AT494" s="167"/>
      <c r="AU494" s="167"/>
      <c r="AV494" s="168"/>
      <c r="AW494" s="169"/>
      <c r="AX494" s="94">
        <f t="shared" si="204"/>
        <v>0</v>
      </c>
      <c r="AY494" s="95">
        <f t="shared" si="205"/>
        <v>0</v>
      </c>
    </row>
    <row r="495" spans="1:51" ht="14.25" customHeight="1" thickBot="1">
      <c r="A495" s="1001"/>
      <c r="B495" s="1010"/>
      <c r="C495" s="1011"/>
      <c r="D495" s="1011"/>
      <c r="E495" s="1011"/>
      <c r="F495" s="1012"/>
      <c r="G495" s="1012"/>
      <c r="H495" s="184"/>
      <c r="I495" s="190"/>
      <c r="J495" s="1001"/>
      <c r="K495" s="1001"/>
      <c r="L495" s="186"/>
      <c r="M495" s="1001"/>
      <c r="N495" s="1013"/>
      <c r="O495" s="192"/>
      <c r="P495" s="185"/>
      <c r="Q495" s="1014"/>
      <c r="R495" s="1001"/>
      <c r="S495" s="1014"/>
      <c r="T495" s="1013"/>
      <c r="U495" s="1015"/>
      <c r="V495" s="185"/>
      <c r="W495" s="1014"/>
      <c r="X495" s="1001"/>
      <c r="Y495" s="1014"/>
      <c r="Z495" s="1013"/>
      <c r="AA495" s="1015"/>
      <c r="AB495" s="1015"/>
      <c r="AC495" s="194"/>
      <c r="AD495" s="194"/>
      <c r="AE495" s="194"/>
      <c r="AF495" s="194"/>
      <c r="AG495" s="1013"/>
      <c r="AH495" s="1015"/>
      <c r="AJ495" s="79" t="str">
        <f t="shared" si="199"/>
        <v/>
      </c>
      <c r="AK495" s="16" t="str">
        <f t="shared" si="200"/>
        <v/>
      </c>
      <c r="AL495" s="16" t="str">
        <f t="shared" si="201"/>
        <v/>
      </c>
      <c r="AM495" s="16" t="str">
        <f t="shared" si="202"/>
        <v/>
      </c>
      <c r="AN495" s="16" t="str">
        <f t="shared" si="203"/>
        <v/>
      </c>
      <c r="AO495" s="55"/>
      <c r="AP495" s="111"/>
      <c r="AQ495" s="112"/>
      <c r="AR495" s="113"/>
      <c r="AS495" s="104"/>
      <c r="AT495" s="167"/>
      <c r="AU495" s="167"/>
      <c r="AV495" s="168"/>
      <c r="AW495" s="169"/>
      <c r="AX495" s="94">
        <f t="shared" si="204"/>
        <v>0</v>
      </c>
      <c r="AY495" s="95">
        <f t="shared" si="205"/>
        <v>0</v>
      </c>
    </row>
    <row r="496" spans="1:51" ht="14.25" customHeight="1" thickBot="1">
      <c r="A496" s="1001"/>
      <c r="B496" s="1010"/>
      <c r="C496" s="1011"/>
      <c r="D496" s="1011"/>
      <c r="E496" s="1011"/>
      <c r="F496" s="1012"/>
      <c r="G496" s="1012"/>
      <c r="H496" s="184"/>
      <c r="I496" s="190"/>
      <c r="J496" s="1001"/>
      <c r="K496" s="1001"/>
      <c r="L496" s="186"/>
      <c r="M496" s="1001"/>
      <c r="N496" s="1013"/>
      <c r="O496" s="192"/>
      <c r="P496" s="1014"/>
      <c r="Q496" s="1014"/>
      <c r="R496" s="1001"/>
      <c r="S496" s="1014"/>
      <c r="T496" s="1013"/>
      <c r="U496" s="1015"/>
      <c r="V496" s="1014"/>
      <c r="W496" s="1014"/>
      <c r="X496" s="1001"/>
      <c r="Y496" s="1014"/>
      <c r="Z496" s="1013"/>
      <c r="AA496" s="1015"/>
      <c r="AB496" s="1015"/>
      <c r="AC496" s="194"/>
      <c r="AD496" s="194"/>
      <c r="AE496" s="194"/>
      <c r="AF496" s="194"/>
      <c r="AG496" s="1013"/>
      <c r="AH496" s="1015"/>
      <c r="AJ496" s="79" t="str">
        <f t="shared" si="199"/>
        <v/>
      </c>
      <c r="AK496" s="16" t="str">
        <f t="shared" si="200"/>
        <v/>
      </c>
      <c r="AL496" s="16" t="str">
        <f t="shared" si="201"/>
        <v/>
      </c>
      <c r="AM496" s="16" t="str">
        <f t="shared" si="202"/>
        <v/>
      </c>
      <c r="AN496" s="16" t="str">
        <f t="shared" si="203"/>
        <v/>
      </c>
      <c r="AO496" s="55"/>
      <c r="AP496" s="1250" t="s">
        <v>7</v>
      </c>
      <c r="AQ496" s="1250"/>
      <c r="AR496" s="1250"/>
      <c r="AS496" s="104"/>
      <c r="AT496" s="167"/>
      <c r="AU496" s="167"/>
      <c r="AV496" s="168"/>
      <c r="AW496" s="169"/>
      <c r="AX496" s="94">
        <f t="shared" si="204"/>
        <v>0</v>
      </c>
      <c r="AY496" s="95">
        <f t="shared" si="205"/>
        <v>0</v>
      </c>
    </row>
    <row r="497" spans="1:51" ht="15" customHeight="1" thickBot="1">
      <c r="A497" s="1001"/>
      <c r="B497" s="1010"/>
      <c r="C497" s="1011"/>
      <c r="D497" s="1011"/>
      <c r="E497" s="1011"/>
      <c r="F497" s="1012"/>
      <c r="G497" s="1012"/>
      <c r="H497" s="184"/>
      <c r="I497" s="190"/>
      <c r="J497" s="1001"/>
      <c r="K497" s="1001"/>
      <c r="L497" s="186"/>
      <c r="M497" s="1001"/>
      <c r="N497" s="1013"/>
      <c r="O497" s="192"/>
      <c r="P497" s="1014"/>
      <c r="Q497" s="1014"/>
      <c r="R497" s="1001"/>
      <c r="S497" s="1014"/>
      <c r="T497" s="1013"/>
      <c r="U497" s="1015"/>
      <c r="V497" s="1014"/>
      <c r="W497" s="185"/>
      <c r="X497" s="1001"/>
      <c r="Y497" s="1014"/>
      <c r="Z497" s="1013"/>
      <c r="AA497" s="1015"/>
      <c r="AB497" s="1015"/>
      <c r="AC497" s="194"/>
      <c r="AD497" s="194"/>
      <c r="AE497" s="194"/>
      <c r="AF497" s="194"/>
      <c r="AG497" s="1013"/>
      <c r="AH497" s="1015"/>
      <c r="AJ497" s="79" t="str">
        <f t="shared" si="199"/>
        <v/>
      </c>
      <c r="AK497" s="16" t="str">
        <f t="shared" si="200"/>
        <v/>
      </c>
      <c r="AL497" s="16" t="str">
        <f t="shared" si="201"/>
        <v/>
      </c>
      <c r="AM497" s="16" t="str">
        <f t="shared" si="202"/>
        <v/>
      </c>
      <c r="AN497" s="16" t="str">
        <f t="shared" si="203"/>
        <v/>
      </c>
      <c r="AO497" s="73">
        <v>160</v>
      </c>
      <c r="AP497" s="1250"/>
      <c r="AQ497" s="1250"/>
      <c r="AR497" s="1250"/>
      <c r="AS497" s="55"/>
      <c r="AT497" s="167"/>
      <c r="AU497" s="167"/>
      <c r="AV497" s="168"/>
      <c r="AW497" s="169"/>
      <c r="AX497" s="94">
        <f t="shared" si="204"/>
        <v>0</v>
      </c>
      <c r="AY497" s="95">
        <f t="shared" si="205"/>
        <v>0</v>
      </c>
    </row>
    <row r="498" spans="1:51" ht="15" customHeight="1" thickBot="1">
      <c r="A498" s="1001"/>
      <c r="B498" s="1010"/>
      <c r="C498" s="1011"/>
      <c r="D498" s="1011"/>
      <c r="E498" s="1011"/>
      <c r="F498" s="1012"/>
      <c r="G498" s="1012"/>
      <c r="H498" s="184"/>
      <c r="I498" s="190"/>
      <c r="J498" s="1001"/>
      <c r="K498" s="1001"/>
      <c r="L498" s="186"/>
      <c r="M498" s="1001"/>
      <c r="N498" s="1013"/>
      <c r="O498" s="192"/>
      <c r="P498" s="1014"/>
      <c r="Q498" s="185"/>
      <c r="R498" s="1018"/>
      <c r="S498" s="1014"/>
      <c r="T498" s="1013"/>
      <c r="U498" s="1015"/>
      <c r="V498" s="1014"/>
      <c r="W498" s="185"/>
      <c r="X498" s="1001"/>
      <c r="Y498" s="1014"/>
      <c r="Z498" s="1013"/>
      <c r="AA498" s="1015"/>
      <c r="AB498" s="1015"/>
      <c r="AC498" s="194"/>
      <c r="AD498" s="194"/>
      <c r="AE498" s="194"/>
      <c r="AF498" s="194"/>
      <c r="AG498" s="1013"/>
      <c r="AH498" s="1015"/>
      <c r="AJ498" s="79" t="str">
        <f t="shared" si="199"/>
        <v/>
      </c>
      <c r="AK498" s="16" t="str">
        <f t="shared" si="200"/>
        <v/>
      </c>
      <c r="AL498" s="16" t="str">
        <f t="shared" si="201"/>
        <v/>
      </c>
      <c r="AM498" s="16" t="str">
        <f t="shared" si="202"/>
        <v/>
      </c>
      <c r="AN498" s="16" t="str">
        <f t="shared" si="203"/>
        <v/>
      </c>
      <c r="AO498" s="55"/>
      <c r="AP498" s="1250"/>
      <c r="AQ498" s="1250"/>
      <c r="AR498" s="1250"/>
      <c r="AS498" s="55"/>
      <c r="AT498" s="167"/>
      <c r="AU498" s="167"/>
      <c r="AV498" s="168"/>
      <c r="AW498" s="169"/>
      <c r="AX498" s="94">
        <f t="shared" si="204"/>
        <v>0</v>
      </c>
      <c r="AY498" s="95">
        <f t="shared" si="205"/>
        <v>0</v>
      </c>
    </row>
    <row r="499" spans="1:51" ht="16.5" customHeight="1">
      <c r="A499" s="1001"/>
      <c r="B499" s="1010"/>
      <c r="C499" s="1011"/>
      <c r="D499" s="1011"/>
      <c r="E499" s="1011"/>
      <c r="F499" s="1012"/>
      <c r="G499" s="1012"/>
      <c r="H499" s="184"/>
      <c r="I499" s="190"/>
      <c r="J499" s="1001"/>
      <c r="K499" s="1001"/>
      <c r="L499" s="186"/>
      <c r="M499" s="1001"/>
      <c r="N499" s="1013"/>
      <c r="O499" s="192"/>
      <c r="P499" s="1014"/>
      <c r="Q499" s="185"/>
      <c r="R499" s="1014"/>
      <c r="S499" s="1014"/>
      <c r="T499" s="1013"/>
      <c r="U499" s="1015"/>
      <c r="V499" s="1014"/>
      <c r="W499" s="185"/>
      <c r="X499" s="1001"/>
      <c r="Y499" s="1014"/>
      <c r="Z499" s="1013"/>
      <c r="AA499" s="1015"/>
      <c r="AB499" s="1015"/>
      <c r="AC499" s="194"/>
      <c r="AD499" s="194"/>
      <c r="AE499" s="194"/>
      <c r="AF499" s="194"/>
      <c r="AG499" s="1013"/>
      <c r="AH499" s="1015"/>
      <c r="AJ499" s="79" t="str">
        <f t="shared" si="199"/>
        <v/>
      </c>
      <c r="AK499" s="16" t="str">
        <f t="shared" si="200"/>
        <v/>
      </c>
      <c r="AL499" s="16" t="str">
        <f t="shared" si="201"/>
        <v/>
      </c>
      <c r="AM499" s="16" t="str">
        <f t="shared" si="202"/>
        <v/>
      </c>
      <c r="AN499" s="16" t="str">
        <f t="shared" si="203"/>
        <v/>
      </c>
      <c r="AO499" s="55"/>
      <c r="AP499" s="117">
        <v>6</v>
      </c>
      <c r="AQ499" s="118"/>
      <c r="AR499" s="100">
        <f>IFERROR(AP499*AQ499*AS502,0)</f>
        <v>0</v>
      </c>
      <c r="AS499" s="55"/>
      <c r="AT499" s="167"/>
      <c r="AU499" s="167"/>
      <c r="AV499" s="168"/>
      <c r="AW499" s="169"/>
      <c r="AX499" s="94">
        <f t="shared" si="204"/>
        <v>0</v>
      </c>
      <c r="AY499" s="95">
        <f t="shared" si="205"/>
        <v>0</v>
      </c>
    </row>
    <row r="500" spans="1:51" ht="16.5" customHeight="1">
      <c r="A500" s="1001"/>
      <c r="B500" s="1010"/>
      <c r="C500" s="1011"/>
      <c r="D500" s="1011"/>
      <c r="E500" s="1011"/>
      <c r="F500" s="1012"/>
      <c r="G500" s="1012"/>
      <c r="H500" s="184"/>
      <c r="I500" s="190"/>
      <c r="J500" s="1001"/>
      <c r="K500" s="1001"/>
      <c r="L500" s="186"/>
      <c r="M500" s="1001"/>
      <c r="N500" s="1013"/>
      <c r="O500" s="192"/>
      <c r="P500" s="1014"/>
      <c r="Q500" s="184"/>
      <c r="R500" s="1018"/>
      <c r="S500" s="1019"/>
      <c r="T500" s="1013"/>
      <c r="U500" s="1015"/>
      <c r="V500" s="1014"/>
      <c r="W500" s="185"/>
      <c r="X500" s="1001"/>
      <c r="Y500" s="1014"/>
      <c r="Z500" s="1013"/>
      <c r="AA500" s="1015"/>
      <c r="AB500" s="1015"/>
      <c r="AC500" s="194"/>
      <c r="AD500" s="194"/>
      <c r="AE500" s="194"/>
      <c r="AF500" s="194"/>
      <c r="AG500" s="1013"/>
      <c r="AH500" s="1015"/>
      <c r="AJ500" s="79" t="str">
        <f t="shared" si="199"/>
        <v/>
      </c>
      <c r="AK500" s="16" t="str">
        <f t="shared" si="200"/>
        <v/>
      </c>
      <c r="AL500" s="16" t="str">
        <f t="shared" si="201"/>
        <v/>
      </c>
      <c r="AM500" s="16" t="str">
        <f t="shared" si="202"/>
        <v/>
      </c>
      <c r="AN500" s="16" t="str">
        <f t="shared" si="203"/>
        <v/>
      </c>
      <c r="AO500" s="55"/>
      <c r="AP500" s="98">
        <v>5</v>
      </c>
      <c r="AQ500" s="99"/>
      <c r="AR500" s="100">
        <f>IFERROR(AP500*AQ500*AS502,0)</f>
        <v>0</v>
      </c>
      <c r="AS500" s="55"/>
      <c r="AT500" s="177"/>
      <c r="AU500" s="178"/>
      <c r="AV500" s="177"/>
      <c r="AW500" s="179"/>
      <c r="AX500" s="94">
        <f t="shared" si="204"/>
        <v>0</v>
      </c>
      <c r="AY500" s="95">
        <f t="shared" si="205"/>
        <v>0</v>
      </c>
    </row>
    <row r="501" spans="1:51" ht="15.75" customHeight="1">
      <c r="A501" s="1001"/>
      <c r="B501" s="1010"/>
      <c r="C501" s="1020"/>
      <c r="D501" s="1021"/>
      <c r="E501" s="1020"/>
      <c r="F501" s="1022"/>
      <c r="G501" s="1022"/>
      <c r="H501" s="184"/>
      <c r="I501" s="190"/>
      <c r="J501" s="1001"/>
      <c r="K501" s="1001"/>
      <c r="L501" s="186"/>
      <c r="M501" s="1001"/>
      <c r="N501" s="1013"/>
      <c r="O501" s="192"/>
      <c r="P501" s="1019"/>
      <c r="Q501" s="184"/>
      <c r="R501" s="1018"/>
      <c r="S501" s="1019"/>
      <c r="T501" s="1013"/>
      <c r="U501" s="1015"/>
      <c r="V501" s="1014"/>
      <c r="W501" s="185"/>
      <c r="X501" s="1001"/>
      <c r="Y501" s="1014"/>
      <c r="Z501" s="1013"/>
      <c r="AA501" s="1015"/>
      <c r="AB501" s="1015"/>
      <c r="AC501" s="194"/>
      <c r="AD501" s="194"/>
      <c r="AE501" s="194"/>
      <c r="AF501" s="194"/>
      <c r="AG501" s="1013"/>
      <c r="AH501" s="1015"/>
      <c r="AJ501" s="79" t="str">
        <f t="shared" si="199"/>
        <v/>
      </c>
      <c r="AK501" s="16" t="str">
        <f t="shared" si="200"/>
        <v/>
      </c>
      <c r="AL501" s="16" t="str">
        <f t="shared" si="201"/>
        <v/>
      </c>
      <c r="AM501" s="16" t="str">
        <f t="shared" si="202"/>
        <v/>
      </c>
      <c r="AN501" s="16" t="str">
        <f t="shared" si="203"/>
        <v/>
      </c>
      <c r="AO501" s="104"/>
      <c r="AP501" s="98">
        <v>4</v>
      </c>
      <c r="AQ501" s="99"/>
      <c r="AR501" s="100">
        <f>IFERROR(AP501*AQ501*AS502,0)</f>
        <v>0</v>
      </c>
      <c r="AS501" s="55"/>
      <c r="AT501" s="167"/>
      <c r="AU501" s="165"/>
      <c r="AV501" s="168"/>
      <c r="AW501" s="169"/>
      <c r="AX501" s="94">
        <f t="shared" si="204"/>
        <v>0</v>
      </c>
      <c r="AY501" s="95">
        <f t="shared" si="205"/>
        <v>0</v>
      </c>
    </row>
    <row r="502" spans="1:51" ht="15" customHeight="1">
      <c r="A502" s="1001"/>
      <c r="B502" s="1001"/>
      <c r="C502" s="1023"/>
      <c r="D502" s="1023"/>
      <c r="E502" s="1023"/>
      <c r="F502" s="1024"/>
      <c r="G502" s="1024"/>
      <c r="H502" s="1001"/>
      <c r="I502" s="1001"/>
      <c r="J502" s="201"/>
      <c r="K502" s="201"/>
      <c r="L502" s="201"/>
      <c r="M502" s="201"/>
      <c r="N502" s="1025"/>
      <c r="O502" s="1002"/>
      <c r="P502" s="1001"/>
      <c r="Q502" s="1001"/>
      <c r="R502" s="1001"/>
      <c r="S502" s="1003"/>
      <c r="T502" s="1001"/>
      <c r="U502" s="1004"/>
      <c r="V502" s="1001"/>
      <c r="W502" s="1001"/>
      <c r="X502" s="1001"/>
      <c r="Y502" s="1001"/>
      <c r="Z502" s="1001"/>
      <c r="AA502" s="1004"/>
      <c r="AB502" s="1001"/>
      <c r="AC502" s="1001"/>
      <c r="AD502" s="1001"/>
      <c r="AE502" s="1001"/>
      <c r="AF502" s="1001"/>
      <c r="AG502" s="54"/>
      <c r="AH502" s="54"/>
      <c r="AK502" s="2"/>
      <c r="AL502" s="2"/>
      <c r="AM502" s="2"/>
      <c r="AN502" s="2"/>
      <c r="AO502" s="55"/>
      <c r="AP502" s="98">
        <v>3</v>
      </c>
      <c r="AQ502" s="109"/>
      <c r="AR502" s="100">
        <f>IFERROR(AP502*AQ502*AS502,0)</f>
        <v>0</v>
      </c>
      <c r="AS502" s="48">
        <f>IFERROR(AR503/((AP502*AQ502)+(AP501*AQ501)+(AP500*AQ500)+(AP499*AQ499)),0)</f>
        <v>0</v>
      </c>
    </row>
    <row r="503" spans="1:51" ht="15.75" customHeight="1" thickBot="1">
      <c r="A503" s="1001"/>
      <c r="B503" s="1001"/>
      <c r="C503" s="1023"/>
      <c r="D503" s="1023"/>
      <c r="E503" s="1023"/>
      <c r="F503" s="1024"/>
      <c r="G503" s="1024"/>
      <c r="H503" s="184"/>
      <c r="I503" s="190"/>
      <c r="J503" s="1026"/>
      <c r="K503" s="1026"/>
      <c r="L503" s="1026"/>
      <c r="M503" s="1026"/>
      <c r="N503" s="1013"/>
      <c r="O503" s="192"/>
      <c r="P503" s="1027"/>
      <c r="Q503" s="1027"/>
      <c r="R503" s="1027"/>
      <c r="S503" s="1027"/>
      <c r="T503" s="1018"/>
      <c r="U503" s="1018"/>
      <c r="V503" s="1027"/>
      <c r="W503" s="1027"/>
      <c r="X503" s="1027"/>
      <c r="Y503" s="1027"/>
      <c r="Z503" s="1001"/>
      <c r="AA503" s="1001"/>
      <c r="AB503" s="1001"/>
      <c r="AC503" s="1027"/>
      <c r="AD503" s="1027"/>
      <c r="AE503" s="1027"/>
      <c r="AF503" s="1027"/>
      <c r="AG503" s="54"/>
      <c r="AH503" s="54"/>
      <c r="AK503" s="154">
        <f>SUM(AK490:AK502)</f>
        <v>0</v>
      </c>
      <c r="AL503" s="154">
        <f>SUM(AL490:AL502)</f>
        <v>0</v>
      </c>
      <c r="AM503" s="154">
        <f>SUM(AM490:AM502)</f>
        <v>0</v>
      </c>
      <c r="AN503" s="154">
        <f>SUM(AN490:AN502)</f>
        <v>0</v>
      </c>
      <c r="AO503" s="55"/>
      <c r="AP503" s="111"/>
      <c r="AQ503" s="112"/>
      <c r="AR503" s="155"/>
      <c r="AS503" s="55"/>
    </row>
    <row r="504" spans="1:51" ht="15" customHeight="1">
      <c r="A504" s="1028"/>
      <c r="B504" s="1001"/>
      <c r="C504" s="1001"/>
      <c r="D504" s="1001"/>
      <c r="E504" s="1001"/>
      <c r="F504" s="1001"/>
      <c r="G504" s="1001"/>
      <c r="H504" s="1018"/>
      <c r="I504" s="190"/>
      <c r="J504" s="1026"/>
      <c r="K504" s="1026"/>
      <c r="L504" s="1026"/>
      <c r="M504" s="1026"/>
      <c r="N504" s="1013"/>
      <c r="O504" s="192"/>
      <c r="P504" s="1027"/>
      <c r="Q504" s="1027"/>
      <c r="R504" s="1027"/>
      <c r="S504" s="1027"/>
      <c r="T504" s="1029"/>
      <c r="U504" s="1030"/>
      <c r="V504" s="1027"/>
      <c r="W504" s="1027"/>
      <c r="X504" s="1027"/>
      <c r="Y504" s="1027"/>
      <c r="Z504" s="1031"/>
      <c r="AA504" s="1032"/>
      <c r="AB504" s="1033"/>
      <c r="AC504" s="1027"/>
      <c r="AD504" s="1027"/>
      <c r="AE504" s="1027"/>
      <c r="AF504" s="1027"/>
      <c r="AG504" s="54"/>
      <c r="AH504" s="1030"/>
      <c r="AK504" s="48"/>
      <c r="AL504" s="48"/>
      <c r="AM504" s="48"/>
      <c r="AN504" s="48"/>
      <c r="AO504" s="55"/>
      <c r="AP504" s="55"/>
      <c r="AQ504" s="55"/>
      <c r="AR504" s="157">
        <f>AR495+AR503</f>
        <v>0</v>
      </c>
      <c r="AS504" s="55"/>
    </row>
    <row r="505" spans="1:51" ht="19.5" customHeight="1" thickBot="1">
      <c r="A505" s="1007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007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  <c r="AC505" s="182"/>
      <c r="AD505" s="182"/>
      <c r="AE505" s="182"/>
      <c r="AF505" s="182"/>
      <c r="AG505" s="54"/>
      <c r="AH505" s="54"/>
      <c r="AK505" s="48"/>
      <c r="AL505" s="48"/>
      <c r="AM505" s="48"/>
      <c r="AN505" s="48"/>
      <c r="AO505" s="48"/>
      <c r="AP505" s="48"/>
      <c r="AQ505" s="48"/>
      <c r="AR505" s="48"/>
      <c r="AS505" s="48"/>
    </row>
    <row r="506" spans="1:51" ht="14.25" customHeight="1" thickBot="1">
      <c r="A506" s="1252"/>
      <c r="B506" s="1253"/>
      <c r="C506" s="1254"/>
      <c r="D506" s="1254"/>
      <c r="E506" s="1254"/>
      <c r="F506" s="1254"/>
      <c r="G506" s="1254"/>
      <c r="H506" s="1253"/>
      <c r="I506" s="1254"/>
      <c r="J506" s="1253"/>
      <c r="K506" s="1253"/>
      <c r="L506" s="1253"/>
      <c r="M506" s="1253"/>
      <c r="N506" s="1255"/>
      <c r="O506" s="1258"/>
      <c r="P506" s="1254"/>
      <c r="Q506" s="1254"/>
      <c r="R506" s="1254"/>
      <c r="S506" s="1254"/>
      <c r="T506" s="1259"/>
      <c r="U506" s="1258"/>
      <c r="V506" s="1254"/>
      <c r="W506" s="1254"/>
      <c r="X506" s="1254"/>
      <c r="Y506" s="1254"/>
      <c r="Z506" s="1259"/>
      <c r="AA506" s="1258"/>
      <c r="AB506" s="1258"/>
      <c r="AC506" s="1260"/>
      <c r="AD506" s="1260"/>
      <c r="AE506" s="1260"/>
      <c r="AF506" s="1260"/>
      <c r="AG506" s="1259"/>
      <c r="AH506" s="1258"/>
      <c r="AK506" s="1257" t="s">
        <v>37</v>
      </c>
      <c r="AL506" s="1257"/>
      <c r="AM506" s="1257"/>
      <c r="AN506" s="1257"/>
      <c r="AO506" s="55"/>
      <c r="AP506" s="1250" t="s">
        <v>7</v>
      </c>
      <c r="AQ506" s="1250"/>
      <c r="AR506" s="1250"/>
      <c r="AS506" s="55"/>
      <c r="AT506" s="1251" t="s">
        <v>38</v>
      </c>
      <c r="AU506" s="1251"/>
      <c r="AV506" s="1251"/>
      <c r="AW506" s="1251"/>
      <c r="AX506" s="94" t="s">
        <v>39</v>
      </c>
      <c r="AY506" s="95" t="s">
        <v>12</v>
      </c>
    </row>
    <row r="507" spans="1:51" ht="18" customHeight="1" thickBot="1">
      <c r="A507" s="1252"/>
      <c r="B507" s="1252"/>
      <c r="C507" s="186"/>
      <c r="D507" s="186"/>
      <c r="E507" s="186"/>
      <c r="F507" s="186"/>
      <c r="G507" s="186"/>
      <c r="H507" s="1253"/>
      <c r="I507" s="1254"/>
      <c r="J507" s="185"/>
      <c r="K507" s="185"/>
      <c r="L507" s="185"/>
      <c r="M507" s="185"/>
      <c r="N507" s="1255"/>
      <c r="O507" s="1258"/>
      <c r="P507" s="186"/>
      <c r="Q507" s="185"/>
      <c r="R507" s="1008"/>
      <c r="S507" s="185"/>
      <c r="T507" s="1259"/>
      <c r="U507" s="1259"/>
      <c r="V507" s="186"/>
      <c r="W507" s="185"/>
      <c r="X507" s="1008"/>
      <c r="Y507" s="185"/>
      <c r="Z507" s="1259"/>
      <c r="AA507" s="1259"/>
      <c r="AB507" s="1258"/>
      <c r="AC507" s="186"/>
      <c r="AD507" s="185"/>
      <c r="AE507" s="1008"/>
      <c r="AF507" s="185"/>
      <c r="AG507" s="1259"/>
      <c r="AH507" s="1258"/>
      <c r="AK507" s="162" t="s">
        <v>49</v>
      </c>
      <c r="AL507" s="162" t="s">
        <v>50</v>
      </c>
      <c r="AM507" s="162" t="s">
        <v>51</v>
      </c>
      <c r="AN507" s="162" t="s">
        <v>52</v>
      </c>
      <c r="AO507" s="73">
        <v>130</v>
      </c>
      <c r="AP507" s="1250"/>
      <c r="AQ507" s="1250"/>
      <c r="AR507" s="1250"/>
      <c r="AS507" s="55"/>
      <c r="AT507" s="164" t="s">
        <v>45</v>
      </c>
      <c r="AU507" s="165" t="s">
        <v>46</v>
      </c>
      <c r="AV507" s="166" t="s">
        <v>47</v>
      </c>
      <c r="AW507" s="161" t="s">
        <v>48</v>
      </c>
      <c r="AX507" s="94"/>
      <c r="AY507" s="95"/>
    </row>
    <row r="508" spans="1:51" ht="15" customHeight="1" thickBot="1">
      <c r="A508" s="1009"/>
      <c r="B508" s="1010"/>
      <c r="C508" s="1011"/>
      <c r="D508" s="1011"/>
      <c r="E508" s="1011"/>
      <c r="F508" s="1012"/>
      <c r="G508" s="1012"/>
      <c r="H508" s="184"/>
      <c r="I508" s="190"/>
      <c r="J508" s="1001"/>
      <c r="K508" s="1001"/>
      <c r="L508" s="186"/>
      <c r="M508" s="1001"/>
      <c r="N508" s="1013"/>
      <c r="O508" s="192"/>
      <c r="P508" s="1014"/>
      <c r="Q508" s="1014"/>
      <c r="R508" s="1001"/>
      <c r="S508" s="1014"/>
      <c r="T508" s="1013"/>
      <c r="U508" s="1015"/>
      <c r="V508" s="1014"/>
      <c r="W508" s="1014"/>
      <c r="X508" s="1001"/>
      <c r="Y508" s="1014"/>
      <c r="Z508" s="1013"/>
      <c r="AA508" s="1015"/>
      <c r="AB508" s="1015"/>
      <c r="AC508" s="194"/>
      <c r="AD508" s="194"/>
      <c r="AE508" s="194"/>
      <c r="AF508" s="194"/>
      <c r="AG508" s="1013"/>
      <c r="AH508" s="1015"/>
      <c r="AJ508" s="79" t="str">
        <f t="shared" ref="AJ508:AJ519" si="206">IF(H508=130,0.132335,IF(H508=100,0.0785,IF(H508=110,0.095,IF(H508=160,0.198005,""))))</f>
        <v/>
      </c>
      <c r="AK508" s="16" t="str">
        <f t="shared" ref="AK508:AK519" si="207">IFERROR(P508*3*AJ508,"")</f>
        <v/>
      </c>
      <c r="AL508" s="16" t="str">
        <f t="shared" ref="AL508:AL519" si="208">IFERROR(Q508*4*AJ508,"")</f>
        <v/>
      </c>
      <c r="AM508" s="16" t="str">
        <f t="shared" ref="AM508:AM519" si="209">IFERROR(R508*5*AJ508,"")</f>
        <v/>
      </c>
      <c r="AN508" s="16" t="str">
        <f t="shared" ref="AN508:AN519" si="210">IFERROR(S508*6*AJ508,"")</f>
        <v/>
      </c>
      <c r="AO508" s="55"/>
      <c r="AP508" s="1250"/>
      <c r="AQ508" s="1250"/>
      <c r="AR508" s="1250"/>
      <c r="AS508" s="55"/>
      <c r="AT508" s="167"/>
      <c r="AU508" s="167"/>
      <c r="AV508" s="168"/>
      <c r="AW508" s="169"/>
      <c r="AX508" s="94">
        <f t="shared" ref="AX508:AX519" si="211">AT508*3+AU508*4+AV508*5+AW508*6</f>
        <v>0</v>
      </c>
      <c r="AY508" s="95">
        <f t="shared" ref="AY508:AY519" si="212">AX508*I508</f>
        <v>0</v>
      </c>
    </row>
    <row r="509" spans="1:51" ht="15" customHeight="1">
      <c r="A509" s="1001"/>
      <c r="B509" s="1010"/>
      <c r="C509" s="1011"/>
      <c r="D509" s="1011"/>
      <c r="E509" s="1011"/>
      <c r="F509" s="1012"/>
      <c r="G509" s="1012"/>
      <c r="H509" s="184"/>
      <c r="I509" s="190"/>
      <c r="J509" s="1001"/>
      <c r="K509" s="1001"/>
      <c r="L509" s="186"/>
      <c r="M509" s="1001"/>
      <c r="N509" s="1013"/>
      <c r="O509" s="192"/>
      <c r="P509" s="1014"/>
      <c r="Q509" s="1014"/>
      <c r="R509" s="1001"/>
      <c r="S509" s="1014"/>
      <c r="T509" s="1013"/>
      <c r="U509" s="1015"/>
      <c r="V509" s="1014"/>
      <c r="W509" s="1014"/>
      <c r="X509" s="186"/>
      <c r="Y509" s="1014"/>
      <c r="Z509" s="1013"/>
      <c r="AA509" s="1015"/>
      <c r="AB509" s="1015"/>
      <c r="AC509" s="194"/>
      <c r="AD509" s="194"/>
      <c r="AE509" s="194"/>
      <c r="AF509" s="194"/>
      <c r="AG509" s="1013"/>
      <c r="AH509" s="1015"/>
      <c r="AJ509" s="79" t="str">
        <f t="shared" si="206"/>
        <v/>
      </c>
      <c r="AK509" s="16" t="str">
        <f t="shared" si="207"/>
        <v/>
      </c>
      <c r="AL509" s="16" t="str">
        <f t="shared" si="208"/>
        <v/>
      </c>
      <c r="AM509" s="16" t="str">
        <f t="shared" si="209"/>
        <v/>
      </c>
      <c r="AN509" s="16" t="str">
        <f t="shared" si="210"/>
        <v/>
      </c>
      <c r="AO509" s="55"/>
      <c r="AP509" s="98">
        <v>6</v>
      </c>
      <c r="AQ509" s="99"/>
      <c r="AR509" s="100">
        <f>IFERROR(AP509*AQ509*AS512,0)</f>
        <v>0</v>
      </c>
      <c r="AS509" s="55"/>
      <c r="AT509" s="167"/>
      <c r="AU509" s="167"/>
      <c r="AV509" s="164"/>
      <c r="AW509" s="169"/>
      <c r="AX509" s="94">
        <f t="shared" si="211"/>
        <v>0</v>
      </c>
      <c r="AY509" s="95">
        <f t="shared" si="212"/>
        <v>0</v>
      </c>
    </row>
    <row r="510" spans="1:51" ht="15" customHeight="1">
      <c r="A510" s="1001"/>
      <c r="B510" s="1010"/>
      <c r="C510" s="1016"/>
      <c r="D510" s="1016"/>
      <c r="E510" s="1016"/>
      <c r="F510" s="1017"/>
      <c r="G510" s="1017"/>
      <c r="H510" s="184"/>
      <c r="I510" s="190"/>
      <c r="J510" s="1001"/>
      <c r="K510" s="1001"/>
      <c r="L510" s="186"/>
      <c r="M510" s="1001"/>
      <c r="N510" s="1013"/>
      <c r="O510" s="192"/>
      <c r="P510" s="1014"/>
      <c r="Q510" s="1014"/>
      <c r="R510" s="1001"/>
      <c r="S510" s="1014"/>
      <c r="T510" s="1013"/>
      <c r="U510" s="1015"/>
      <c r="V510" s="1014"/>
      <c r="W510" s="1014"/>
      <c r="X510" s="1001"/>
      <c r="Y510" s="1014"/>
      <c r="Z510" s="1013"/>
      <c r="AA510" s="1015"/>
      <c r="AB510" s="1015"/>
      <c r="AC510" s="194"/>
      <c r="AD510" s="194"/>
      <c r="AE510" s="194"/>
      <c r="AF510" s="194"/>
      <c r="AG510" s="1013"/>
      <c r="AH510" s="1015"/>
      <c r="AJ510" s="79" t="str">
        <f t="shared" si="206"/>
        <v/>
      </c>
      <c r="AK510" s="16" t="str">
        <f t="shared" si="207"/>
        <v/>
      </c>
      <c r="AL510" s="16" t="str">
        <f t="shared" si="208"/>
        <v/>
      </c>
      <c r="AM510" s="16" t="str">
        <f t="shared" si="209"/>
        <v/>
      </c>
      <c r="AN510" s="16" t="str">
        <f t="shared" si="210"/>
        <v/>
      </c>
      <c r="AO510" s="55"/>
      <c r="AP510" s="98">
        <v>5</v>
      </c>
      <c r="AQ510" s="99"/>
      <c r="AR510" s="100">
        <f>IFERROR(AP510*AQ510*AS512,0)</f>
        <v>0</v>
      </c>
      <c r="AS510" s="104"/>
      <c r="AT510" s="167"/>
      <c r="AU510" s="167"/>
      <c r="AV510" s="164"/>
      <c r="AW510" s="169"/>
      <c r="AX510" s="94">
        <f t="shared" si="211"/>
        <v>0</v>
      </c>
      <c r="AY510" s="95">
        <f t="shared" si="212"/>
        <v>0</v>
      </c>
    </row>
    <row r="511" spans="1:51" ht="15" customHeight="1">
      <c r="A511" s="1001"/>
      <c r="B511" s="1010"/>
      <c r="C511" s="1011"/>
      <c r="D511" s="1011"/>
      <c r="E511" s="1011"/>
      <c r="F511" s="1012"/>
      <c r="G511" s="1012"/>
      <c r="H511" s="184"/>
      <c r="I511" s="190"/>
      <c r="J511" s="1001"/>
      <c r="K511" s="1001"/>
      <c r="L511" s="186"/>
      <c r="M511" s="1001"/>
      <c r="N511" s="1013"/>
      <c r="O511" s="192"/>
      <c r="P511" s="1014"/>
      <c r="Q511" s="1014"/>
      <c r="R511" s="1001"/>
      <c r="S511" s="1014"/>
      <c r="T511" s="1013"/>
      <c r="U511" s="1015"/>
      <c r="V511" s="1014"/>
      <c r="W511" s="1014"/>
      <c r="X511" s="1001"/>
      <c r="Y511" s="1014"/>
      <c r="Z511" s="1013"/>
      <c r="AA511" s="1015"/>
      <c r="AB511" s="1015"/>
      <c r="AC511" s="194"/>
      <c r="AD511" s="194"/>
      <c r="AE511" s="194"/>
      <c r="AF511" s="194"/>
      <c r="AG511" s="1013"/>
      <c r="AH511" s="1015"/>
      <c r="AJ511" s="79" t="str">
        <f t="shared" si="206"/>
        <v/>
      </c>
      <c r="AK511" s="16" t="str">
        <f t="shared" si="207"/>
        <v/>
      </c>
      <c r="AL511" s="16" t="str">
        <f t="shared" si="208"/>
        <v/>
      </c>
      <c r="AM511" s="16" t="str">
        <f t="shared" si="209"/>
        <v/>
      </c>
      <c r="AN511" s="16" t="str">
        <f t="shared" si="210"/>
        <v/>
      </c>
      <c r="AO511" s="55"/>
      <c r="AP511" s="98">
        <v>4</v>
      </c>
      <c r="AQ511" s="99"/>
      <c r="AR511" s="100">
        <f>IFERROR(AP511*AQ511*AS512,0)</f>
        <v>0</v>
      </c>
      <c r="AS511" s="104"/>
      <c r="AT511" s="167"/>
      <c r="AU511" s="167"/>
      <c r="AV511" s="168"/>
      <c r="AW511" s="169"/>
      <c r="AX511" s="94">
        <f t="shared" si="211"/>
        <v>0</v>
      </c>
      <c r="AY511" s="95">
        <f t="shared" si="212"/>
        <v>0</v>
      </c>
    </row>
    <row r="512" spans="1:51" ht="15" customHeight="1">
      <c r="A512" s="1001"/>
      <c r="B512" s="1010"/>
      <c r="C512" s="1011"/>
      <c r="D512" s="188"/>
      <c r="E512" s="1011"/>
      <c r="F512" s="1012"/>
      <c r="G512" s="1012"/>
      <c r="H512" s="184"/>
      <c r="I512" s="190"/>
      <c r="J512" s="1001"/>
      <c r="K512" s="1001"/>
      <c r="L512" s="186"/>
      <c r="M512" s="1001"/>
      <c r="N512" s="1013"/>
      <c r="O512" s="192"/>
      <c r="P512" s="1014"/>
      <c r="Q512" s="1014"/>
      <c r="R512" s="1001"/>
      <c r="S512" s="1014"/>
      <c r="T512" s="1013"/>
      <c r="U512" s="1015"/>
      <c r="V512" s="1014"/>
      <c r="W512" s="1014"/>
      <c r="X512" s="1001"/>
      <c r="Y512" s="1014"/>
      <c r="Z512" s="1013"/>
      <c r="AA512" s="1015"/>
      <c r="AB512" s="1015"/>
      <c r="AC512" s="194"/>
      <c r="AD512" s="194"/>
      <c r="AE512" s="194"/>
      <c r="AF512" s="194"/>
      <c r="AG512" s="1013"/>
      <c r="AH512" s="1015"/>
      <c r="AJ512" s="79" t="str">
        <f t="shared" si="206"/>
        <v/>
      </c>
      <c r="AK512" s="16" t="str">
        <f t="shared" si="207"/>
        <v/>
      </c>
      <c r="AL512" s="16" t="str">
        <f t="shared" si="208"/>
        <v/>
      </c>
      <c r="AM512" s="16" t="str">
        <f t="shared" si="209"/>
        <v/>
      </c>
      <c r="AN512" s="16" t="str">
        <f t="shared" si="210"/>
        <v/>
      </c>
      <c r="AO512" s="55"/>
      <c r="AP512" s="98">
        <v>3</v>
      </c>
      <c r="AQ512" s="109"/>
      <c r="AR512" s="100">
        <f>IFERROR(AP512*AQ512*AS512,0)</f>
        <v>0</v>
      </c>
      <c r="AS512" s="48">
        <f>IFERROR(AR513/((AP512*AQ512)+(AP511*AQ511)+(AP510*AQ510)+(AP509*AQ509)),0)</f>
        <v>0</v>
      </c>
      <c r="AT512" s="167"/>
      <c r="AU512" s="167"/>
      <c r="AV512" s="168"/>
      <c r="AW512" s="169"/>
      <c r="AX512" s="94">
        <f t="shared" si="211"/>
        <v>0</v>
      </c>
      <c r="AY512" s="95">
        <f t="shared" si="212"/>
        <v>0</v>
      </c>
    </row>
    <row r="513" spans="1:51" ht="14.25" customHeight="1" thickBot="1">
      <c r="A513" s="1001"/>
      <c r="B513" s="1010"/>
      <c r="C513" s="1011"/>
      <c r="D513" s="1011"/>
      <c r="E513" s="1011"/>
      <c r="F513" s="1012"/>
      <c r="G513" s="1012"/>
      <c r="H513" s="184"/>
      <c r="I513" s="190"/>
      <c r="J513" s="1001"/>
      <c r="K513" s="1001"/>
      <c r="L513" s="186"/>
      <c r="M513" s="1001"/>
      <c r="N513" s="1013"/>
      <c r="O513" s="192"/>
      <c r="P513" s="185"/>
      <c r="Q513" s="1014"/>
      <c r="R513" s="1001"/>
      <c r="S513" s="1014"/>
      <c r="T513" s="1013"/>
      <c r="U513" s="1015"/>
      <c r="V513" s="185"/>
      <c r="W513" s="1014"/>
      <c r="X513" s="1001"/>
      <c r="Y513" s="1014"/>
      <c r="Z513" s="1013"/>
      <c r="AA513" s="1015"/>
      <c r="AB513" s="1015"/>
      <c r="AC513" s="194"/>
      <c r="AD513" s="194"/>
      <c r="AE513" s="194"/>
      <c r="AF513" s="194"/>
      <c r="AG513" s="1013"/>
      <c r="AH513" s="1015"/>
      <c r="AJ513" s="79" t="str">
        <f t="shared" si="206"/>
        <v/>
      </c>
      <c r="AK513" s="16" t="str">
        <f t="shared" si="207"/>
        <v/>
      </c>
      <c r="AL513" s="16" t="str">
        <f t="shared" si="208"/>
        <v/>
      </c>
      <c r="AM513" s="16" t="str">
        <f t="shared" si="209"/>
        <v/>
      </c>
      <c r="AN513" s="16" t="str">
        <f t="shared" si="210"/>
        <v/>
      </c>
      <c r="AO513" s="55"/>
      <c r="AP513" s="111"/>
      <c r="AQ513" s="112"/>
      <c r="AR513" s="113"/>
      <c r="AS513" s="104"/>
      <c r="AT513" s="167"/>
      <c r="AU513" s="167"/>
      <c r="AV513" s="168"/>
      <c r="AW513" s="169"/>
      <c r="AX513" s="94">
        <f t="shared" si="211"/>
        <v>0</v>
      </c>
      <c r="AY513" s="95">
        <f t="shared" si="212"/>
        <v>0</v>
      </c>
    </row>
    <row r="514" spans="1:51" ht="14.25" customHeight="1" thickBot="1">
      <c r="A514" s="1001"/>
      <c r="B514" s="1010"/>
      <c r="C514" s="1011"/>
      <c r="D514" s="1011"/>
      <c r="E514" s="1011"/>
      <c r="F514" s="1012"/>
      <c r="G514" s="1012"/>
      <c r="H514" s="184"/>
      <c r="I514" s="190"/>
      <c r="J514" s="1001"/>
      <c r="K514" s="1001"/>
      <c r="L514" s="186"/>
      <c r="M514" s="1001"/>
      <c r="N514" s="1013"/>
      <c r="O514" s="192"/>
      <c r="P514" s="1014"/>
      <c r="Q514" s="1014"/>
      <c r="R514" s="1001"/>
      <c r="S514" s="1014"/>
      <c r="T514" s="1013"/>
      <c r="U514" s="1015"/>
      <c r="V514" s="1014"/>
      <c r="W514" s="1014"/>
      <c r="X514" s="1001"/>
      <c r="Y514" s="1014"/>
      <c r="Z514" s="1013"/>
      <c r="AA514" s="1015"/>
      <c r="AB514" s="1015"/>
      <c r="AC514" s="194"/>
      <c r="AD514" s="194"/>
      <c r="AE514" s="194"/>
      <c r="AF514" s="194"/>
      <c r="AG514" s="1013"/>
      <c r="AH514" s="1015"/>
      <c r="AJ514" s="79" t="str">
        <f t="shared" si="206"/>
        <v/>
      </c>
      <c r="AK514" s="16" t="str">
        <f t="shared" si="207"/>
        <v/>
      </c>
      <c r="AL514" s="16" t="str">
        <f t="shared" si="208"/>
        <v/>
      </c>
      <c r="AM514" s="16" t="str">
        <f t="shared" si="209"/>
        <v/>
      </c>
      <c r="AN514" s="16" t="str">
        <f t="shared" si="210"/>
        <v/>
      </c>
      <c r="AO514" s="55"/>
      <c r="AP514" s="1250" t="s">
        <v>7</v>
      </c>
      <c r="AQ514" s="1250"/>
      <c r="AR514" s="1250"/>
      <c r="AS514" s="104"/>
      <c r="AT514" s="167"/>
      <c r="AU514" s="167"/>
      <c r="AV514" s="168"/>
      <c r="AW514" s="169"/>
      <c r="AX514" s="94">
        <f t="shared" si="211"/>
        <v>0</v>
      </c>
      <c r="AY514" s="95">
        <f t="shared" si="212"/>
        <v>0</v>
      </c>
    </row>
    <row r="515" spans="1:51" ht="15" customHeight="1" thickBot="1">
      <c r="A515" s="1001"/>
      <c r="B515" s="1010"/>
      <c r="C515" s="1011"/>
      <c r="D515" s="1011"/>
      <c r="E515" s="1011"/>
      <c r="F515" s="1012"/>
      <c r="G515" s="1012"/>
      <c r="H515" s="184"/>
      <c r="I515" s="190"/>
      <c r="J515" s="1001"/>
      <c r="K515" s="1001"/>
      <c r="L515" s="186"/>
      <c r="M515" s="1001"/>
      <c r="N515" s="1013"/>
      <c r="O515" s="192"/>
      <c r="P515" s="1014"/>
      <c r="Q515" s="1014"/>
      <c r="R515" s="1001"/>
      <c r="S515" s="1014"/>
      <c r="T515" s="1013"/>
      <c r="U515" s="1015"/>
      <c r="V515" s="1014"/>
      <c r="W515" s="185"/>
      <c r="X515" s="1001"/>
      <c r="Y515" s="1014"/>
      <c r="Z515" s="1013"/>
      <c r="AA515" s="1015"/>
      <c r="AB515" s="1015"/>
      <c r="AC515" s="194"/>
      <c r="AD515" s="194"/>
      <c r="AE515" s="194"/>
      <c r="AF515" s="194"/>
      <c r="AG515" s="1013"/>
      <c r="AH515" s="1015"/>
      <c r="AJ515" s="79" t="str">
        <f t="shared" si="206"/>
        <v/>
      </c>
      <c r="AK515" s="16" t="str">
        <f t="shared" si="207"/>
        <v/>
      </c>
      <c r="AL515" s="16" t="str">
        <f t="shared" si="208"/>
        <v/>
      </c>
      <c r="AM515" s="16" t="str">
        <f t="shared" si="209"/>
        <v/>
      </c>
      <c r="AN515" s="16" t="str">
        <f t="shared" si="210"/>
        <v/>
      </c>
      <c r="AO515" s="73">
        <v>160</v>
      </c>
      <c r="AP515" s="1250"/>
      <c r="AQ515" s="1250"/>
      <c r="AR515" s="1250"/>
      <c r="AS515" s="55"/>
      <c r="AT515" s="167"/>
      <c r="AU515" s="167"/>
      <c r="AV515" s="168"/>
      <c r="AW515" s="169"/>
      <c r="AX515" s="94">
        <f t="shared" si="211"/>
        <v>0</v>
      </c>
      <c r="AY515" s="95">
        <f t="shared" si="212"/>
        <v>0</v>
      </c>
    </row>
    <row r="516" spans="1:51" ht="15" customHeight="1" thickBot="1">
      <c r="A516" s="1001"/>
      <c r="B516" s="1010"/>
      <c r="C516" s="1011"/>
      <c r="D516" s="1011"/>
      <c r="E516" s="1011"/>
      <c r="F516" s="1012"/>
      <c r="G516" s="1012"/>
      <c r="H516" s="184"/>
      <c r="I516" s="190"/>
      <c r="J516" s="1001"/>
      <c r="K516" s="1001"/>
      <c r="L516" s="186"/>
      <c r="M516" s="1001"/>
      <c r="N516" s="1013"/>
      <c r="O516" s="192"/>
      <c r="P516" s="1014"/>
      <c r="Q516" s="185"/>
      <c r="R516" s="1018"/>
      <c r="S516" s="1014"/>
      <c r="T516" s="1013"/>
      <c r="U516" s="1015"/>
      <c r="V516" s="1014"/>
      <c r="W516" s="185"/>
      <c r="X516" s="1001"/>
      <c r="Y516" s="1014"/>
      <c r="Z516" s="1013"/>
      <c r="AA516" s="1015"/>
      <c r="AB516" s="1015"/>
      <c r="AC516" s="194"/>
      <c r="AD516" s="194"/>
      <c r="AE516" s="194"/>
      <c r="AF516" s="194"/>
      <c r="AG516" s="1013"/>
      <c r="AH516" s="1015"/>
      <c r="AJ516" s="79" t="str">
        <f t="shared" si="206"/>
        <v/>
      </c>
      <c r="AK516" s="16" t="str">
        <f t="shared" si="207"/>
        <v/>
      </c>
      <c r="AL516" s="16" t="str">
        <f t="shared" si="208"/>
        <v/>
      </c>
      <c r="AM516" s="16" t="str">
        <f t="shared" si="209"/>
        <v/>
      </c>
      <c r="AN516" s="16" t="str">
        <f t="shared" si="210"/>
        <v/>
      </c>
      <c r="AO516" s="55"/>
      <c r="AP516" s="1250"/>
      <c r="AQ516" s="1250"/>
      <c r="AR516" s="1250"/>
      <c r="AS516" s="55"/>
      <c r="AT516" s="167"/>
      <c r="AU516" s="167"/>
      <c r="AV516" s="168"/>
      <c r="AW516" s="169"/>
      <c r="AX516" s="94">
        <f t="shared" si="211"/>
        <v>0</v>
      </c>
      <c r="AY516" s="95">
        <f t="shared" si="212"/>
        <v>0</v>
      </c>
    </row>
    <row r="517" spans="1:51" ht="16.5" customHeight="1">
      <c r="A517" s="1001"/>
      <c r="B517" s="1010"/>
      <c r="C517" s="1011"/>
      <c r="D517" s="1011"/>
      <c r="E517" s="1011"/>
      <c r="F517" s="1012"/>
      <c r="G517" s="1012"/>
      <c r="H517" s="184"/>
      <c r="I517" s="190"/>
      <c r="J517" s="1001"/>
      <c r="K517" s="1001"/>
      <c r="L517" s="186"/>
      <c r="M517" s="1001"/>
      <c r="N517" s="1013"/>
      <c r="O517" s="192"/>
      <c r="P517" s="1014"/>
      <c r="Q517" s="185"/>
      <c r="R517" s="1014"/>
      <c r="S517" s="1014"/>
      <c r="T517" s="1013"/>
      <c r="U517" s="1015"/>
      <c r="V517" s="1014"/>
      <c r="W517" s="185"/>
      <c r="X517" s="1001"/>
      <c r="Y517" s="1014"/>
      <c r="Z517" s="1013"/>
      <c r="AA517" s="1015"/>
      <c r="AB517" s="1015"/>
      <c r="AC517" s="194"/>
      <c r="AD517" s="194"/>
      <c r="AE517" s="194"/>
      <c r="AF517" s="194"/>
      <c r="AG517" s="1013"/>
      <c r="AH517" s="1015"/>
      <c r="AJ517" s="79" t="str">
        <f t="shared" si="206"/>
        <v/>
      </c>
      <c r="AK517" s="16" t="str">
        <f t="shared" si="207"/>
        <v/>
      </c>
      <c r="AL517" s="16" t="str">
        <f t="shared" si="208"/>
        <v/>
      </c>
      <c r="AM517" s="16" t="str">
        <f t="shared" si="209"/>
        <v/>
      </c>
      <c r="AN517" s="16" t="str">
        <f t="shared" si="210"/>
        <v/>
      </c>
      <c r="AO517" s="55"/>
      <c r="AP517" s="117">
        <v>6</v>
      </c>
      <c r="AQ517" s="118"/>
      <c r="AR517" s="100">
        <f>IFERROR(AP517*AQ517*AS520,0)</f>
        <v>0</v>
      </c>
      <c r="AS517" s="55"/>
      <c r="AT517" s="167"/>
      <c r="AU517" s="167"/>
      <c r="AV517" s="168"/>
      <c r="AW517" s="169"/>
      <c r="AX517" s="94">
        <f t="shared" si="211"/>
        <v>0</v>
      </c>
      <c r="AY517" s="95">
        <f t="shared" si="212"/>
        <v>0</v>
      </c>
    </row>
    <row r="518" spans="1:51" ht="16.5" customHeight="1">
      <c r="A518" s="1001"/>
      <c r="B518" s="1010"/>
      <c r="C518" s="1011"/>
      <c r="D518" s="1011"/>
      <c r="E518" s="1011"/>
      <c r="F518" s="1012"/>
      <c r="G518" s="1012"/>
      <c r="H518" s="184"/>
      <c r="I518" s="190"/>
      <c r="J518" s="1001"/>
      <c r="K518" s="1001"/>
      <c r="L518" s="186"/>
      <c r="M518" s="1001"/>
      <c r="N518" s="1013"/>
      <c r="O518" s="192"/>
      <c r="P518" s="1014"/>
      <c r="Q518" s="184"/>
      <c r="R518" s="1018"/>
      <c r="S518" s="1019"/>
      <c r="T518" s="1013"/>
      <c r="U518" s="1015"/>
      <c r="V518" s="1014"/>
      <c r="W518" s="185"/>
      <c r="X518" s="1001"/>
      <c r="Y518" s="1014"/>
      <c r="Z518" s="1013"/>
      <c r="AA518" s="1015"/>
      <c r="AB518" s="1015"/>
      <c r="AC518" s="194"/>
      <c r="AD518" s="194"/>
      <c r="AE518" s="194"/>
      <c r="AF518" s="194"/>
      <c r="AG518" s="1013"/>
      <c r="AH518" s="1015"/>
      <c r="AJ518" s="79" t="str">
        <f t="shared" si="206"/>
        <v/>
      </c>
      <c r="AK518" s="16" t="str">
        <f t="shared" si="207"/>
        <v/>
      </c>
      <c r="AL518" s="16" t="str">
        <f t="shared" si="208"/>
        <v/>
      </c>
      <c r="AM518" s="16" t="str">
        <f t="shared" si="209"/>
        <v/>
      </c>
      <c r="AN518" s="16" t="str">
        <f t="shared" si="210"/>
        <v/>
      </c>
      <c r="AO518" s="55"/>
      <c r="AP518" s="98">
        <v>5</v>
      </c>
      <c r="AQ518" s="99"/>
      <c r="AR518" s="100">
        <f>IFERROR(AP518*AQ518*AS520,0)</f>
        <v>0</v>
      </c>
      <c r="AS518" s="55"/>
      <c r="AT518" s="177"/>
      <c r="AU518" s="178"/>
      <c r="AV518" s="177"/>
      <c r="AW518" s="179"/>
      <c r="AX518" s="94">
        <f t="shared" si="211"/>
        <v>0</v>
      </c>
      <c r="AY518" s="95">
        <f t="shared" si="212"/>
        <v>0</v>
      </c>
    </row>
    <row r="519" spans="1:51" ht="15.75" customHeight="1">
      <c r="A519" s="1001"/>
      <c r="B519" s="1010"/>
      <c r="C519" s="1020"/>
      <c r="D519" s="1021"/>
      <c r="E519" s="1020"/>
      <c r="F519" s="1022"/>
      <c r="G519" s="1022"/>
      <c r="H519" s="184"/>
      <c r="I519" s="190"/>
      <c r="J519" s="1001"/>
      <c r="K519" s="1001"/>
      <c r="L519" s="186"/>
      <c r="M519" s="1001"/>
      <c r="N519" s="1013"/>
      <c r="O519" s="192"/>
      <c r="P519" s="1019"/>
      <c r="Q519" s="184"/>
      <c r="R519" s="1018"/>
      <c r="S519" s="1019"/>
      <c r="T519" s="1013"/>
      <c r="U519" s="1015"/>
      <c r="V519" s="1014"/>
      <c r="W519" s="185"/>
      <c r="X519" s="1001"/>
      <c r="Y519" s="1014"/>
      <c r="Z519" s="1013"/>
      <c r="AA519" s="1015"/>
      <c r="AB519" s="1015"/>
      <c r="AC519" s="194"/>
      <c r="AD519" s="194"/>
      <c r="AE519" s="194"/>
      <c r="AF519" s="194"/>
      <c r="AG519" s="1013"/>
      <c r="AH519" s="1015"/>
      <c r="AJ519" s="79" t="str">
        <f t="shared" si="206"/>
        <v/>
      </c>
      <c r="AK519" s="16" t="str">
        <f t="shared" si="207"/>
        <v/>
      </c>
      <c r="AL519" s="16" t="str">
        <f t="shared" si="208"/>
        <v/>
      </c>
      <c r="AM519" s="16" t="str">
        <f t="shared" si="209"/>
        <v/>
      </c>
      <c r="AN519" s="16" t="str">
        <f t="shared" si="210"/>
        <v/>
      </c>
      <c r="AO519" s="104"/>
      <c r="AP519" s="98">
        <v>4</v>
      </c>
      <c r="AQ519" s="99"/>
      <c r="AR519" s="100">
        <f>IFERROR(AP519*AQ519*AS520,0)</f>
        <v>0</v>
      </c>
      <c r="AS519" s="55"/>
      <c r="AT519" s="167"/>
      <c r="AU519" s="165"/>
      <c r="AV519" s="168"/>
      <c r="AW519" s="169"/>
      <c r="AX519" s="94">
        <f t="shared" si="211"/>
        <v>0</v>
      </c>
      <c r="AY519" s="95">
        <f t="shared" si="212"/>
        <v>0</v>
      </c>
    </row>
    <row r="520" spans="1:51" ht="15" customHeight="1">
      <c r="A520" s="1001"/>
      <c r="B520" s="1001"/>
      <c r="C520" s="1023"/>
      <c r="D520" s="1023"/>
      <c r="E520" s="1023"/>
      <c r="F520" s="1024"/>
      <c r="G520" s="1024"/>
      <c r="H520" s="1001"/>
      <c r="I520" s="1001"/>
      <c r="J520" s="201"/>
      <c r="K520" s="201"/>
      <c r="L520" s="201"/>
      <c r="M520" s="201"/>
      <c r="N520" s="1025"/>
      <c r="O520" s="1002"/>
      <c r="P520" s="1001"/>
      <c r="Q520" s="1001"/>
      <c r="R520" s="1001"/>
      <c r="S520" s="1003"/>
      <c r="T520" s="1001"/>
      <c r="U520" s="1004"/>
      <c r="V520" s="1001"/>
      <c r="W520" s="1001"/>
      <c r="X520" s="1001"/>
      <c r="Y520" s="1001"/>
      <c r="Z520" s="1001"/>
      <c r="AA520" s="1004"/>
      <c r="AB520" s="1001"/>
      <c r="AC520" s="1001"/>
      <c r="AD520" s="1001"/>
      <c r="AE520" s="1001"/>
      <c r="AF520" s="1001"/>
      <c r="AG520" s="54"/>
      <c r="AH520" s="54"/>
      <c r="AK520" s="2"/>
      <c r="AL520" s="2"/>
      <c r="AM520" s="2"/>
      <c r="AN520" s="2"/>
      <c r="AO520" s="55"/>
      <c r="AP520" s="98">
        <v>3</v>
      </c>
      <c r="AQ520" s="109"/>
      <c r="AR520" s="100">
        <f>IFERROR(AP520*AQ520*AS520,0)</f>
        <v>0</v>
      </c>
      <c r="AS520" s="48">
        <f>IFERROR(AR521/((AP520*AQ520)+(AP519*AQ519)+(AP518*AQ518)+(AP517*AQ517)),0)</f>
        <v>0</v>
      </c>
    </row>
    <row r="521" spans="1:51" ht="15.75" customHeight="1" thickBot="1">
      <c r="A521" s="1001"/>
      <c r="B521" s="1001"/>
      <c r="C521" s="1023"/>
      <c r="D521" s="1023"/>
      <c r="E521" s="1023"/>
      <c r="F521" s="1024"/>
      <c r="G521" s="1024"/>
      <c r="H521" s="184"/>
      <c r="I521" s="190"/>
      <c r="J521" s="1026"/>
      <c r="K521" s="1026"/>
      <c r="L521" s="1026"/>
      <c r="M521" s="1026"/>
      <c r="N521" s="1013"/>
      <c r="O521" s="192"/>
      <c r="P521" s="1027"/>
      <c r="Q521" s="1027"/>
      <c r="R521" s="1027"/>
      <c r="S521" s="1027"/>
      <c r="T521" s="1018"/>
      <c r="U521" s="1018"/>
      <c r="V521" s="1027"/>
      <c r="W521" s="1027"/>
      <c r="X521" s="1027"/>
      <c r="Y521" s="1027"/>
      <c r="Z521" s="1001"/>
      <c r="AA521" s="1001"/>
      <c r="AB521" s="1001"/>
      <c r="AC521" s="1027"/>
      <c r="AD521" s="1027"/>
      <c r="AE521" s="1027"/>
      <c r="AF521" s="1027"/>
      <c r="AG521" s="54"/>
      <c r="AH521" s="54"/>
      <c r="AK521" s="154">
        <f>SUM(AK508:AK520)</f>
        <v>0</v>
      </c>
      <c r="AL521" s="154">
        <f>SUM(AL508:AL520)</f>
        <v>0</v>
      </c>
      <c r="AM521" s="154">
        <f>SUM(AM508:AM520)</f>
        <v>0</v>
      </c>
      <c r="AN521" s="154">
        <f>SUM(AN508:AN520)</f>
        <v>0</v>
      </c>
      <c r="AO521" s="55"/>
      <c r="AP521" s="111"/>
      <c r="AQ521" s="112"/>
      <c r="AR521" s="155"/>
      <c r="AS521" s="55"/>
    </row>
    <row r="522" spans="1:51" ht="15" customHeight="1">
      <c r="A522" s="1028"/>
      <c r="B522" s="1001"/>
      <c r="C522" s="1001"/>
      <c r="D522" s="1001"/>
      <c r="E522" s="1001"/>
      <c r="F522" s="1001"/>
      <c r="G522" s="1001"/>
      <c r="H522" s="1018"/>
      <c r="I522" s="190"/>
      <c r="J522" s="1026"/>
      <c r="K522" s="1026"/>
      <c r="L522" s="1026"/>
      <c r="M522" s="1026"/>
      <c r="N522" s="1013"/>
      <c r="O522" s="192"/>
      <c r="P522" s="1027"/>
      <c r="Q522" s="1027"/>
      <c r="R522" s="1027"/>
      <c r="S522" s="1027"/>
      <c r="T522" s="1029"/>
      <c r="U522" s="1030"/>
      <c r="V522" s="1027"/>
      <c r="W522" s="1027"/>
      <c r="X522" s="1027"/>
      <c r="Y522" s="1027"/>
      <c r="Z522" s="1031"/>
      <c r="AA522" s="1032"/>
      <c r="AB522" s="1033"/>
      <c r="AC522" s="1027"/>
      <c r="AD522" s="1027"/>
      <c r="AE522" s="1027"/>
      <c r="AF522" s="1027"/>
      <c r="AG522" s="54"/>
      <c r="AH522" s="1030"/>
      <c r="AK522" s="48"/>
      <c r="AL522" s="48"/>
      <c r="AM522" s="48"/>
      <c r="AN522" s="48"/>
      <c r="AO522" s="55"/>
      <c r="AP522" s="55"/>
      <c r="AQ522" s="55"/>
      <c r="AR522" s="157">
        <f>AR513+AR521</f>
        <v>0</v>
      </c>
      <c r="AS522" s="55"/>
    </row>
    <row r="523" spans="1:51" ht="19.5" customHeight="1" thickBot="1">
      <c r="A523" s="1007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007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  <c r="AC523" s="182"/>
      <c r="AD523" s="182"/>
      <c r="AE523" s="182"/>
      <c r="AF523" s="182"/>
      <c r="AG523" s="54"/>
      <c r="AH523" s="54"/>
      <c r="AK523" s="48"/>
      <c r="AL523" s="48"/>
      <c r="AM523" s="48"/>
      <c r="AN523" s="48"/>
      <c r="AO523" s="48"/>
      <c r="AP523" s="48"/>
      <c r="AQ523" s="48"/>
      <c r="AR523" s="48"/>
      <c r="AS523" s="48"/>
    </row>
    <row r="524" spans="1:51" ht="14.25" customHeight="1" thickBot="1">
      <c r="A524" s="1252"/>
      <c r="B524" s="1253"/>
      <c r="C524" s="1254"/>
      <c r="D524" s="1254"/>
      <c r="E524" s="1254"/>
      <c r="F524" s="1254"/>
      <c r="G524" s="1254"/>
      <c r="H524" s="1253"/>
      <c r="I524" s="1254"/>
      <c r="J524" s="1253"/>
      <c r="K524" s="1253"/>
      <c r="L524" s="1253"/>
      <c r="M524" s="1253"/>
      <c r="N524" s="1255"/>
      <c r="O524" s="1258"/>
      <c r="P524" s="1254"/>
      <c r="Q524" s="1254"/>
      <c r="R524" s="1254"/>
      <c r="S524" s="1254"/>
      <c r="T524" s="1259"/>
      <c r="U524" s="1258"/>
      <c r="V524" s="1254"/>
      <c r="W524" s="1254"/>
      <c r="X524" s="1254"/>
      <c r="Y524" s="1254"/>
      <c r="Z524" s="1259"/>
      <c r="AA524" s="1258"/>
      <c r="AB524" s="1258"/>
      <c r="AC524" s="1260"/>
      <c r="AD524" s="1260"/>
      <c r="AE524" s="1260"/>
      <c r="AF524" s="1260"/>
      <c r="AG524" s="1259"/>
      <c r="AH524" s="1258"/>
      <c r="AK524" s="1257" t="s">
        <v>37</v>
      </c>
      <c r="AL524" s="1257"/>
      <c r="AM524" s="1257"/>
      <c r="AN524" s="1257"/>
      <c r="AO524" s="55"/>
      <c r="AP524" s="1250" t="s">
        <v>7</v>
      </c>
      <c r="AQ524" s="1250"/>
      <c r="AR524" s="1250"/>
      <c r="AS524" s="55"/>
      <c r="AT524" s="1251" t="s">
        <v>38</v>
      </c>
      <c r="AU524" s="1251"/>
      <c r="AV524" s="1251"/>
      <c r="AW524" s="1251"/>
      <c r="AX524" s="94" t="s">
        <v>39</v>
      </c>
      <c r="AY524" s="95" t="s">
        <v>12</v>
      </c>
    </row>
    <row r="525" spans="1:51" ht="18" customHeight="1" thickBot="1">
      <c r="A525" s="1252"/>
      <c r="B525" s="1252"/>
      <c r="C525" s="186"/>
      <c r="D525" s="186"/>
      <c r="E525" s="186"/>
      <c r="F525" s="186"/>
      <c r="G525" s="186"/>
      <c r="H525" s="1253"/>
      <c r="I525" s="1254"/>
      <c r="J525" s="185"/>
      <c r="K525" s="185"/>
      <c r="L525" s="185"/>
      <c r="M525" s="185"/>
      <c r="N525" s="1255"/>
      <c r="O525" s="1258"/>
      <c r="P525" s="186"/>
      <c r="Q525" s="185"/>
      <c r="R525" s="1008"/>
      <c r="S525" s="185"/>
      <c r="T525" s="1259"/>
      <c r="U525" s="1259"/>
      <c r="V525" s="186"/>
      <c r="W525" s="185"/>
      <c r="X525" s="1008"/>
      <c r="Y525" s="185"/>
      <c r="Z525" s="1259"/>
      <c r="AA525" s="1259"/>
      <c r="AB525" s="1258"/>
      <c r="AC525" s="186"/>
      <c r="AD525" s="185"/>
      <c r="AE525" s="1008"/>
      <c r="AF525" s="185"/>
      <c r="AG525" s="1259"/>
      <c r="AH525" s="1258"/>
      <c r="AK525" s="162" t="s">
        <v>49</v>
      </c>
      <c r="AL525" s="162" t="s">
        <v>50</v>
      </c>
      <c r="AM525" s="162" t="s">
        <v>51</v>
      </c>
      <c r="AN525" s="162" t="s">
        <v>52</v>
      </c>
      <c r="AO525" s="73">
        <v>130</v>
      </c>
      <c r="AP525" s="1250"/>
      <c r="AQ525" s="1250"/>
      <c r="AR525" s="1250"/>
      <c r="AS525" s="55"/>
      <c r="AT525" s="164" t="s">
        <v>45</v>
      </c>
      <c r="AU525" s="165" t="s">
        <v>46</v>
      </c>
      <c r="AV525" s="166" t="s">
        <v>47</v>
      </c>
      <c r="AW525" s="161" t="s">
        <v>48</v>
      </c>
      <c r="AX525" s="94"/>
      <c r="AY525" s="95"/>
    </row>
    <row r="526" spans="1:51" ht="15" customHeight="1" thickBot="1">
      <c r="A526" s="1009"/>
      <c r="B526" s="1010"/>
      <c r="C526" s="1011"/>
      <c r="D526" s="1011"/>
      <c r="E526" s="1011"/>
      <c r="F526" s="1012"/>
      <c r="G526" s="1012"/>
      <c r="H526" s="184"/>
      <c r="I526" s="190"/>
      <c r="J526" s="1001"/>
      <c r="K526" s="1001"/>
      <c r="L526" s="186"/>
      <c r="M526" s="1001"/>
      <c r="N526" s="1013"/>
      <c r="O526" s="192"/>
      <c r="P526" s="1014"/>
      <c r="Q526" s="1014"/>
      <c r="R526" s="1001"/>
      <c r="S526" s="1014"/>
      <c r="T526" s="1013"/>
      <c r="U526" s="1015"/>
      <c r="V526" s="1014"/>
      <c r="W526" s="1014"/>
      <c r="X526" s="1001"/>
      <c r="Y526" s="1014"/>
      <c r="Z526" s="1013"/>
      <c r="AA526" s="1015"/>
      <c r="AB526" s="1015"/>
      <c r="AC526" s="194"/>
      <c r="AD526" s="194"/>
      <c r="AE526" s="194"/>
      <c r="AF526" s="194"/>
      <c r="AG526" s="1013"/>
      <c r="AH526" s="1015"/>
      <c r="AJ526" s="79" t="str">
        <f t="shared" ref="AJ526:AJ537" si="213">IF(H526=130,0.132335,IF(H526=100,0.0785,IF(H526=110,0.095,IF(H526=160,0.198005,""))))</f>
        <v/>
      </c>
      <c r="AK526" s="16" t="str">
        <f t="shared" ref="AK526:AK537" si="214">IFERROR(P526*3*AJ526,"")</f>
        <v/>
      </c>
      <c r="AL526" s="16" t="str">
        <f t="shared" ref="AL526:AL537" si="215">IFERROR(Q526*4*AJ526,"")</f>
        <v/>
      </c>
      <c r="AM526" s="16" t="str">
        <f t="shared" ref="AM526:AM537" si="216">IFERROR(R526*5*AJ526,"")</f>
        <v/>
      </c>
      <c r="AN526" s="16" t="str">
        <f t="shared" ref="AN526:AN537" si="217">IFERROR(S526*6*AJ526,"")</f>
        <v/>
      </c>
      <c r="AO526" s="55"/>
      <c r="AP526" s="1250"/>
      <c r="AQ526" s="1250"/>
      <c r="AR526" s="1250"/>
      <c r="AS526" s="55"/>
      <c r="AT526" s="167"/>
      <c r="AU526" s="167"/>
      <c r="AV526" s="168"/>
      <c r="AW526" s="169"/>
      <c r="AX526" s="94">
        <f>AT526*3+AU526*4+AV526*5+AW526*6</f>
        <v>0</v>
      </c>
      <c r="AY526" s="95">
        <f t="shared" ref="AY526:AY537" si="218">AX526*I526</f>
        <v>0</v>
      </c>
    </row>
    <row r="527" spans="1:51" ht="15" customHeight="1">
      <c r="A527" s="1001"/>
      <c r="B527" s="1010"/>
      <c r="C527" s="1011"/>
      <c r="D527" s="1011"/>
      <c r="E527" s="1011"/>
      <c r="F527" s="1012"/>
      <c r="G527" s="1012"/>
      <c r="H527" s="184"/>
      <c r="I527" s="190"/>
      <c r="J527" s="1001"/>
      <c r="K527" s="1001"/>
      <c r="L527" s="186"/>
      <c r="M527" s="1001"/>
      <c r="N527" s="1013"/>
      <c r="O527" s="192"/>
      <c r="P527" s="1014"/>
      <c r="Q527" s="1014"/>
      <c r="R527" s="1001"/>
      <c r="S527" s="1014"/>
      <c r="T527" s="1013"/>
      <c r="U527" s="1015"/>
      <c r="V527" s="1014"/>
      <c r="W527" s="1014"/>
      <c r="X527" s="186"/>
      <c r="Y527" s="1014"/>
      <c r="Z527" s="1013"/>
      <c r="AA527" s="1015"/>
      <c r="AB527" s="1015"/>
      <c r="AC527" s="194"/>
      <c r="AD527" s="194"/>
      <c r="AE527" s="194"/>
      <c r="AF527" s="194"/>
      <c r="AG527" s="1013"/>
      <c r="AH527" s="1015"/>
      <c r="AJ527" s="79" t="str">
        <f t="shared" si="213"/>
        <v/>
      </c>
      <c r="AK527" s="16" t="str">
        <f t="shared" si="214"/>
        <v/>
      </c>
      <c r="AL527" s="16" t="str">
        <f t="shared" si="215"/>
        <v/>
      </c>
      <c r="AM527" s="16" t="str">
        <f t="shared" si="216"/>
        <v/>
      </c>
      <c r="AN527" s="16" t="str">
        <f t="shared" si="217"/>
        <v/>
      </c>
      <c r="AO527" s="55"/>
      <c r="AP527" s="98">
        <v>6</v>
      </c>
      <c r="AQ527" s="99"/>
      <c r="AR527" s="100">
        <f>IFERROR(AP527*AQ527*AS530,0)</f>
        <v>0</v>
      </c>
      <c r="AS527" s="55"/>
      <c r="AT527" s="167"/>
      <c r="AU527" s="167"/>
      <c r="AV527" s="164"/>
      <c r="AW527" s="169"/>
      <c r="AX527" s="94">
        <f>AT527*3+AU527*4+AV527*5+AW527*6</f>
        <v>0</v>
      </c>
      <c r="AY527" s="95">
        <f t="shared" si="218"/>
        <v>0</v>
      </c>
    </row>
    <row r="528" spans="1:51" ht="15" customHeight="1">
      <c r="A528" s="1001"/>
      <c r="B528" s="1010"/>
      <c r="C528" s="1016"/>
      <c r="D528" s="1016"/>
      <c r="E528" s="1016"/>
      <c r="F528" s="1017"/>
      <c r="G528" s="1017"/>
      <c r="H528" s="184"/>
      <c r="I528" s="190"/>
      <c r="J528" s="1001"/>
      <c r="K528" s="1001"/>
      <c r="L528" s="186"/>
      <c r="M528" s="1001"/>
      <c r="N528" s="1013"/>
      <c r="O528" s="192"/>
      <c r="P528" s="1014"/>
      <c r="Q528" s="1014"/>
      <c r="R528" s="1001"/>
      <c r="S528" s="1014"/>
      <c r="T528" s="1013"/>
      <c r="U528" s="1015"/>
      <c r="V528" s="1014"/>
      <c r="W528" s="1014"/>
      <c r="X528" s="1001"/>
      <c r="Y528" s="1014"/>
      <c r="Z528" s="1013"/>
      <c r="AA528" s="1015"/>
      <c r="AB528" s="1015"/>
      <c r="AC528" s="194"/>
      <c r="AD528" s="194"/>
      <c r="AE528" s="194"/>
      <c r="AF528" s="194"/>
      <c r="AG528" s="1013"/>
      <c r="AH528" s="1015"/>
      <c r="AJ528" s="79" t="str">
        <f t="shared" si="213"/>
        <v/>
      </c>
      <c r="AK528" s="16" t="str">
        <f t="shared" si="214"/>
        <v/>
      </c>
      <c r="AL528" s="16" t="str">
        <f t="shared" si="215"/>
        <v/>
      </c>
      <c r="AM528" s="16" t="str">
        <f t="shared" si="216"/>
        <v/>
      </c>
      <c r="AN528" s="16" t="str">
        <f t="shared" si="217"/>
        <v/>
      </c>
      <c r="AO528" s="55"/>
      <c r="AP528" s="98">
        <v>5</v>
      </c>
      <c r="AQ528" s="99"/>
      <c r="AR528" s="100">
        <f>IFERROR(AP528*AQ528*AS530,0)</f>
        <v>0</v>
      </c>
      <c r="AS528" s="104"/>
      <c r="AT528" s="167"/>
      <c r="AU528" s="167"/>
      <c r="AV528" s="164"/>
      <c r="AW528" s="169"/>
      <c r="AX528" s="94">
        <f>AT528*3+AU528*4+AV528*5+AW528*6</f>
        <v>0</v>
      </c>
      <c r="AY528" s="95">
        <f t="shared" si="218"/>
        <v>0</v>
      </c>
    </row>
    <row r="529" spans="1:51" ht="15" customHeight="1">
      <c r="A529" s="1001"/>
      <c r="B529" s="1010"/>
      <c r="C529" s="1011"/>
      <c r="D529" s="1011"/>
      <c r="E529" s="1011"/>
      <c r="F529" s="1012"/>
      <c r="G529" s="1012"/>
      <c r="H529" s="184"/>
      <c r="I529" s="190"/>
      <c r="J529" s="1001"/>
      <c r="K529" s="1001"/>
      <c r="L529" s="186"/>
      <c r="M529" s="1001"/>
      <c r="N529" s="1013"/>
      <c r="O529" s="192"/>
      <c r="P529" s="1014"/>
      <c r="Q529" s="1014"/>
      <c r="R529" s="1001"/>
      <c r="S529" s="1014"/>
      <c r="T529" s="1013"/>
      <c r="U529" s="1015"/>
      <c r="V529" s="1014"/>
      <c r="W529" s="1014"/>
      <c r="X529" s="1001"/>
      <c r="Y529" s="1014"/>
      <c r="Z529" s="1013"/>
      <c r="AA529" s="1015"/>
      <c r="AB529" s="1015"/>
      <c r="AC529" s="194"/>
      <c r="AD529" s="194"/>
      <c r="AE529" s="194"/>
      <c r="AF529" s="194"/>
      <c r="AG529" s="1013"/>
      <c r="AH529" s="1015"/>
      <c r="AJ529" s="79" t="str">
        <f t="shared" si="213"/>
        <v/>
      </c>
      <c r="AK529" s="16" t="str">
        <f t="shared" si="214"/>
        <v/>
      </c>
      <c r="AL529" s="16" t="str">
        <f t="shared" si="215"/>
        <v/>
      </c>
      <c r="AM529" s="16" t="str">
        <f t="shared" si="216"/>
        <v/>
      </c>
      <c r="AN529" s="16" t="str">
        <f t="shared" si="217"/>
        <v/>
      </c>
      <c r="AO529" s="55"/>
      <c r="AP529" s="98">
        <v>4</v>
      </c>
      <c r="AQ529" s="99"/>
      <c r="AR529" s="100">
        <f>IFERROR(AP529*AQ529*AS530,0)</f>
        <v>0</v>
      </c>
      <c r="AS529" s="104"/>
      <c r="AT529" s="167"/>
      <c r="AU529" s="167"/>
      <c r="AV529" s="168"/>
      <c r="AW529" s="169"/>
      <c r="AX529" s="94"/>
      <c r="AY529" s="95">
        <f t="shared" si="218"/>
        <v>0</v>
      </c>
    </row>
    <row r="530" spans="1:51" ht="15" customHeight="1">
      <c r="A530" s="1001"/>
      <c r="B530" s="1010"/>
      <c r="C530" s="1011"/>
      <c r="D530" s="188"/>
      <c r="E530" s="1011"/>
      <c r="F530" s="1012"/>
      <c r="G530" s="1012"/>
      <c r="H530" s="184"/>
      <c r="I530" s="190"/>
      <c r="J530" s="1001"/>
      <c r="K530" s="1001"/>
      <c r="L530" s="186"/>
      <c r="M530" s="1001"/>
      <c r="N530" s="1013"/>
      <c r="O530" s="192"/>
      <c r="P530" s="1014"/>
      <c r="Q530" s="1014"/>
      <c r="R530" s="1001"/>
      <c r="S530" s="1014"/>
      <c r="T530" s="1013"/>
      <c r="U530" s="1015"/>
      <c r="V530" s="1014"/>
      <c r="W530" s="1014"/>
      <c r="X530" s="1001"/>
      <c r="Y530" s="1014"/>
      <c r="Z530" s="1013"/>
      <c r="AA530" s="1015"/>
      <c r="AB530" s="1015"/>
      <c r="AC530" s="194"/>
      <c r="AD530" s="194"/>
      <c r="AE530" s="194"/>
      <c r="AF530" s="194"/>
      <c r="AG530" s="1013"/>
      <c r="AH530" s="1015"/>
      <c r="AJ530" s="79" t="str">
        <f t="shared" si="213"/>
        <v/>
      </c>
      <c r="AK530" s="16" t="str">
        <f t="shared" si="214"/>
        <v/>
      </c>
      <c r="AL530" s="16" t="str">
        <f t="shared" si="215"/>
        <v/>
      </c>
      <c r="AM530" s="16" t="str">
        <f t="shared" si="216"/>
        <v/>
      </c>
      <c r="AN530" s="16" t="str">
        <f t="shared" si="217"/>
        <v/>
      </c>
      <c r="AO530" s="55"/>
      <c r="AP530" s="98">
        <v>3</v>
      </c>
      <c r="AQ530" s="109"/>
      <c r="AR530" s="100">
        <f>IFERROR(AP530*AQ530*AS530,0)</f>
        <v>0</v>
      </c>
      <c r="AS530" s="48">
        <f>IFERROR(AR531/((AP530*AQ530)+(AP529*AQ529)+(AP528*AQ528)+(AP527*AQ527)),0)</f>
        <v>0</v>
      </c>
      <c r="AT530" s="167"/>
      <c r="AU530" s="167"/>
      <c r="AV530" s="168"/>
      <c r="AW530" s="169"/>
      <c r="AX530" s="94"/>
      <c r="AY530" s="95">
        <f t="shared" si="218"/>
        <v>0</v>
      </c>
    </row>
    <row r="531" spans="1:51" ht="14.25" customHeight="1" thickBot="1">
      <c r="A531" s="1001"/>
      <c r="B531" s="1010"/>
      <c r="C531" s="1011"/>
      <c r="D531" s="1011"/>
      <c r="E531" s="1011"/>
      <c r="F531" s="1012"/>
      <c r="G531" s="1012"/>
      <c r="H531" s="184"/>
      <c r="I531" s="190"/>
      <c r="J531" s="1001"/>
      <c r="K531" s="1001"/>
      <c r="L531" s="186"/>
      <c r="M531" s="1001"/>
      <c r="N531" s="1013"/>
      <c r="O531" s="192"/>
      <c r="P531" s="185"/>
      <c r="Q531" s="1014"/>
      <c r="R531" s="1001"/>
      <c r="S531" s="1014"/>
      <c r="T531" s="1013"/>
      <c r="U531" s="1015"/>
      <c r="V531" s="185"/>
      <c r="W531" s="1014"/>
      <c r="X531" s="1001"/>
      <c r="Y531" s="1014"/>
      <c r="Z531" s="1013"/>
      <c r="AA531" s="1015"/>
      <c r="AB531" s="1015"/>
      <c r="AC531" s="194"/>
      <c r="AD531" s="194"/>
      <c r="AE531" s="194"/>
      <c r="AF531" s="194"/>
      <c r="AG531" s="1013"/>
      <c r="AH531" s="1015"/>
      <c r="AJ531" s="79" t="str">
        <f t="shared" si="213"/>
        <v/>
      </c>
      <c r="AK531" s="16" t="str">
        <f t="shared" si="214"/>
        <v/>
      </c>
      <c r="AL531" s="16" t="str">
        <f t="shared" si="215"/>
        <v/>
      </c>
      <c r="AM531" s="16" t="str">
        <f t="shared" si="216"/>
        <v/>
      </c>
      <c r="AN531" s="16" t="str">
        <f t="shared" si="217"/>
        <v/>
      </c>
      <c r="AO531" s="55"/>
      <c r="AP531" s="111"/>
      <c r="AQ531" s="112"/>
      <c r="AR531" s="113"/>
      <c r="AS531" s="104"/>
      <c r="AT531" s="167"/>
      <c r="AU531" s="167"/>
      <c r="AV531" s="168"/>
      <c r="AW531" s="169"/>
      <c r="AX531" s="94"/>
      <c r="AY531" s="95">
        <f t="shared" si="218"/>
        <v>0</v>
      </c>
    </row>
    <row r="532" spans="1:51" ht="14.25" customHeight="1" thickBot="1">
      <c r="A532" s="1001"/>
      <c r="B532" s="1010"/>
      <c r="C532" s="1011"/>
      <c r="D532" s="1011"/>
      <c r="E532" s="1011"/>
      <c r="F532" s="1012"/>
      <c r="G532" s="1012"/>
      <c r="H532" s="184"/>
      <c r="I532" s="190"/>
      <c r="J532" s="1001"/>
      <c r="K532" s="1001"/>
      <c r="L532" s="186"/>
      <c r="M532" s="1001"/>
      <c r="N532" s="1013"/>
      <c r="O532" s="192"/>
      <c r="P532" s="1014"/>
      <c r="Q532" s="1014"/>
      <c r="R532" s="1001"/>
      <c r="S532" s="1014"/>
      <c r="T532" s="1013"/>
      <c r="U532" s="1015"/>
      <c r="V532" s="1014"/>
      <c r="W532" s="1014"/>
      <c r="X532" s="1001"/>
      <c r="Y532" s="1014"/>
      <c r="Z532" s="1013"/>
      <c r="AA532" s="1015"/>
      <c r="AB532" s="1015"/>
      <c r="AC532" s="194"/>
      <c r="AD532" s="194"/>
      <c r="AE532" s="194"/>
      <c r="AF532" s="194"/>
      <c r="AG532" s="1013"/>
      <c r="AH532" s="1015"/>
      <c r="AJ532" s="79" t="str">
        <f t="shared" si="213"/>
        <v/>
      </c>
      <c r="AK532" s="16" t="str">
        <f t="shared" si="214"/>
        <v/>
      </c>
      <c r="AL532" s="16" t="str">
        <f t="shared" si="215"/>
        <v/>
      </c>
      <c r="AM532" s="16" t="str">
        <f t="shared" si="216"/>
        <v/>
      </c>
      <c r="AN532" s="16" t="str">
        <f t="shared" si="217"/>
        <v/>
      </c>
      <c r="AO532" s="55"/>
      <c r="AP532" s="1250" t="s">
        <v>7</v>
      </c>
      <c r="AQ532" s="1250"/>
      <c r="AR532" s="1250"/>
      <c r="AS532" s="104"/>
      <c r="AT532" s="167"/>
      <c r="AU532" s="167"/>
      <c r="AV532" s="168"/>
      <c r="AW532" s="169"/>
      <c r="AX532" s="94"/>
      <c r="AY532" s="95">
        <f t="shared" si="218"/>
        <v>0</v>
      </c>
    </row>
    <row r="533" spans="1:51" ht="15" customHeight="1" thickBot="1">
      <c r="A533" s="1001"/>
      <c r="B533" s="1010"/>
      <c r="C533" s="1011"/>
      <c r="D533" s="1011"/>
      <c r="E533" s="1011"/>
      <c r="F533" s="1012"/>
      <c r="G533" s="1012"/>
      <c r="H533" s="184"/>
      <c r="I533" s="190"/>
      <c r="J533" s="1001"/>
      <c r="K533" s="1001"/>
      <c r="L533" s="186"/>
      <c r="M533" s="1001"/>
      <c r="N533" s="1013"/>
      <c r="O533" s="192"/>
      <c r="P533" s="1014"/>
      <c r="Q533" s="1014"/>
      <c r="R533" s="1001"/>
      <c r="S533" s="1014"/>
      <c r="T533" s="1013"/>
      <c r="U533" s="1015"/>
      <c r="V533" s="1014"/>
      <c r="W533" s="185"/>
      <c r="X533" s="1001"/>
      <c r="Y533" s="1014"/>
      <c r="Z533" s="1013"/>
      <c r="AA533" s="1015"/>
      <c r="AB533" s="1015"/>
      <c r="AC533" s="194"/>
      <c r="AD533" s="194"/>
      <c r="AE533" s="194"/>
      <c r="AF533" s="194"/>
      <c r="AG533" s="1013"/>
      <c r="AH533" s="1015"/>
      <c r="AJ533" s="79" t="str">
        <f t="shared" si="213"/>
        <v/>
      </c>
      <c r="AK533" s="16" t="str">
        <f t="shared" si="214"/>
        <v/>
      </c>
      <c r="AL533" s="16" t="str">
        <f t="shared" si="215"/>
        <v/>
      </c>
      <c r="AM533" s="16" t="str">
        <f t="shared" si="216"/>
        <v/>
      </c>
      <c r="AN533" s="16" t="str">
        <f t="shared" si="217"/>
        <v/>
      </c>
      <c r="AO533" s="73">
        <v>160</v>
      </c>
      <c r="AP533" s="1250"/>
      <c r="AQ533" s="1250"/>
      <c r="AR533" s="1250"/>
      <c r="AS533" s="55"/>
      <c r="AT533" s="167"/>
      <c r="AU533" s="167"/>
      <c r="AV533" s="168"/>
      <c r="AW533" s="169"/>
      <c r="AX533" s="94"/>
      <c r="AY533" s="95">
        <f t="shared" si="218"/>
        <v>0</v>
      </c>
    </row>
    <row r="534" spans="1:51" ht="15" customHeight="1" thickBot="1">
      <c r="A534" s="1001"/>
      <c r="B534" s="1010"/>
      <c r="C534" s="1011"/>
      <c r="D534" s="1011"/>
      <c r="E534" s="1011"/>
      <c r="F534" s="1012"/>
      <c r="G534" s="1012"/>
      <c r="H534" s="184"/>
      <c r="I534" s="190"/>
      <c r="J534" s="1001"/>
      <c r="K534" s="1001"/>
      <c r="L534" s="186"/>
      <c r="M534" s="1001"/>
      <c r="N534" s="1013"/>
      <c r="O534" s="192"/>
      <c r="P534" s="1014"/>
      <c r="Q534" s="185"/>
      <c r="R534" s="1018"/>
      <c r="S534" s="1014"/>
      <c r="T534" s="1013"/>
      <c r="U534" s="1015"/>
      <c r="V534" s="1014"/>
      <c r="W534" s="185"/>
      <c r="X534" s="1001"/>
      <c r="Y534" s="1014"/>
      <c r="Z534" s="1013"/>
      <c r="AA534" s="1015"/>
      <c r="AB534" s="1015"/>
      <c r="AC534" s="194"/>
      <c r="AD534" s="194"/>
      <c r="AE534" s="194"/>
      <c r="AF534" s="194"/>
      <c r="AG534" s="1013"/>
      <c r="AH534" s="1015"/>
      <c r="AJ534" s="79" t="str">
        <f t="shared" si="213"/>
        <v/>
      </c>
      <c r="AK534" s="16" t="str">
        <f t="shared" si="214"/>
        <v/>
      </c>
      <c r="AL534" s="16" t="str">
        <f t="shared" si="215"/>
        <v/>
      </c>
      <c r="AM534" s="16" t="str">
        <f t="shared" si="216"/>
        <v/>
      </c>
      <c r="AN534" s="16" t="str">
        <f t="shared" si="217"/>
        <v/>
      </c>
      <c r="AO534" s="55"/>
      <c r="AP534" s="1250"/>
      <c r="AQ534" s="1250"/>
      <c r="AR534" s="1250"/>
      <c r="AS534" s="55"/>
      <c r="AT534" s="167"/>
      <c r="AU534" s="167"/>
      <c r="AV534" s="168"/>
      <c r="AW534" s="169"/>
      <c r="AX534" s="94"/>
      <c r="AY534" s="95">
        <f t="shared" si="218"/>
        <v>0</v>
      </c>
    </row>
    <row r="535" spans="1:51" ht="16.5" customHeight="1">
      <c r="A535" s="1001"/>
      <c r="B535" s="1010"/>
      <c r="C535" s="1011"/>
      <c r="D535" s="1011"/>
      <c r="E535" s="1011"/>
      <c r="F535" s="1012"/>
      <c r="G535" s="1012"/>
      <c r="H535" s="184"/>
      <c r="I535" s="190"/>
      <c r="J535" s="1001"/>
      <c r="K535" s="1001"/>
      <c r="L535" s="186"/>
      <c r="M535" s="1001"/>
      <c r="N535" s="1013"/>
      <c r="O535" s="192"/>
      <c r="P535" s="1014"/>
      <c r="Q535" s="185"/>
      <c r="R535" s="1014"/>
      <c r="S535" s="1014"/>
      <c r="T535" s="1013"/>
      <c r="U535" s="1015"/>
      <c r="V535" s="1014"/>
      <c r="W535" s="185"/>
      <c r="X535" s="1001"/>
      <c r="Y535" s="1014"/>
      <c r="Z535" s="1013"/>
      <c r="AA535" s="1015"/>
      <c r="AB535" s="1015"/>
      <c r="AC535" s="194"/>
      <c r="AD535" s="194"/>
      <c r="AE535" s="194"/>
      <c r="AF535" s="194"/>
      <c r="AG535" s="1013"/>
      <c r="AH535" s="1015"/>
      <c r="AJ535" s="79" t="str">
        <f t="shared" si="213"/>
        <v/>
      </c>
      <c r="AK535" s="16" t="str">
        <f t="shared" si="214"/>
        <v/>
      </c>
      <c r="AL535" s="16" t="str">
        <f t="shared" si="215"/>
        <v/>
      </c>
      <c r="AM535" s="16" t="str">
        <f t="shared" si="216"/>
        <v/>
      </c>
      <c r="AN535" s="16" t="str">
        <f t="shared" si="217"/>
        <v/>
      </c>
      <c r="AO535" s="55"/>
      <c r="AP535" s="117">
        <v>6</v>
      </c>
      <c r="AQ535" s="118"/>
      <c r="AR535" s="100">
        <f>IFERROR(AP535*AQ535*AS538,0)</f>
        <v>0</v>
      </c>
      <c r="AS535" s="55"/>
      <c r="AT535" s="167"/>
      <c r="AU535" s="167"/>
      <c r="AV535" s="168"/>
      <c r="AW535" s="169"/>
      <c r="AX535" s="94"/>
      <c r="AY535" s="95">
        <f t="shared" si="218"/>
        <v>0</v>
      </c>
    </row>
    <row r="536" spans="1:51" ht="16.5" customHeight="1">
      <c r="A536" s="1001"/>
      <c r="B536" s="1010"/>
      <c r="C536" s="1011"/>
      <c r="D536" s="1011"/>
      <c r="E536" s="1011"/>
      <c r="F536" s="1012"/>
      <c r="G536" s="1012"/>
      <c r="H536" s="184"/>
      <c r="I536" s="190"/>
      <c r="J536" s="1001"/>
      <c r="K536" s="1001"/>
      <c r="L536" s="186"/>
      <c r="M536" s="1001"/>
      <c r="N536" s="1013"/>
      <c r="O536" s="192"/>
      <c r="P536" s="1014"/>
      <c r="Q536" s="184"/>
      <c r="R536" s="1018"/>
      <c r="S536" s="1019"/>
      <c r="T536" s="1013"/>
      <c r="U536" s="1015"/>
      <c r="V536" s="1014"/>
      <c r="W536" s="185"/>
      <c r="X536" s="1001"/>
      <c r="Y536" s="1014"/>
      <c r="Z536" s="1013"/>
      <c r="AA536" s="1015"/>
      <c r="AB536" s="1015"/>
      <c r="AC536" s="194"/>
      <c r="AD536" s="194"/>
      <c r="AE536" s="194"/>
      <c r="AF536" s="194"/>
      <c r="AG536" s="1013"/>
      <c r="AH536" s="1015"/>
      <c r="AJ536" s="79" t="str">
        <f t="shared" si="213"/>
        <v/>
      </c>
      <c r="AK536" s="16" t="str">
        <f t="shared" si="214"/>
        <v/>
      </c>
      <c r="AL536" s="16" t="str">
        <f t="shared" si="215"/>
        <v/>
      </c>
      <c r="AM536" s="16" t="str">
        <f t="shared" si="216"/>
        <v/>
      </c>
      <c r="AN536" s="16" t="str">
        <f t="shared" si="217"/>
        <v/>
      </c>
      <c r="AO536" s="55"/>
      <c r="AP536" s="98">
        <v>5</v>
      </c>
      <c r="AQ536" s="99"/>
      <c r="AR536" s="100">
        <f>IFERROR(AP536*AQ536*AS538,0)</f>
        <v>0</v>
      </c>
      <c r="AS536" s="55"/>
      <c r="AT536" s="177"/>
      <c r="AU536" s="178"/>
      <c r="AV536" s="177"/>
      <c r="AW536" s="179"/>
      <c r="AX536" s="94"/>
      <c r="AY536" s="95">
        <f t="shared" si="218"/>
        <v>0</v>
      </c>
    </row>
    <row r="537" spans="1:51" ht="15.75" customHeight="1">
      <c r="A537" s="1001"/>
      <c r="B537" s="1010"/>
      <c r="C537" s="1020"/>
      <c r="D537" s="1021"/>
      <c r="E537" s="1020"/>
      <c r="F537" s="1022"/>
      <c r="G537" s="1022"/>
      <c r="H537" s="184"/>
      <c r="I537" s="190"/>
      <c r="J537" s="1001"/>
      <c r="K537" s="1001"/>
      <c r="L537" s="186"/>
      <c r="M537" s="1001"/>
      <c r="N537" s="1013"/>
      <c r="O537" s="192"/>
      <c r="P537" s="1019"/>
      <c r="Q537" s="184"/>
      <c r="R537" s="1018"/>
      <c r="S537" s="1019"/>
      <c r="T537" s="1013"/>
      <c r="U537" s="1015"/>
      <c r="V537" s="1014"/>
      <c r="W537" s="185"/>
      <c r="X537" s="1001"/>
      <c r="Y537" s="1014"/>
      <c r="Z537" s="1013"/>
      <c r="AA537" s="1015"/>
      <c r="AB537" s="1015"/>
      <c r="AC537" s="194"/>
      <c r="AD537" s="194"/>
      <c r="AE537" s="194"/>
      <c r="AF537" s="194"/>
      <c r="AG537" s="1013"/>
      <c r="AH537" s="1015"/>
      <c r="AJ537" s="79" t="str">
        <f t="shared" si="213"/>
        <v/>
      </c>
      <c r="AK537" s="16" t="str">
        <f t="shared" si="214"/>
        <v/>
      </c>
      <c r="AL537" s="16" t="str">
        <f t="shared" si="215"/>
        <v/>
      </c>
      <c r="AM537" s="16" t="str">
        <f t="shared" si="216"/>
        <v/>
      </c>
      <c r="AN537" s="16" t="str">
        <f t="shared" si="217"/>
        <v/>
      </c>
      <c r="AO537" s="104"/>
      <c r="AP537" s="98">
        <v>4</v>
      </c>
      <c r="AQ537" s="99"/>
      <c r="AR537" s="100">
        <f>IFERROR(AP537*AQ537*AS538,0)</f>
        <v>0</v>
      </c>
      <c r="AS537" s="55"/>
      <c r="AT537" s="167"/>
      <c r="AU537" s="165"/>
      <c r="AV537" s="168"/>
      <c r="AW537" s="169"/>
      <c r="AX537" s="94"/>
      <c r="AY537" s="95">
        <f t="shared" si="218"/>
        <v>0</v>
      </c>
    </row>
    <row r="538" spans="1:51" ht="15" customHeight="1">
      <c r="A538" s="1001"/>
      <c r="B538" s="1001"/>
      <c r="C538" s="1023"/>
      <c r="D538" s="1023"/>
      <c r="E538" s="1023"/>
      <c r="F538" s="1024"/>
      <c r="G538" s="1024"/>
      <c r="H538" s="1001"/>
      <c r="I538" s="1001"/>
      <c r="J538" s="201"/>
      <c r="K538" s="201"/>
      <c r="L538" s="201"/>
      <c r="M538" s="201"/>
      <c r="N538" s="1025"/>
      <c r="O538" s="1002"/>
      <c r="P538" s="1001"/>
      <c r="Q538" s="1001"/>
      <c r="R538" s="1001"/>
      <c r="S538" s="1003"/>
      <c r="T538" s="1001"/>
      <c r="U538" s="1004"/>
      <c r="V538" s="1001"/>
      <c r="W538" s="1001"/>
      <c r="X538" s="1001"/>
      <c r="Y538" s="1001"/>
      <c r="Z538" s="1001"/>
      <c r="AA538" s="1004"/>
      <c r="AB538" s="1001"/>
      <c r="AC538" s="1001"/>
      <c r="AD538" s="1001"/>
      <c r="AE538" s="1001"/>
      <c r="AF538" s="1001"/>
      <c r="AG538" s="54"/>
      <c r="AH538" s="54"/>
      <c r="AK538" s="2"/>
      <c r="AL538" s="2"/>
      <c r="AM538" s="2"/>
      <c r="AN538" s="2"/>
      <c r="AO538" s="55"/>
      <c r="AP538" s="98">
        <v>3</v>
      </c>
      <c r="AQ538" s="109"/>
      <c r="AR538" s="100">
        <f>IFERROR(AP538*AQ538*AS538,0)</f>
        <v>0</v>
      </c>
      <c r="AS538" s="48">
        <f>IFERROR(AR539/((AP538*AQ538)+(AP537*AQ537)+(AP536*AQ536)+(AP535*AQ535)),0)</f>
        <v>0</v>
      </c>
    </row>
    <row r="539" spans="1:51" ht="15.75" customHeight="1" thickBot="1">
      <c r="A539" s="1001"/>
      <c r="B539" s="1001"/>
      <c r="C539" s="1023"/>
      <c r="D539" s="1023"/>
      <c r="E539" s="1023"/>
      <c r="F539" s="1024"/>
      <c r="G539" s="1024"/>
      <c r="H539" s="184"/>
      <c r="I539" s="190"/>
      <c r="J539" s="1026"/>
      <c r="K539" s="1026"/>
      <c r="L539" s="1026"/>
      <c r="M539" s="1026"/>
      <c r="N539" s="1013"/>
      <c r="O539" s="192"/>
      <c r="P539" s="1027"/>
      <c r="Q539" s="1027"/>
      <c r="R539" s="1027"/>
      <c r="S539" s="1027"/>
      <c r="T539" s="1018"/>
      <c r="U539" s="1018"/>
      <c r="V539" s="1027"/>
      <c r="W539" s="1027"/>
      <c r="X539" s="1027"/>
      <c r="Y539" s="1027"/>
      <c r="Z539" s="1001"/>
      <c r="AA539" s="1001"/>
      <c r="AB539" s="1001"/>
      <c r="AC539" s="1027"/>
      <c r="AD539" s="1027"/>
      <c r="AE539" s="1027"/>
      <c r="AF539" s="1027"/>
      <c r="AG539" s="54"/>
      <c r="AH539" s="54"/>
      <c r="AK539" s="154">
        <f>SUM(AK526:AK538)</f>
        <v>0</v>
      </c>
      <c r="AL539" s="154">
        <f>SUM(AL526:AL538)</f>
        <v>0</v>
      </c>
      <c r="AM539" s="154">
        <f>SUM(AM526:AM538)</f>
        <v>0</v>
      </c>
      <c r="AN539" s="154">
        <f>SUM(AN526:AN538)</f>
        <v>0</v>
      </c>
      <c r="AO539" s="55"/>
      <c r="AP539" s="111"/>
      <c r="AQ539" s="112"/>
      <c r="AR539" s="155"/>
      <c r="AS539" s="55"/>
    </row>
    <row r="540" spans="1:51" ht="15" customHeight="1">
      <c r="A540" s="1028"/>
      <c r="B540" s="1001"/>
      <c r="C540" s="1001"/>
      <c r="D540" s="1001"/>
      <c r="E540" s="1001"/>
      <c r="F540" s="1001"/>
      <c r="G540" s="1001"/>
      <c r="H540" s="1018"/>
      <c r="I540" s="190"/>
      <c r="J540" s="1026"/>
      <c r="K540" s="1026"/>
      <c r="L540" s="1026"/>
      <c r="M540" s="1026"/>
      <c r="N540" s="1013"/>
      <c r="O540" s="192"/>
      <c r="P540" s="1027"/>
      <c r="Q540" s="1027"/>
      <c r="R540" s="1027"/>
      <c r="S540" s="1027"/>
      <c r="T540" s="1029"/>
      <c r="U540" s="1030"/>
      <c r="V540" s="1027"/>
      <c r="W540" s="1027"/>
      <c r="X540" s="1027"/>
      <c r="Y540" s="1027"/>
      <c r="Z540" s="1031"/>
      <c r="AA540" s="1032"/>
      <c r="AB540" s="1033"/>
      <c r="AC540" s="1027"/>
      <c r="AD540" s="1027"/>
      <c r="AE540" s="1027"/>
      <c r="AF540" s="1027"/>
      <c r="AG540" s="54"/>
      <c r="AH540" s="1030"/>
      <c r="AK540" s="48"/>
      <c r="AL540" s="48"/>
      <c r="AM540" s="48"/>
      <c r="AN540" s="48"/>
      <c r="AO540" s="55"/>
      <c r="AP540" s="55"/>
      <c r="AQ540" s="55"/>
      <c r="AR540" s="157">
        <f>AR531+AR539</f>
        <v>0</v>
      </c>
      <c r="AS540" s="55"/>
    </row>
    <row r="541" spans="1:51" ht="19.5" customHeight="1" thickBo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  <c r="AC541" s="182"/>
      <c r="AD541" s="182"/>
      <c r="AE541" s="182"/>
      <c r="AF541" s="182"/>
      <c r="AG541" s="183"/>
      <c r="AH541" s="183"/>
      <c r="AK541" s="48"/>
      <c r="AL541" s="48"/>
      <c r="AM541" s="48"/>
      <c r="AN541" s="48"/>
      <c r="AO541" s="48"/>
      <c r="AP541" s="48"/>
      <c r="AQ541" s="48"/>
      <c r="AR541" s="48"/>
      <c r="AS541" s="48"/>
    </row>
    <row r="542" spans="1:51" ht="14.25" customHeight="1" thickBot="1">
      <c r="A542" s="1252"/>
      <c r="B542" s="1253"/>
      <c r="C542" s="1254"/>
      <c r="D542" s="1254"/>
      <c r="E542" s="1254"/>
      <c r="F542" s="1254"/>
      <c r="G542" s="1254"/>
      <c r="H542" s="1253"/>
      <c r="I542" s="1254"/>
      <c r="J542" s="1253"/>
      <c r="K542" s="1253"/>
      <c r="L542" s="1253"/>
      <c r="M542" s="1253"/>
      <c r="N542" s="1255"/>
      <c r="O542" s="1254"/>
      <c r="P542" s="1254"/>
      <c r="Q542" s="1254"/>
      <c r="R542" s="1254"/>
      <c r="S542" s="1254"/>
      <c r="T542" s="1255"/>
      <c r="U542" s="1254"/>
      <c r="V542" s="1254"/>
      <c r="W542" s="1254"/>
      <c r="X542" s="1254"/>
      <c r="Y542" s="1254"/>
      <c r="Z542" s="1255"/>
      <c r="AA542" s="1254"/>
      <c r="AB542" s="1254"/>
      <c r="AC542" s="1256"/>
      <c r="AD542" s="1256"/>
      <c r="AE542" s="1256"/>
      <c r="AF542" s="1256"/>
      <c r="AG542" s="1255"/>
      <c r="AH542" s="1254"/>
      <c r="AK542" s="1257" t="s">
        <v>37</v>
      </c>
      <c r="AL542" s="1257"/>
      <c r="AM542" s="1257"/>
      <c r="AN542" s="1257"/>
      <c r="AO542" s="55"/>
      <c r="AP542" s="1250" t="s">
        <v>7</v>
      </c>
      <c r="AQ542" s="1250"/>
      <c r="AR542" s="1250"/>
      <c r="AS542" s="55"/>
      <c r="AT542" s="1251" t="s">
        <v>38</v>
      </c>
      <c r="AU542" s="1251"/>
      <c r="AV542" s="1251"/>
      <c r="AW542" s="1251"/>
      <c r="AX542" s="94" t="s">
        <v>39</v>
      </c>
      <c r="AY542" s="95" t="s">
        <v>12</v>
      </c>
    </row>
    <row r="543" spans="1:51" ht="18" customHeight="1" thickBot="1">
      <c r="A543" s="1252"/>
      <c r="B543" s="1252"/>
      <c r="C543" s="186"/>
      <c r="D543" s="186"/>
      <c r="E543" s="186"/>
      <c r="F543" s="186"/>
      <c r="G543" s="186"/>
      <c r="H543" s="1253"/>
      <c r="I543" s="1254"/>
      <c r="J543" s="185"/>
      <c r="K543" s="185"/>
      <c r="L543" s="185"/>
      <c r="M543" s="185"/>
      <c r="N543" s="1255"/>
      <c r="O543" s="1255"/>
      <c r="P543" s="186"/>
      <c r="Q543" s="185"/>
      <c r="R543" s="185"/>
      <c r="S543" s="185"/>
      <c r="T543" s="1255"/>
      <c r="U543" s="1255"/>
      <c r="V543" s="186"/>
      <c r="W543" s="185"/>
      <c r="X543" s="185"/>
      <c r="Y543" s="185"/>
      <c r="Z543" s="1255"/>
      <c r="AA543" s="1255"/>
      <c r="AB543" s="1255"/>
      <c r="AC543" s="186"/>
      <c r="AD543" s="185"/>
      <c r="AE543" s="185"/>
      <c r="AF543" s="185"/>
      <c r="AG543" s="1255"/>
      <c r="AH543" s="1255"/>
      <c r="AK543" s="162" t="s">
        <v>49</v>
      </c>
      <c r="AL543" s="162" t="s">
        <v>50</v>
      </c>
      <c r="AM543" s="162" t="s">
        <v>51</v>
      </c>
      <c r="AN543" s="162" t="s">
        <v>52</v>
      </c>
      <c r="AO543" s="73">
        <v>130</v>
      </c>
      <c r="AP543" s="1250"/>
      <c r="AQ543" s="1250"/>
      <c r="AR543" s="1250"/>
      <c r="AS543" s="55"/>
      <c r="AT543" s="164" t="s">
        <v>45</v>
      </c>
      <c r="AU543" s="165" t="s">
        <v>46</v>
      </c>
      <c r="AV543" s="166" t="s">
        <v>47</v>
      </c>
      <c r="AW543" s="161" t="s">
        <v>48</v>
      </c>
      <c r="AX543" s="94"/>
      <c r="AY543" s="95"/>
    </row>
    <row r="544" spans="1:51" ht="15" customHeight="1" thickBot="1">
      <c r="A544" s="187"/>
      <c r="B544" s="186"/>
      <c r="C544" s="188"/>
      <c r="D544" s="188"/>
      <c r="E544" s="188"/>
      <c r="F544" s="189"/>
      <c r="G544" s="189"/>
      <c r="H544" s="184"/>
      <c r="I544" s="190"/>
      <c r="J544" s="186"/>
      <c r="K544" s="186"/>
      <c r="L544" s="186"/>
      <c r="M544" s="186"/>
      <c r="N544" s="191"/>
      <c r="O544" s="192"/>
      <c r="P544" s="193"/>
      <c r="Q544" s="193"/>
      <c r="R544" s="186"/>
      <c r="S544" s="193"/>
      <c r="T544" s="191"/>
      <c r="U544" s="192"/>
      <c r="V544" s="193"/>
      <c r="W544" s="193"/>
      <c r="X544" s="186"/>
      <c r="Y544" s="193"/>
      <c r="Z544" s="191"/>
      <c r="AA544" s="192"/>
      <c r="AB544" s="192"/>
      <c r="AC544" s="194"/>
      <c r="AD544" s="194"/>
      <c r="AE544" s="194"/>
      <c r="AF544" s="194"/>
      <c r="AG544" s="191"/>
      <c r="AH544" s="192"/>
      <c r="AJ544" s="79" t="str">
        <f t="shared" ref="AJ544:AJ555" si="219">IF(H544=130,0.132335,IF(H544=100,0.0785,IF(H544=110,0.095,IF(H544=160,0.198005,""))))</f>
        <v/>
      </c>
      <c r="AK544" s="16" t="str">
        <f t="shared" ref="AK544:AK555" si="220">IFERROR(P544*3*AJ544,"")</f>
        <v/>
      </c>
      <c r="AL544" s="16" t="str">
        <f t="shared" ref="AL544:AL555" si="221">IFERROR(Q544*4*AJ544,"")</f>
        <v/>
      </c>
      <c r="AM544" s="16" t="str">
        <f t="shared" ref="AM544:AM555" si="222">IFERROR(R544*5*AJ544,"")</f>
        <v/>
      </c>
      <c r="AN544" s="16" t="str">
        <f t="shared" ref="AN544:AN555" si="223">IFERROR(S544*6*AJ544,"")</f>
        <v/>
      </c>
      <c r="AO544" s="55"/>
      <c r="AP544" s="1250"/>
      <c r="AQ544" s="1250"/>
      <c r="AR544" s="1250"/>
      <c r="AS544" s="55"/>
      <c r="AT544" s="167"/>
      <c r="AU544" s="167"/>
      <c r="AV544" s="168"/>
      <c r="AW544" s="169"/>
      <c r="AX544" s="94">
        <f>AT544*3+AU544*4+AV544*5+AW544*6</f>
        <v>0</v>
      </c>
      <c r="AY544" s="95">
        <f t="shared" ref="AY544:AY555" si="224">AX544*I544</f>
        <v>0</v>
      </c>
    </row>
    <row r="545" spans="1:51" ht="15" customHeight="1">
      <c r="A545" s="186"/>
      <c r="B545" s="186"/>
      <c r="C545" s="188"/>
      <c r="D545" s="188"/>
      <c r="E545" s="188"/>
      <c r="F545" s="189"/>
      <c r="G545" s="189"/>
      <c r="H545" s="184"/>
      <c r="I545" s="190"/>
      <c r="J545" s="186"/>
      <c r="K545" s="186"/>
      <c r="L545" s="186"/>
      <c r="M545" s="186"/>
      <c r="N545" s="191"/>
      <c r="O545" s="192"/>
      <c r="P545" s="193"/>
      <c r="Q545" s="193"/>
      <c r="R545" s="186"/>
      <c r="S545" s="193"/>
      <c r="T545" s="191"/>
      <c r="U545" s="192"/>
      <c r="V545" s="193"/>
      <c r="W545" s="193"/>
      <c r="X545" s="186"/>
      <c r="Y545" s="193"/>
      <c r="Z545" s="191"/>
      <c r="AA545" s="192"/>
      <c r="AB545" s="192"/>
      <c r="AC545" s="194"/>
      <c r="AD545" s="194"/>
      <c r="AE545" s="194"/>
      <c r="AF545" s="194"/>
      <c r="AG545" s="191"/>
      <c r="AH545" s="192"/>
      <c r="AJ545" s="79" t="str">
        <f t="shared" si="219"/>
        <v/>
      </c>
      <c r="AK545" s="16" t="str">
        <f t="shared" si="220"/>
        <v/>
      </c>
      <c r="AL545" s="16" t="str">
        <f t="shared" si="221"/>
        <v/>
      </c>
      <c r="AM545" s="16" t="str">
        <f t="shared" si="222"/>
        <v/>
      </c>
      <c r="AN545" s="16" t="str">
        <f t="shared" si="223"/>
        <v/>
      </c>
      <c r="AO545" s="55"/>
      <c r="AP545" s="98">
        <v>6</v>
      </c>
      <c r="AQ545" s="99"/>
      <c r="AR545" s="100">
        <f>IFERROR(AP545*AQ545*AS548,0)</f>
        <v>0</v>
      </c>
      <c r="AS545" s="55"/>
      <c r="AT545" s="167"/>
      <c r="AU545" s="167"/>
      <c r="AV545" s="164"/>
      <c r="AW545" s="169"/>
      <c r="AX545" s="94">
        <f>AT545*3+AU545*4+AV545*5+AW545*6</f>
        <v>0</v>
      </c>
      <c r="AY545" s="95">
        <f t="shared" si="224"/>
        <v>0</v>
      </c>
    </row>
    <row r="546" spans="1:51" ht="15" customHeight="1">
      <c r="A546" s="186"/>
      <c r="B546" s="186"/>
      <c r="C546" s="195"/>
      <c r="D546" s="195"/>
      <c r="E546" s="195"/>
      <c r="F546" s="196"/>
      <c r="G546" s="196"/>
      <c r="H546" s="184"/>
      <c r="I546" s="190"/>
      <c r="J546" s="186"/>
      <c r="K546" s="186"/>
      <c r="L546" s="186"/>
      <c r="M546" s="186"/>
      <c r="N546" s="191"/>
      <c r="O546" s="192"/>
      <c r="P546" s="193"/>
      <c r="Q546" s="193"/>
      <c r="R546" s="186"/>
      <c r="S546" s="193"/>
      <c r="T546" s="191"/>
      <c r="U546" s="192"/>
      <c r="V546" s="193"/>
      <c r="W546" s="193"/>
      <c r="X546" s="186"/>
      <c r="Y546" s="193"/>
      <c r="Z546" s="191"/>
      <c r="AA546" s="192"/>
      <c r="AB546" s="192"/>
      <c r="AC546" s="194"/>
      <c r="AD546" s="194"/>
      <c r="AE546" s="194"/>
      <c r="AF546" s="194"/>
      <c r="AG546" s="191"/>
      <c r="AH546" s="192"/>
      <c r="AJ546" s="79" t="str">
        <f t="shared" si="219"/>
        <v/>
      </c>
      <c r="AK546" s="16" t="str">
        <f t="shared" si="220"/>
        <v/>
      </c>
      <c r="AL546" s="16" t="str">
        <f t="shared" si="221"/>
        <v/>
      </c>
      <c r="AM546" s="16" t="str">
        <f t="shared" si="222"/>
        <v/>
      </c>
      <c r="AN546" s="16" t="str">
        <f t="shared" si="223"/>
        <v/>
      </c>
      <c r="AO546" s="55"/>
      <c r="AP546" s="98">
        <v>5</v>
      </c>
      <c r="AQ546" s="99"/>
      <c r="AR546" s="100">
        <f>IFERROR(AP546*AQ546*AS548,0)</f>
        <v>0</v>
      </c>
      <c r="AS546" s="104"/>
      <c r="AT546" s="167"/>
      <c r="AU546" s="167"/>
      <c r="AV546" s="164"/>
      <c r="AW546" s="169"/>
      <c r="AX546" s="94">
        <f>AT546*3+AU546*4+AV546*5+AW546*6</f>
        <v>0</v>
      </c>
      <c r="AY546" s="95">
        <f t="shared" si="224"/>
        <v>0</v>
      </c>
    </row>
    <row r="547" spans="1:51" ht="15" customHeight="1">
      <c r="A547" s="186"/>
      <c r="B547" s="186"/>
      <c r="C547" s="188"/>
      <c r="D547" s="188"/>
      <c r="E547" s="188"/>
      <c r="F547" s="189"/>
      <c r="G547" s="189"/>
      <c r="H547" s="184"/>
      <c r="I547" s="190"/>
      <c r="J547" s="186"/>
      <c r="K547" s="186"/>
      <c r="L547" s="186"/>
      <c r="M547" s="186"/>
      <c r="N547" s="191"/>
      <c r="O547" s="192"/>
      <c r="P547" s="193"/>
      <c r="Q547" s="193"/>
      <c r="R547" s="186"/>
      <c r="S547" s="193"/>
      <c r="T547" s="191"/>
      <c r="U547" s="192"/>
      <c r="V547" s="193"/>
      <c r="W547" s="193"/>
      <c r="X547" s="186"/>
      <c r="Y547" s="193"/>
      <c r="Z547" s="191"/>
      <c r="AA547" s="192"/>
      <c r="AB547" s="192"/>
      <c r="AC547" s="194"/>
      <c r="AD547" s="194"/>
      <c r="AE547" s="194"/>
      <c r="AF547" s="194"/>
      <c r="AG547" s="191"/>
      <c r="AH547" s="192"/>
      <c r="AJ547" s="79" t="str">
        <f t="shared" si="219"/>
        <v/>
      </c>
      <c r="AK547" s="16" t="str">
        <f t="shared" si="220"/>
        <v/>
      </c>
      <c r="AL547" s="16" t="str">
        <f t="shared" si="221"/>
        <v/>
      </c>
      <c r="AM547" s="16" t="str">
        <f t="shared" si="222"/>
        <v/>
      </c>
      <c r="AN547" s="16" t="str">
        <f t="shared" si="223"/>
        <v/>
      </c>
      <c r="AO547" s="55"/>
      <c r="AP547" s="98">
        <v>4</v>
      </c>
      <c r="AQ547" s="99"/>
      <c r="AR547" s="100">
        <f>IFERROR(AP547*AQ547*AS548,0)</f>
        <v>0</v>
      </c>
      <c r="AS547" s="104"/>
      <c r="AT547" s="167"/>
      <c r="AU547" s="167"/>
      <c r="AV547" s="168"/>
      <c r="AW547" s="169"/>
      <c r="AX547" s="94"/>
      <c r="AY547" s="95">
        <f t="shared" si="224"/>
        <v>0</v>
      </c>
    </row>
    <row r="548" spans="1:51" ht="15" customHeight="1">
      <c r="A548" s="186"/>
      <c r="B548" s="186"/>
      <c r="C548" s="188"/>
      <c r="D548" s="188"/>
      <c r="E548" s="188"/>
      <c r="F548" s="189"/>
      <c r="G548" s="189"/>
      <c r="H548" s="184"/>
      <c r="I548" s="190"/>
      <c r="J548" s="186"/>
      <c r="K548" s="186"/>
      <c r="L548" s="186"/>
      <c r="M548" s="186"/>
      <c r="N548" s="191"/>
      <c r="O548" s="192"/>
      <c r="P548" s="193"/>
      <c r="Q548" s="193"/>
      <c r="R548" s="186"/>
      <c r="S548" s="193"/>
      <c r="T548" s="191"/>
      <c r="U548" s="192"/>
      <c r="V548" s="193"/>
      <c r="W548" s="193"/>
      <c r="X548" s="186"/>
      <c r="Y548" s="193"/>
      <c r="Z548" s="191"/>
      <c r="AA548" s="192"/>
      <c r="AB548" s="192"/>
      <c r="AC548" s="194"/>
      <c r="AD548" s="194"/>
      <c r="AE548" s="194"/>
      <c r="AF548" s="194"/>
      <c r="AG548" s="191"/>
      <c r="AH548" s="192"/>
      <c r="AJ548" s="79" t="str">
        <f t="shared" si="219"/>
        <v/>
      </c>
      <c r="AK548" s="16" t="str">
        <f t="shared" si="220"/>
        <v/>
      </c>
      <c r="AL548" s="16" t="str">
        <f t="shared" si="221"/>
        <v/>
      </c>
      <c r="AM548" s="16" t="str">
        <f t="shared" si="222"/>
        <v/>
      </c>
      <c r="AN548" s="16" t="str">
        <f t="shared" si="223"/>
        <v/>
      </c>
      <c r="AO548" s="55"/>
      <c r="AP548" s="98">
        <v>3</v>
      </c>
      <c r="AQ548" s="109"/>
      <c r="AR548" s="100">
        <f>IFERROR(AP548*AQ548*AS548,0)</f>
        <v>0</v>
      </c>
      <c r="AS548" s="48">
        <f>IFERROR(AR549/((AP548*AQ548)+(AP547*AQ547)+(AP546*AQ546)+(AP545*AQ545)),0)</f>
        <v>0</v>
      </c>
      <c r="AT548" s="167"/>
      <c r="AU548" s="167"/>
      <c r="AV548" s="168"/>
      <c r="AW548" s="169"/>
      <c r="AX548" s="94"/>
      <c r="AY548" s="95">
        <f t="shared" si="224"/>
        <v>0</v>
      </c>
    </row>
    <row r="549" spans="1:51" ht="14.25" customHeight="1" thickBot="1">
      <c r="A549" s="186"/>
      <c r="B549" s="186"/>
      <c r="C549" s="188"/>
      <c r="D549" s="188"/>
      <c r="E549" s="188"/>
      <c r="F549" s="189"/>
      <c r="G549" s="189"/>
      <c r="H549" s="184"/>
      <c r="I549" s="190"/>
      <c r="J549" s="186"/>
      <c r="K549" s="186"/>
      <c r="L549" s="186"/>
      <c r="M549" s="186"/>
      <c r="N549" s="191"/>
      <c r="O549" s="192"/>
      <c r="P549" s="185"/>
      <c r="Q549" s="193"/>
      <c r="R549" s="186"/>
      <c r="S549" s="193"/>
      <c r="T549" s="191"/>
      <c r="U549" s="192"/>
      <c r="V549" s="185"/>
      <c r="W549" s="193"/>
      <c r="X549" s="186"/>
      <c r="Y549" s="193"/>
      <c r="Z549" s="191"/>
      <c r="AA549" s="192"/>
      <c r="AB549" s="192"/>
      <c r="AC549" s="194"/>
      <c r="AD549" s="194"/>
      <c r="AE549" s="194"/>
      <c r="AF549" s="194"/>
      <c r="AG549" s="191"/>
      <c r="AH549" s="192"/>
      <c r="AJ549" s="79" t="str">
        <f t="shared" si="219"/>
        <v/>
      </c>
      <c r="AK549" s="16" t="str">
        <f t="shared" si="220"/>
        <v/>
      </c>
      <c r="AL549" s="16" t="str">
        <f t="shared" si="221"/>
        <v/>
      </c>
      <c r="AM549" s="16" t="str">
        <f t="shared" si="222"/>
        <v/>
      </c>
      <c r="AN549" s="16" t="str">
        <f t="shared" si="223"/>
        <v/>
      </c>
      <c r="AO549" s="55"/>
      <c r="AP549" s="111"/>
      <c r="AQ549" s="112"/>
      <c r="AR549" s="113"/>
      <c r="AS549" s="104"/>
      <c r="AT549" s="167"/>
      <c r="AU549" s="167"/>
      <c r="AV549" s="168"/>
      <c r="AW549" s="169"/>
      <c r="AX549" s="94"/>
      <c r="AY549" s="95">
        <f t="shared" si="224"/>
        <v>0</v>
      </c>
    </row>
    <row r="550" spans="1:51" ht="14.25" customHeight="1" thickBot="1">
      <c r="A550" s="186"/>
      <c r="B550" s="186"/>
      <c r="C550" s="188"/>
      <c r="D550" s="188"/>
      <c r="E550" s="188"/>
      <c r="F550" s="189"/>
      <c r="G550" s="189"/>
      <c r="H550" s="184"/>
      <c r="I550" s="190"/>
      <c r="J550" s="186"/>
      <c r="K550" s="186"/>
      <c r="L550" s="186"/>
      <c r="M550" s="186"/>
      <c r="N550" s="191"/>
      <c r="O550" s="192"/>
      <c r="P550" s="193"/>
      <c r="Q550" s="193"/>
      <c r="R550" s="186"/>
      <c r="S550" s="193"/>
      <c r="T550" s="191"/>
      <c r="U550" s="192"/>
      <c r="V550" s="193"/>
      <c r="W550" s="193"/>
      <c r="X550" s="186"/>
      <c r="Y550" s="193"/>
      <c r="Z550" s="191"/>
      <c r="AA550" s="192"/>
      <c r="AB550" s="192"/>
      <c r="AC550" s="194"/>
      <c r="AD550" s="194"/>
      <c r="AE550" s="194"/>
      <c r="AF550" s="194"/>
      <c r="AG550" s="191"/>
      <c r="AH550" s="192"/>
      <c r="AJ550" s="79" t="str">
        <f t="shared" si="219"/>
        <v/>
      </c>
      <c r="AK550" s="16" t="str">
        <f t="shared" si="220"/>
        <v/>
      </c>
      <c r="AL550" s="16" t="str">
        <f t="shared" si="221"/>
        <v/>
      </c>
      <c r="AM550" s="16" t="str">
        <f t="shared" si="222"/>
        <v/>
      </c>
      <c r="AN550" s="16" t="str">
        <f t="shared" si="223"/>
        <v/>
      </c>
      <c r="AO550" s="55"/>
      <c r="AP550" s="1250" t="s">
        <v>7</v>
      </c>
      <c r="AQ550" s="1250"/>
      <c r="AR550" s="1250"/>
      <c r="AS550" s="104"/>
      <c r="AT550" s="167"/>
      <c r="AU550" s="167"/>
      <c r="AV550" s="168"/>
      <c r="AW550" s="169"/>
      <c r="AX550" s="94"/>
      <c r="AY550" s="95">
        <f t="shared" si="224"/>
        <v>0</v>
      </c>
    </row>
    <row r="551" spans="1:51" ht="15" customHeight="1" thickBot="1">
      <c r="A551" s="186"/>
      <c r="B551" s="186"/>
      <c r="C551" s="188"/>
      <c r="D551" s="188"/>
      <c r="E551" s="188"/>
      <c r="F551" s="189"/>
      <c r="G551" s="189"/>
      <c r="H551" s="184"/>
      <c r="I551" s="190"/>
      <c r="J551" s="186"/>
      <c r="K551" s="186"/>
      <c r="L551" s="186"/>
      <c r="M551" s="186"/>
      <c r="N551" s="191"/>
      <c r="O551" s="192"/>
      <c r="P551" s="193"/>
      <c r="Q551" s="193"/>
      <c r="R551" s="186"/>
      <c r="S551" s="193"/>
      <c r="T551" s="191"/>
      <c r="U551" s="192"/>
      <c r="V551" s="193"/>
      <c r="W551" s="185"/>
      <c r="X551" s="186"/>
      <c r="Y551" s="193"/>
      <c r="Z551" s="191"/>
      <c r="AA551" s="192"/>
      <c r="AB551" s="192"/>
      <c r="AC551" s="194"/>
      <c r="AD551" s="194"/>
      <c r="AE551" s="194"/>
      <c r="AF551" s="194"/>
      <c r="AG551" s="191"/>
      <c r="AH551" s="192"/>
      <c r="AJ551" s="79" t="str">
        <f t="shared" si="219"/>
        <v/>
      </c>
      <c r="AK551" s="16" t="str">
        <f t="shared" si="220"/>
        <v/>
      </c>
      <c r="AL551" s="16" t="str">
        <f t="shared" si="221"/>
        <v/>
      </c>
      <c r="AM551" s="16" t="str">
        <f t="shared" si="222"/>
        <v/>
      </c>
      <c r="AN551" s="16" t="str">
        <f t="shared" si="223"/>
        <v/>
      </c>
      <c r="AO551" s="73">
        <v>160</v>
      </c>
      <c r="AP551" s="1250"/>
      <c r="AQ551" s="1250"/>
      <c r="AR551" s="1250"/>
      <c r="AS551" s="55"/>
      <c r="AT551" s="167"/>
      <c r="AU551" s="167"/>
      <c r="AV551" s="168"/>
      <c r="AW551" s="169"/>
      <c r="AX551" s="94"/>
      <c r="AY551" s="95">
        <f t="shared" si="224"/>
        <v>0</v>
      </c>
    </row>
    <row r="552" spans="1:51" ht="15" customHeight="1" thickBot="1">
      <c r="A552" s="186"/>
      <c r="B552" s="186"/>
      <c r="C552" s="188"/>
      <c r="D552" s="188"/>
      <c r="E552" s="188"/>
      <c r="F552" s="189"/>
      <c r="G552" s="189"/>
      <c r="H552" s="184"/>
      <c r="I552" s="190"/>
      <c r="J552" s="186"/>
      <c r="K552" s="186"/>
      <c r="L552" s="186"/>
      <c r="M552" s="186"/>
      <c r="N552" s="191"/>
      <c r="O552" s="192"/>
      <c r="P552" s="193"/>
      <c r="Q552" s="185"/>
      <c r="R552" s="184"/>
      <c r="S552" s="193"/>
      <c r="T552" s="191"/>
      <c r="U552" s="192"/>
      <c r="V552" s="193"/>
      <c r="W552" s="185"/>
      <c r="X552" s="186"/>
      <c r="Y552" s="193"/>
      <c r="Z552" s="191"/>
      <c r="AA552" s="192"/>
      <c r="AB552" s="192"/>
      <c r="AC552" s="194"/>
      <c r="AD552" s="194"/>
      <c r="AE552" s="194"/>
      <c r="AF552" s="194"/>
      <c r="AG552" s="191"/>
      <c r="AH552" s="192"/>
      <c r="AJ552" s="79" t="str">
        <f t="shared" si="219"/>
        <v/>
      </c>
      <c r="AK552" s="16" t="str">
        <f t="shared" si="220"/>
        <v/>
      </c>
      <c r="AL552" s="16" t="str">
        <f t="shared" si="221"/>
        <v/>
      </c>
      <c r="AM552" s="16" t="str">
        <f t="shared" si="222"/>
        <v/>
      </c>
      <c r="AN552" s="16" t="str">
        <f t="shared" si="223"/>
        <v/>
      </c>
      <c r="AO552" s="55"/>
      <c r="AP552" s="1250"/>
      <c r="AQ552" s="1250"/>
      <c r="AR552" s="1250"/>
      <c r="AS552" s="55"/>
      <c r="AT552" s="167"/>
      <c r="AU552" s="167"/>
      <c r="AV552" s="168"/>
      <c r="AW552" s="169"/>
      <c r="AX552" s="94"/>
      <c r="AY552" s="95">
        <f t="shared" si="224"/>
        <v>0</v>
      </c>
    </row>
    <row r="553" spans="1:51" ht="16.5" customHeight="1">
      <c r="A553" s="186"/>
      <c r="B553" s="186"/>
      <c r="C553" s="188"/>
      <c r="D553" s="188"/>
      <c r="E553" s="188"/>
      <c r="F553" s="189"/>
      <c r="G553" s="189"/>
      <c r="H553" s="184"/>
      <c r="I553" s="190"/>
      <c r="J553" s="186"/>
      <c r="K553" s="186"/>
      <c r="L553" s="186"/>
      <c r="M553" s="186"/>
      <c r="N553" s="191"/>
      <c r="O553" s="192"/>
      <c r="P553" s="193"/>
      <c r="Q553" s="185"/>
      <c r="R553" s="193"/>
      <c r="S553" s="193"/>
      <c r="T553" s="191"/>
      <c r="U553" s="192"/>
      <c r="V553" s="193"/>
      <c r="W553" s="185"/>
      <c r="X553" s="186"/>
      <c r="Y553" s="193"/>
      <c r="Z553" s="191"/>
      <c r="AA553" s="192"/>
      <c r="AB553" s="192"/>
      <c r="AC553" s="194"/>
      <c r="AD553" s="194"/>
      <c r="AE553" s="194"/>
      <c r="AF553" s="194"/>
      <c r="AG553" s="191"/>
      <c r="AH553" s="192"/>
      <c r="AJ553" s="79" t="str">
        <f t="shared" si="219"/>
        <v/>
      </c>
      <c r="AK553" s="16" t="str">
        <f t="shared" si="220"/>
        <v/>
      </c>
      <c r="AL553" s="16" t="str">
        <f t="shared" si="221"/>
        <v/>
      </c>
      <c r="AM553" s="16" t="str">
        <f t="shared" si="222"/>
        <v/>
      </c>
      <c r="AN553" s="16" t="str">
        <f t="shared" si="223"/>
        <v/>
      </c>
      <c r="AO553" s="55"/>
      <c r="AP553" s="117">
        <v>6</v>
      </c>
      <c r="AQ553" s="118"/>
      <c r="AR553" s="100">
        <f>IFERROR(AP553*AQ553*AS556,0)</f>
        <v>0</v>
      </c>
      <c r="AS553" s="55"/>
      <c r="AT553" s="167"/>
      <c r="AU553" s="167"/>
      <c r="AV553" s="168"/>
      <c r="AW553" s="169"/>
      <c r="AX553" s="94"/>
      <c r="AY553" s="95">
        <f t="shared" si="224"/>
        <v>0</v>
      </c>
    </row>
    <row r="554" spans="1:51" ht="16.5" customHeight="1">
      <c r="A554" s="186"/>
      <c r="B554" s="186"/>
      <c r="C554" s="188"/>
      <c r="D554" s="188"/>
      <c r="E554" s="188"/>
      <c r="F554" s="189"/>
      <c r="G554" s="189"/>
      <c r="H554" s="184"/>
      <c r="I554" s="190"/>
      <c r="J554" s="186"/>
      <c r="K554" s="186"/>
      <c r="L554" s="186"/>
      <c r="M554" s="186"/>
      <c r="N554" s="191"/>
      <c r="O554" s="192"/>
      <c r="P554" s="197"/>
      <c r="Q554" s="184"/>
      <c r="R554" s="184"/>
      <c r="S554" s="197"/>
      <c r="T554" s="191"/>
      <c r="U554" s="192"/>
      <c r="V554" s="193"/>
      <c r="W554" s="185"/>
      <c r="X554" s="186"/>
      <c r="Y554" s="193"/>
      <c r="Z554" s="191"/>
      <c r="AA554" s="192"/>
      <c r="AB554" s="192"/>
      <c r="AC554" s="194"/>
      <c r="AD554" s="194"/>
      <c r="AE554" s="194"/>
      <c r="AF554" s="194"/>
      <c r="AG554" s="191"/>
      <c r="AH554" s="192"/>
      <c r="AJ554" s="79" t="str">
        <f t="shared" si="219"/>
        <v/>
      </c>
      <c r="AK554" s="16" t="str">
        <f t="shared" si="220"/>
        <v/>
      </c>
      <c r="AL554" s="16" t="str">
        <f t="shared" si="221"/>
        <v/>
      </c>
      <c r="AM554" s="16" t="str">
        <f t="shared" si="222"/>
        <v/>
      </c>
      <c r="AN554" s="16" t="str">
        <f t="shared" si="223"/>
        <v/>
      </c>
      <c r="AO554" s="55"/>
      <c r="AP554" s="98">
        <v>5</v>
      </c>
      <c r="AQ554" s="99"/>
      <c r="AR554" s="100">
        <f>IFERROR(AP554*AQ554*AS556,0)</f>
        <v>0</v>
      </c>
      <c r="AS554" s="55"/>
      <c r="AT554" s="177"/>
      <c r="AU554" s="178"/>
      <c r="AV554" s="177"/>
      <c r="AW554" s="179"/>
      <c r="AX554" s="94"/>
      <c r="AY554" s="95">
        <f t="shared" si="224"/>
        <v>0</v>
      </c>
    </row>
    <row r="555" spans="1:51" ht="15.75" customHeight="1">
      <c r="A555" s="186"/>
      <c r="B555" s="186"/>
      <c r="C555" s="198"/>
      <c r="D555" s="198"/>
      <c r="E555" s="198"/>
      <c r="F555" s="199"/>
      <c r="G555" s="199"/>
      <c r="H555" s="184"/>
      <c r="I555" s="190"/>
      <c r="J555" s="186"/>
      <c r="K555" s="186"/>
      <c r="L555" s="186"/>
      <c r="M555" s="186"/>
      <c r="N555" s="191"/>
      <c r="O555" s="192"/>
      <c r="P555" s="197"/>
      <c r="Q555" s="184"/>
      <c r="R555" s="184"/>
      <c r="S555" s="197"/>
      <c r="T555" s="191"/>
      <c r="U555" s="192"/>
      <c r="V555" s="193"/>
      <c r="W555" s="185"/>
      <c r="X555" s="186"/>
      <c r="Y555" s="193"/>
      <c r="Z555" s="191"/>
      <c r="AA555" s="192"/>
      <c r="AB555" s="192"/>
      <c r="AC555" s="194"/>
      <c r="AD555" s="194"/>
      <c r="AE555" s="194"/>
      <c r="AF555" s="194"/>
      <c r="AG555" s="191"/>
      <c r="AH555" s="192"/>
      <c r="AJ555" s="79" t="str">
        <f t="shared" si="219"/>
        <v/>
      </c>
      <c r="AK555" s="16" t="str">
        <f t="shared" si="220"/>
        <v/>
      </c>
      <c r="AL555" s="16" t="str">
        <f t="shared" si="221"/>
        <v/>
      </c>
      <c r="AM555" s="16" t="str">
        <f t="shared" si="222"/>
        <v/>
      </c>
      <c r="AN555" s="16" t="str">
        <f t="shared" si="223"/>
        <v/>
      </c>
      <c r="AO555" s="104"/>
      <c r="AP555" s="98">
        <v>4</v>
      </c>
      <c r="AQ555" s="99"/>
      <c r="AR555" s="100">
        <f>IFERROR(AP555*AQ555*AS556,0)</f>
        <v>0</v>
      </c>
      <c r="AS555" s="55"/>
      <c r="AT555" s="167"/>
      <c r="AU555" s="165"/>
      <c r="AV555" s="168"/>
      <c r="AW555" s="169"/>
      <c r="AX555" s="94"/>
      <c r="AY555" s="95">
        <f t="shared" si="224"/>
        <v>0</v>
      </c>
    </row>
    <row r="556" spans="1:51" ht="15" customHeight="1">
      <c r="A556" s="186"/>
      <c r="B556" s="186"/>
      <c r="C556" s="200"/>
      <c r="D556" s="200"/>
      <c r="E556" s="200"/>
      <c r="F556" s="192"/>
      <c r="G556" s="192"/>
      <c r="H556" s="186"/>
      <c r="I556" s="186"/>
      <c r="J556" s="201"/>
      <c r="K556" s="201"/>
      <c r="L556" s="201"/>
      <c r="M556" s="201"/>
      <c r="N556" s="193"/>
      <c r="O556" s="192"/>
      <c r="P556" s="186"/>
      <c r="Q556" s="186"/>
      <c r="R556" s="186"/>
      <c r="S556" s="202"/>
      <c r="T556" s="186"/>
      <c r="U556" s="203"/>
      <c r="V556" s="186"/>
      <c r="W556" s="186"/>
      <c r="X556" s="186"/>
      <c r="Y556" s="186"/>
      <c r="Z556" s="186"/>
      <c r="AA556" s="203"/>
      <c r="AB556" s="186"/>
      <c r="AC556" s="186"/>
      <c r="AD556" s="186"/>
      <c r="AE556" s="186"/>
      <c r="AF556" s="186"/>
      <c r="AG556" s="183"/>
      <c r="AH556" s="183"/>
      <c r="AK556" s="2"/>
      <c r="AL556" s="2"/>
      <c r="AM556" s="2"/>
      <c r="AN556" s="2"/>
      <c r="AO556" s="55"/>
      <c r="AP556" s="98">
        <v>3</v>
      </c>
      <c r="AQ556" s="109"/>
      <c r="AR556" s="100">
        <f>IFERROR(AP556*AQ556*AS556,0)</f>
        <v>0</v>
      </c>
      <c r="AS556" s="48">
        <f>IFERROR(AR557/((AP556*AQ556)+(AP555*AQ555)+(AP554*AQ554)+(AP553*AQ553)),0)</f>
        <v>0</v>
      </c>
    </row>
    <row r="557" spans="1:51" ht="15.75" customHeight="1" thickBot="1">
      <c r="A557" s="186"/>
      <c r="B557" s="186"/>
      <c r="C557" s="200"/>
      <c r="D557" s="200"/>
      <c r="E557" s="200"/>
      <c r="F557" s="192"/>
      <c r="G557" s="192"/>
      <c r="H557" s="184"/>
      <c r="I557" s="190"/>
      <c r="J557" s="197"/>
      <c r="K557" s="197"/>
      <c r="L557" s="197"/>
      <c r="M557" s="197"/>
      <c r="N557" s="191"/>
      <c r="O557" s="192"/>
      <c r="P557" s="201"/>
      <c r="Q557" s="201"/>
      <c r="R557" s="201"/>
      <c r="S557" s="201"/>
      <c r="T557" s="184"/>
      <c r="U557" s="184"/>
      <c r="V557" s="201"/>
      <c r="W557" s="201"/>
      <c r="X557" s="201"/>
      <c r="Y557" s="201"/>
      <c r="Z557" s="186"/>
      <c r="AA557" s="186"/>
      <c r="AB557" s="186"/>
      <c r="AC557" s="201"/>
      <c r="AD557" s="201"/>
      <c r="AE557" s="201"/>
      <c r="AF557" s="201"/>
      <c r="AG557" s="183"/>
      <c r="AH557" s="183"/>
      <c r="AK557" s="154">
        <f>SUM(AK544:AK556)</f>
        <v>0</v>
      </c>
      <c r="AL557" s="154">
        <f>SUM(AL544:AL556)</f>
        <v>0</v>
      </c>
      <c r="AM557" s="154">
        <f>SUM(AM544:AM556)</f>
        <v>0</v>
      </c>
      <c r="AN557" s="154">
        <f>SUM(AN544:AN556)</f>
        <v>0</v>
      </c>
      <c r="AO557" s="55"/>
      <c r="AP557" s="111"/>
      <c r="AQ557" s="112"/>
      <c r="AR557" s="155"/>
      <c r="AS557" s="55"/>
    </row>
    <row r="558" spans="1:51" ht="15" customHeight="1">
      <c r="A558" s="204"/>
      <c r="B558" s="186"/>
      <c r="C558" s="186"/>
      <c r="D558" s="186"/>
      <c r="E558" s="186"/>
      <c r="F558" s="186"/>
      <c r="G558" s="186"/>
      <c r="H558" s="184"/>
      <c r="I558" s="190"/>
      <c r="J558" s="197"/>
      <c r="K558" s="197"/>
      <c r="L558" s="197"/>
      <c r="M558" s="197"/>
      <c r="N558" s="191"/>
      <c r="O558" s="192"/>
      <c r="P558" s="201"/>
      <c r="Q558" s="201"/>
      <c r="R558" s="201"/>
      <c r="S558" s="201"/>
      <c r="T558" s="201"/>
      <c r="U558" s="205"/>
      <c r="V558" s="201"/>
      <c r="W558" s="201"/>
      <c r="X558" s="201"/>
      <c r="Y558" s="201"/>
      <c r="Z558" s="202"/>
      <c r="AA558" s="192"/>
      <c r="AB558" s="192"/>
      <c r="AC558" s="201"/>
      <c r="AD558" s="201"/>
      <c r="AE558" s="201"/>
      <c r="AF558" s="201"/>
      <c r="AG558" s="183"/>
      <c r="AH558" s="205"/>
      <c r="AK558" s="48"/>
      <c r="AL558" s="48"/>
      <c r="AM558" s="48"/>
      <c r="AN558" s="48"/>
      <c r="AO558" s="55"/>
      <c r="AP558" s="55"/>
      <c r="AQ558" s="55"/>
      <c r="AR558" s="157">
        <f>AR549+AR557</f>
        <v>0</v>
      </c>
      <c r="AS558" s="55"/>
    </row>
  </sheetData>
  <mergeCells count="682">
    <mergeCell ref="A2:A3"/>
    <mergeCell ref="B2:B3"/>
    <mergeCell ref="C2:G2"/>
    <mergeCell ref="H2:H3"/>
    <mergeCell ref="I2:I3"/>
    <mergeCell ref="J2:M2"/>
    <mergeCell ref="N2:N3"/>
    <mergeCell ref="O2:O3"/>
    <mergeCell ref="P2:S2"/>
    <mergeCell ref="T2:T3"/>
    <mergeCell ref="U2:U3"/>
    <mergeCell ref="V2:Y2"/>
    <mergeCell ref="Z2:Z3"/>
    <mergeCell ref="AA2:AA3"/>
    <mergeCell ref="AB2:AB3"/>
    <mergeCell ref="AC2:AF2"/>
    <mergeCell ref="AG2:AG3"/>
    <mergeCell ref="AH2:AH3"/>
    <mergeCell ref="AK2:AN2"/>
    <mergeCell ref="AP2:AR4"/>
    <mergeCell ref="AT2:AW2"/>
    <mergeCell ref="AP10:AR12"/>
    <mergeCell ref="A20:A21"/>
    <mergeCell ref="B20:B21"/>
    <mergeCell ref="C20:G20"/>
    <mergeCell ref="H20:H21"/>
    <mergeCell ref="I20:I21"/>
    <mergeCell ref="J20:M20"/>
    <mergeCell ref="N20:N21"/>
    <mergeCell ref="O20:O21"/>
    <mergeCell ref="P20:S20"/>
    <mergeCell ref="T20:T21"/>
    <mergeCell ref="U20:U21"/>
    <mergeCell ref="V20:Y20"/>
    <mergeCell ref="Z20:Z21"/>
    <mergeCell ref="AA20:AA21"/>
    <mergeCell ref="AB20:AB21"/>
    <mergeCell ref="AC20:AF20"/>
    <mergeCell ref="AG20:AG21"/>
    <mergeCell ref="AH20:AH21"/>
    <mergeCell ref="AK20:AN20"/>
    <mergeCell ref="AP20:AR22"/>
    <mergeCell ref="AT20:AW20"/>
    <mergeCell ref="AP28:AR30"/>
    <mergeCell ref="A38:A39"/>
    <mergeCell ref="B38:B39"/>
    <mergeCell ref="C38:G38"/>
    <mergeCell ref="H38:H39"/>
    <mergeCell ref="I38:I39"/>
    <mergeCell ref="J38:M38"/>
    <mergeCell ref="N38:N39"/>
    <mergeCell ref="O38:O39"/>
    <mergeCell ref="P38:S38"/>
    <mergeCell ref="T38:T39"/>
    <mergeCell ref="U38:U39"/>
    <mergeCell ref="V38:Y38"/>
    <mergeCell ref="Z38:Z39"/>
    <mergeCell ref="AA38:AA39"/>
    <mergeCell ref="AB38:AB39"/>
    <mergeCell ref="AC38:AF38"/>
    <mergeCell ref="AG38:AG39"/>
    <mergeCell ref="AH38:AH39"/>
    <mergeCell ref="AK38:AN38"/>
    <mergeCell ref="AP38:AR40"/>
    <mergeCell ref="AT38:AW38"/>
    <mergeCell ref="AP46:AR48"/>
    <mergeCell ref="A56:A57"/>
    <mergeCell ref="B56:B57"/>
    <mergeCell ref="C56:G56"/>
    <mergeCell ref="H56:H57"/>
    <mergeCell ref="I56:I57"/>
    <mergeCell ref="J56:M56"/>
    <mergeCell ref="N56:N57"/>
    <mergeCell ref="O56:O57"/>
    <mergeCell ref="P56:S56"/>
    <mergeCell ref="T56:T57"/>
    <mergeCell ref="U56:U57"/>
    <mergeCell ref="V56:Y56"/>
    <mergeCell ref="Z56:Z57"/>
    <mergeCell ref="AA56:AA57"/>
    <mergeCell ref="AB56:AB57"/>
    <mergeCell ref="AC56:AF56"/>
    <mergeCell ref="AG56:AG57"/>
    <mergeCell ref="AH56:AH57"/>
    <mergeCell ref="AK56:AN56"/>
    <mergeCell ref="AP56:AR58"/>
    <mergeCell ref="AT56:AW56"/>
    <mergeCell ref="AP64:AR66"/>
    <mergeCell ref="A74:A75"/>
    <mergeCell ref="B74:B75"/>
    <mergeCell ref="C74:G74"/>
    <mergeCell ref="H74:H75"/>
    <mergeCell ref="I74:I75"/>
    <mergeCell ref="J74:M74"/>
    <mergeCell ref="N74:N75"/>
    <mergeCell ref="O74:O75"/>
    <mergeCell ref="P74:S74"/>
    <mergeCell ref="T74:T75"/>
    <mergeCell ref="U74:U75"/>
    <mergeCell ref="V74:Y74"/>
    <mergeCell ref="Z74:Z75"/>
    <mergeCell ref="AA74:AA75"/>
    <mergeCell ref="AB74:AB75"/>
    <mergeCell ref="AC74:AF74"/>
    <mergeCell ref="AG74:AG75"/>
    <mergeCell ref="AH74:AH75"/>
    <mergeCell ref="AK74:AN74"/>
    <mergeCell ref="AP74:AR76"/>
    <mergeCell ref="AT74:AW74"/>
    <mergeCell ref="AP82:AR84"/>
    <mergeCell ref="A92:A93"/>
    <mergeCell ref="B92:B93"/>
    <mergeCell ref="C92:G92"/>
    <mergeCell ref="H92:H93"/>
    <mergeCell ref="I92:I93"/>
    <mergeCell ref="J92:M92"/>
    <mergeCell ref="N92:N93"/>
    <mergeCell ref="O92:O93"/>
    <mergeCell ref="P92:S92"/>
    <mergeCell ref="T92:T93"/>
    <mergeCell ref="U92:U93"/>
    <mergeCell ref="V92:Y92"/>
    <mergeCell ref="Z92:Z93"/>
    <mergeCell ref="AA92:AA93"/>
    <mergeCell ref="AB92:AB93"/>
    <mergeCell ref="AC92:AF92"/>
    <mergeCell ref="AG92:AG93"/>
    <mergeCell ref="AH92:AH93"/>
    <mergeCell ref="AK92:AN92"/>
    <mergeCell ref="AP92:AR94"/>
    <mergeCell ref="AT92:AW92"/>
    <mergeCell ref="AP100:AR102"/>
    <mergeCell ref="A110:A111"/>
    <mergeCell ref="B110:B111"/>
    <mergeCell ref="C110:G110"/>
    <mergeCell ref="H110:H111"/>
    <mergeCell ref="I110:I111"/>
    <mergeCell ref="J110:M110"/>
    <mergeCell ref="N110:N111"/>
    <mergeCell ref="O110:O111"/>
    <mergeCell ref="P110:S110"/>
    <mergeCell ref="T110:T111"/>
    <mergeCell ref="U110:U111"/>
    <mergeCell ref="V110:Y110"/>
    <mergeCell ref="Z110:Z111"/>
    <mergeCell ref="AA110:AA111"/>
    <mergeCell ref="AB110:AB111"/>
    <mergeCell ref="AC110:AF110"/>
    <mergeCell ref="AG110:AG111"/>
    <mergeCell ref="AH110:AH111"/>
    <mergeCell ref="AK110:AN110"/>
    <mergeCell ref="AP110:AR112"/>
    <mergeCell ref="AT110:AW110"/>
    <mergeCell ref="AP118:AR120"/>
    <mergeCell ref="A128:A129"/>
    <mergeCell ref="B128:B129"/>
    <mergeCell ref="C128:G128"/>
    <mergeCell ref="H128:H129"/>
    <mergeCell ref="I128:I129"/>
    <mergeCell ref="J128:M128"/>
    <mergeCell ref="N128:N129"/>
    <mergeCell ref="O128:O129"/>
    <mergeCell ref="P128:S128"/>
    <mergeCell ref="T128:T129"/>
    <mergeCell ref="U128:U129"/>
    <mergeCell ref="V128:Y128"/>
    <mergeCell ref="Z128:Z129"/>
    <mergeCell ref="AA128:AA129"/>
    <mergeCell ref="AB128:AB129"/>
    <mergeCell ref="AC128:AF128"/>
    <mergeCell ref="AG128:AG129"/>
    <mergeCell ref="AH128:AH129"/>
    <mergeCell ref="AK128:AN128"/>
    <mergeCell ref="AP128:AR130"/>
    <mergeCell ref="AT128:AW128"/>
    <mergeCell ref="AP136:AR138"/>
    <mergeCell ref="A146:A147"/>
    <mergeCell ref="B146:B147"/>
    <mergeCell ref="C146:G146"/>
    <mergeCell ref="H146:H147"/>
    <mergeCell ref="I146:I147"/>
    <mergeCell ref="J146:M146"/>
    <mergeCell ref="N146:N147"/>
    <mergeCell ref="O146:O147"/>
    <mergeCell ref="P146:S146"/>
    <mergeCell ref="T146:T147"/>
    <mergeCell ref="U146:U147"/>
    <mergeCell ref="V146:Y146"/>
    <mergeCell ref="Z146:Z147"/>
    <mergeCell ref="AA146:AA147"/>
    <mergeCell ref="AB146:AB147"/>
    <mergeCell ref="AC146:AF146"/>
    <mergeCell ref="AG146:AG147"/>
    <mergeCell ref="AH146:AH147"/>
    <mergeCell ref="AK146:AN146"/>
    <mergeCell ref="AP146:AR148"/>
    <mergeCell ref="AT146:AW146"/>
    <mergeCell ref="AP154:AR156"/>
    <mergeCell ref="A164:A165"/>
    <mergeCell ref="B164:B165"/>
    <mergeCell ref="C164:G164"/>
    <mergeCell ref="H164:H165"/>
    <mergeCell ref="I164:I165"/>
    <mergeCell ref="J164:M164"/>
    <mergeCell ref="N164:N165"/>
    <mergeCell ref="O164:O165"/>
    <mergeCell ref="P164:S164"/>
    <mergeCell ref="T164:T165"/>
    <mergeCell ref="U164:U165"/>
    <mergeCell ref="V164:Y164"/>
    <mergeCell ref="Z164:Z165"/>
    <mergeCell ref="AA164:AA165"/>
    <mergeCell ref="AB164:AB165"/>
    <mergeCell ref="AC164:AF164"/>
    <mergeCell ref="AG164:AG165"/>
    <mergeCell ref="AH164:AH165"/>
    <mergeCell ref="AK164:AN164"/>
    <mergeCell ref="AP164:AR166"/>
    <mergeCell ref="AT164:AW164"/>
    <mergeCell ref="AP172:AR174"/>
    <mergeCell ref="A182:A183"/>
    <mergeCell ref="B182:B183"/>
    <mergeCell ref="C182:G182"/>
    <mergeCell ref="H182:H183"/>
    <mergeCell ref="I182:I183"/>
    <mergeCell ref="J182:M182"/>
    <mergeCell ref="N182:N183"/>
    <mergeCell ref="O182:O183"/>
    <mergeCell ref="P182:S182"/>
    <mergeCell ref="T182:T183"/>
    <mergeCell ref="U182:U183"/>
    <mergeCell ref="V182:Y182"/>
    <mergeCell ref="Z182:Z183"/>
    <mergeCell ref="AA182:AA183"/>
    <mergeCell ref="AB182:AB183"/>
    <mergeCell ref="AC182:AF182"/>
    <mergeCell ref="AG182:AG183"/>
    <mergeCell ref="AH182:AH183"/>
    <mergeCell ref="AK182:AN182"/>
    <mergeCell ref="AP182:AR184"/>
    <mergeCell ref="AT182:AW182"/>
    <mergeCell ref="AP190:AR192"/>
    <mergeCell ref="A200:A201"/>
    <mergeCell ref="B200:B201"/>
    <mergeCell ref="C200:G200"/>
    <mergeCell ref="H200:H201"/>
    <mergeCell ref="I200:I201"/>
    <mergeCell ref="J200:M200"/>
    <mergeCell ref="N200:N201"/>
    <mergeCell ref="O200:O201"/>
    <mergeCell ref="P200:S200"/>
    <mergeCell ref="T200:T201"/>
    <mergeCell ref="U200:U201"/>
    <mergeCell ref="V200:Y200"/>
    <mergeCell ref="Z200:Z201"/>
    <mergeCell ref="AA200:AA201"/>
    <mergeCell ref="AB200:AB201"/>
    <mergeCell ref="AC200:AF200"/>
    <mergeCell ref="AG200:AG201"/>
    <mergeCell ref="AH200:AH201"/>
    <mergeCell ref="AK200:AN200"/>
    <mergeCell ref="AP200:AR202"/>
    <mergeCell ref="AT200:AW200"/>
    <mergeCell ref="AP208:AR210"/>
    <mergeCell ref="A218:A219"/>
    <mergeCell ref="B218:B219"/>
    <mergeCell ref="C218:G218"/>
    <mergeCell ref="H218:H219"/>
    <mergeCell ref="I218:I219"/>
    <mergeCell ref="J218:M218"/>
    <mergeCell ref="N218:N219"/>
    <mergeCell ref="O218:O219"/>
    <mergeCell ref="P218:S218"/>
    <mergeCell ref="T218:T219"/>
    <mergeCell ref="U218:U219"/>
    <mergeCell ref="V218:Y218"/>
    <mergeCell ref="Z218:Z219"/>
    <mergeCell ref="AA218:AA219"/>
    <mergeCell ref="AB218:AB219"/>
    <mergeCell ref="AC218:AF218"/>
    <mergeCell ref="AG218:AG219"/>
    <mergeCell ref="AH218:AH219"/>
    <mergeCell ref="AK218:AN218"/>
    <mergeCell ref="AP218:AR220"/>
    <mergeCell ref="AT218:AW218"/>
    <mergeCell ref="AP226:AR228"/>
    <mergeCell ref="A236:A237"/>
    <mergeCell ref="B236:B237"/>
    <mergeCell ref="C236:G236"/>
    <mergeCell ref="H236:H237"/>
    <mergeCell ref="I236:I237"/>
    <mergeCell ref="J236:M236"/>
    <mergeCell ref="N236:N237"/>
    <mergeCell ref="O236:O237"/>
    <mergeCell ref="P236:S236"/>
    <mergeCell ref="T236:T237"/>
    <mergeCell ref="U236:U237"/>
    <mergeCell ref="V236:Y236"/>
    <mergeCell ref="Z236:Z237"/>
    <mergeCell ref="AA236:AA237"/>
    <mergeCell ref="AB236:AB237"/>
    <mergeCell ref="AC236:AF236"/>
    <mergeCell ref="AG236:AG237"/>
    <mergeCell ref="AH236:AH237"/>
    <mergeCell ref="AK236:AN236"/>
    <mergeCell ref="AP236:AR238"/>
    <mergeCell ref="AT236:AW236"/>
    <mergeCell ref="AP244:AR246"/>
    <mergeCell ref="A254:A255"/>
    <mergeCell ref="B254:B255"/>
    <mergeCell ref="C254:G254"/>
    <mergeCell ref="H254:H255"/>
    <mergeCell ref="I254:I255"/>
    <mergeCell ref="J254:M254"/>
    <mergeCell ref="N254:N255"/>
    <mergeCell ref="O254:O255"/>
    <mergeCell ref="P254:S254"/>
    <mergeCell ref="T254:T255"/>
    <mergeCell ref="U254:U255"/>
    <mergeCell ref="V254:Y254"/>
    <mergeCell ref="Z254:Z255"/>
    <mergeCell ref="AA254:AA255"/>
    <mergeCell ref="AB254:AB255"/>
    <mergeCell ref="AC254:AF254"/>
    <mergeCell ref="AG254:AG255"/>
    <mergeCell ref="AH254:AH255"/>
    <mergeCell ref="AK254:AN254"/>
    <mergeCell ref="AP254:AR256"/>
    <mergeCell ref="AT254:AW254"/>
    <mergeCell ref="AP262:AR264"/>
    <mergeCell ref="A272:A273"/>
    <mergeCell ref="B272:B273"/>
    <mergeCell ref="C272:G272"/>
    <mergeCell ref="H272:H273"/>
    <mergeCell ref="I272:I273"/>
    <mergeCell ref="J272:M272"/>
    <mergeCell ref="N272:N273"/>
    <mergeCell ref="O272:O273"/>
    <mergeCell ref="P272:S272"/>
    <mergeCell ref="T272:T273"/>
    <mergeCell ref="U272:U273"/>
    <mergeCell ref="V272:Y272"/>
    <mergeCell ref="Z272:Z273"/>
    <mergeCell ref="AA272:AA273"/>
    <mergeCell ref="AB272:AB273"/>
    <mergeCell ref="AC272:AF272"/>
    <mergeCell ref="AG272:AG273"/>
    <mergeCell ref="AH272:AH273"/>
    <mergeCell ref="AK272:AN272"/>
    <mergeCell ref="AP272:AR274"/>
    <mergeCell ref="AT272:AW272"/>
    <mergeCell ref="AP280:AR282"/>
    <mergeCell ref="A290:A291"/>
    <mergeCell ref="B290:B291"/>
    <mergeCell ref="C290:G290"/>
    <mergeCell ref="H290:H291"/>
    <mergeCell ref="I290:I291"/>
    <mergeCell ref="J290:M290"/>
    <mergeCell ref="N290:N291"/>
    <mergeCell ref="O290:O291"/>
    <mergeCell ref="P290:S290"/>
    <mergeCell ref="T290:T291"/>
    <mergeCell ref="U290:U291"/>
    <mergeCell ref="V290:Y290"/>
    <mergeCell ref="Z290:Z291"/>
    <mergeCell ref="AA290:AA291"/>
    <mergeCell ref="AB290:AB291"/>
    <mergeCell ref="AC290:AF290"/>
    <mergeCell ref="AG290:AG291"/>
    <mergeCell ref="AH290:AH291"/>
    <mergeCell ref="AK290:AN290"/>
    <mergeCell ref="AP290:AR292"/>
    <mergeCell ref="AT290:AW290"/>
    <mergeCell ref="AP298:AR300"/>
    <mergeCell ref="A308:A309"/>
    <mergeCell ref="B308:B309"/>
    <mergeCell ref="C308:G308"/>
    <mergeCell ref="H308:H309"/>
    <mergeCell ref="I308:I309"/>
    <mergeCell ref="J308:M308"/>
    <mergeCell ref="N308:N309"/>
    <mergeCell ref="O308:O309"/>
    <mergeCell ref="P308:S308"/>
    <mergeCell ref="T308:T309"/>
    <mergeCell ref="U308:U309"/>
    <mergeCell ref="V308:Y308"/>
    <mergeCell ref="Z308:Z309"/>
    <mergeCell ref="AA308:AA309"/>
    <mergeCell ref="AB308:AB309"/>
    <mergeCell ref="AC308:AF308"/>
    <mergeCell ref="AG308:AG309"/>
    <mergeCell ref="AH308:AH309"/>
    <mergeCell ref="AK308:AN308"/>
    <mergeCell ref="AP308:AR310"/>
    <mergeCell ref="AT308:AW308"/>
    <mergeCell ref="AP316:AR318"/>
    <mergeCell ref="A326:A327"/>
    <mergeCell ref="B326:B327"/>
    <mergeCell ref="C326:G326"/>
    <mergeCell ref="H326:H327"/>
    <mergeCell ref="I326:I327"/>
    <mergeCell ref="J326:M326"/>
    <mergeCell ref="N326:N327"/>
    <mergeCell ref="O326:O327"/>
    <mergeCell ref="P326:S326"/>
    <mergeCell ref="T326:T327"/>
    <mergeCell ref="U326:U327"/>
    <mergeCell ref="V326:Y326"/>
    <mergeCell ref="Z326:Z327"/>
    <mergeCell ref="AA326:AA327"/>
    <mergeCell ref="AB326:AB327"/>
    <mergeCell ref="AC326:AF326"/>
    <mergeCell ref="AG326:AG327"/>
    <mergeCell ref="AH326:AH327"/>
    <mergeCell ref="AK326:AN326"/>
    <mergeCell ref="AP326:AR328"/>
    <mergeCell ref="AT326:AW326"/>
    <mergeCell ref="AP334:AR336"/>
    <mergeCell ref="A344:A345"/>
    <mergeCell ref="B344:B345"/>
    <mergeCell ref="C344:G344"/>
    <mergeCell ref="H344:H345"/>
    <mergeCell ref="I344:I345"/>
    <mergeCell ref="J344:M344"/>
    <mergeCell ref="N344:N345"/>
    <mergeCell ref="O344:O345"/>
    <mergeCell ref="P344:S344"/>
    <mergeCell ref="T344:T345"/>
    <mergeCell ref="U344:U345"/>
    <mergeCell ref="V344:Y344"/>
    <mergeCell ref="Z344:Z345"/>
    <mergeCell ref="AA344:AA345"/>
    <mergeCell ref="AB344:AB345"/>
    <mergeCell ref="AC344:AF344"/>
    <mergeCell ref="AG344:AG345"/>
    <mergeCell ref="AH344:AH345"/>
    <mergeCell ref="AK344:AN344"/>
    <mergeCell ref="AP344:AR346"/>
    <mergeCell ref="AT344:AW344"/>
    <mergeCell ref="AP352:AR354"/>
    <mergeCell ref="A362:A363"/>
    <mergeCell ref="B362:B363"/>
    <mergeCell ref="C362:G362"/>
    <mergeCell ref="H362:H363"/>
    <mergeCell ref="I362:I363"/>
    <mergeCell ref="J362:M362"/>
    <mergeCell ref="N362:N363"/>
    <mergeCell ref="O362:O363"/>
    <mergeCell ref="P362:S362"/>
    <mergeCell ref="T362:T363"/>
    <mergeCell ref="U362:U363"/>
    <mergeCell ref="V362:Y362"/>
    <mergeCell ref="Z362:Z363"/>
    <mergeCell ref="AA362:AA363"/>
    <mergeCell ref="AB362:AB363"/>
    <mergeCell ref="AC362:AF362"/>
    <mergeCell ref="AG362:AG363"/>
    <mergeCell ref="AH362:AH363"/>
    <mergeCell ref="AK362:AN362"/>
    <mergeCell ref="AP362:AR364"/>
    <mergeCell ref="AT362:AW362"/>
    <mergeCell ref="AP370:AR372"/>
    <mergeCell ref="A380:A381"/>
    <mergeCell ref="B380:B381"/>
    <mergeCell ref="C380:G380"/>
    <mergeCell ref="H380:H381"/>
    <mergeCell ref="I380:I381"/>
    <mergeCell ref="J380:M380"/>
    <mergeCell ref="N380:N381"/>
    <mergeCell ref="O380:O381"/>
    <mergeCell ref="P380:S380"/>
    <mergeCell ref="T380:T381"/>
    <mergeCell ref="U380:U381"/>
    <mergeCell ref="V380:Y380"/>
    <mergeCell ref="Z380:Z381"/>
    <mergeCell ref="AA380:AA381"/>
    <mergeCell ref="AB380:AB381"/>
    <mergeCell ref="AC380:AF380"/>
    <mergeCell ref="AG380:AG381"/>
    <mergeCell ref="AH380:AH381"/>
    <mergeCell ref="AK380:AN380"/>
    <mergeCell ref="AP380:AR382"/>
    <mergeCell ref="AT380:AW380"/>
    <mergeCell ref="AP388:AR390"/>
    <mergeCell ref="A398:A399"/>
    <mergeCell ref="B398:B399"/>
    <mergeCell ref="C398:G398"/>
    <mergeCell ref="H398:H399"/>
    <mergeCell ref="I398:I399"/>
    <mergeCell ref="J398:M398"/>
    <mergeCell ref="N398:N399"/>
    <mergeCell ref="O398:O399"/>
    <mergeCell ref="P398:S398"/>
    <mergeCell ref="T398:T399"/>
    <mergeCell ref="U398:U399"/>
    <mergeCell ref="V398:Y398"/>
    <mergeCell ref="Z398:Z399"/>
    <mergeCell ref="AA398:AA399"/>
    <mergeCell ref="AB398:AB399"/>
    <mergeCell ref="AC398:AF398"/>
    <mergeCell ref="AG398:AG399"/>
    <mergeCell ref="AH398:AH399"/>
    <mergeCell ref="AK398:AN398"/>
    <mergeCell ref="AP398:AR400"/>
    <mergeCell ref="AT398:AW398"/>
    <mergeCell ref="AP406:AR408"/>
    <mergeCell ref="A416:A417"/>
    <mergeCell ref="B416:B417"/>
    <mergeCell ref="C416:G416"/>
    <mergeCell ref="H416:H417"/>
    <mergeCell ref="I416:I417"/>
    <mergeCell ref="J416:M416"/>
    <mergeCell ref="N416:N417"/>
    <mergeCell ref="O416:O417"/>
    <mergeCell ref="P416:S416"/>
    <mergeCell ref="T416:T417"/>
    <mergeCell ref="U416:U417"/>
    <mergeCell ref="V416:Y416"/>
    <mergeCell ref="Z416:Z417"/>
    <mergeCell ref="AA416:AA417"/>
    <mergeCell ref="AB416:AB417"/>
    <mergeCell ref="AC416:AF416"/>
    <mergeCell ref="AG416:AG417"/>
    <mergeCell ref="AH416:AH417"/>
    <mergeCell ref="AK416:AN416"/>
    <mergeCell ref="AP416:AR418"/>
    <mergeCell ref="AT416:AW416"/>
    <mergeCell ref="AP424:AR426"/>
    <mergeCell ref="A434:A435"/>
    <mergeCell ref="B434:B435"/>
    <mergeCell ref="C434:G434"/>
    <mergeCell ref="H434:H435"/>
    <mergeCell ref="I434:I435"/>
    <mergeCell ref="J434:M434"/>
    <mergeCell ref="N434:N435"/>
    <mergeCell ref="O434:O435"/>
    <mergeCell ref="P434:S434"/>
    <mergeCell ref="T434:T435"/>
    <mergeCell ref="U434:U435"/>
    <mergeCell ref="V434:Y434"/>
    <mergeCell ref="Z434:Z435"/>
    <mergeCell ref="AA434:AA435"/>
    <mergeCell ref="AB434:AB435"/>
    <mergeCell ref="AC434:AF434"/>
    <mergeCell ref="AG434:AG435"/>
    <mergeCell ref="AH434:AH435"/>
    <mergeCell ref="AK434:AN434"/>
    <mergeCell ref="AP434:AR436"/>
    <mergeCell ref="AT434:AW434"/>
    <mergeCell ref="AP442:AR444"/>
    <mergeCell ref="A452:A453"/>
    <mergeCell ref="B452:B453"/>
    <mergeCell ref="C452:G452"/>
    <mergeCell ref="H452:H453"/>
    <mergeCell ref="I452:I453"/>
    <mergeCell ref="J452:M452"/>
    <mergeCell ref="N452:N453"/>
    <mergeCell ref="O452:O453"/>
    <mergeCell ref="P452:S452"/>
    <mergeCell ref="T452:T453"/>
    <mergeCell ref="U452:U453"/>
    <mergeCell ref="V452:Y452"/>
    <mergeCell ref="Z452:Z453"/>
    <mergeCell ref="AA452:AA453"/>
    <mergeCell ref="AB452:AB453"/>
    <mergeCell ref="AC452:AF452"/>
    <mergeCell ref="AG452:AG453"/>
    <mergeCell ref="AH452:AH453"/>
    <mergeCell ref="AK452:AN452"/>
    <mergeCell ref="AP452:AR454"/>
    <mergeCell ref="AT452:AW452"/>
    <mergeCell ref="AP460:AR462"/>
    <mergeCell ref="A470:A471"/>
    <mergeCell ref="B470:B471"/>
    <mergeCell ref="C470:G470"/>
    <mergeCell ref="H470:H471"/>
    <mergeCell ref="I470:I471"/>
    <mergeCell ref="J470:M470"/>
    <mergeCell ref="N470:N471"/>
    <mergeCell ref="O470:O471"/>
    <mergeCell ref="P470:S470"/>
    <mergeCell ref="T470:T471"/>
    <mergeCell ref="U470:U471"/>
    <mergeCell ref="V470:Y470"/>
    <mergeCell ref="Z470:Z471"/>
    <mergeCell ref="AA470:AA471"/>
    <mergeCell ref="AB470:AB471"/>
    <mergeCell ref="AC470:AF470"/>
    <mergeCell ref="AG470:AG471"/>
    <mergeCell ref="AH470:AH471"/>
    <mergeCell ref="AK470:AN470"/>
    <mergeCell ref="AP470:AR472"/>
    <mergeCell ref="AT470:AW470"/>
    <mergeCell ref="AP478:AR480"/>
    <mergeCell ref="A488:A489"/>
    <mergeCell ref="B488:B489"/>
    <mergeCell ref="C488:G488"/>
    <mergeCell ref="H488:H489"/>
    <mergeCell ref="I488:I489"/>
    <mergeCell ref="J488:M488"/>
    <mergeCell ref="N488:N489"/>
    <mergeCell ref="O488:O489"/>
    <mergeCell ref="P488:S488"/>
    <mergeCell ref="T488:T489"/>
    <mergeCell ref="U488:U489"/>
    <mergeCell ref="V488:Y488"/>
    <mergeCell ref="Z488:Z489"/>
    <mergeCell ref="AA488:AA489"/>
    <mergeCell ref="AB488:AB489"/>
    <mergeCell ref="AC488:AF488"/>
    <mergeCell ref="AG488:AG489"/>
    <mergeCell ref="AH488:AH489"/>
    <mergeCell ref="AK488:AN488"/>
    <mergeCell ref="AP488:AR490"/>
    <mergeCell ref="AT488:AW488"/>
    <mergeCell ref="AP496:AR498"/>
    <mergeCell ref="A506:A507"/>
    <mergeCell ref="B506:B507"/>
    <mergeCell ref="C506:G506"/>
    <mergeCell ref="H506:H507"/>
    <mergeCell ref="I506:I507"/>
    <mergeCell ref="J506:M506"/>
    <mergeCell ref="N506:N507"/>
    <mergeCell ref="O506:O507"/>
    <mergeCell ref="P506:S506"/>
    <mergeCell ref="T506:T507"/>
    <mergeCell ref="U506:U507"/>
    <mergeCell ref="V506:Y506"/>
    <mergeCell ref="Z506:Z507"/>
    <mergeCell ref="AA506:AA507"/>
    <mergeCell ref="AB506:AB507"/>
    <mergeCell ref="AC506:AF506"/>
    <mergeCell ref="AG506:AG507"/>
    <mergeCell ref="AH506:AH507"/>
    <mergeCell ref="AK506:AN506"/>
    <mergeCell ref="AP506:AR508"/>
    <mergeCell ref="AT506:AW506"/>
    <mergeCell ref="AP514:AR516"/>
    <mergeCell ref="A524:A525"/>
    <mergeCell ref="B524:B525"/>
    <mergeCell ref="C524:G524"/>
    <mergeCell ref="H524:H525"/>
    <mergeCell ref="I524:I525"/>
    <mergeCell ref="J524:M524"/>
    <mergeCell ref="N524:N525"/>
    <mergeCell ref="O524:O525"/>
    <mergeCell ref="P524:S524"/>
    <mergeCell ref="T524:T525"/>
    <mergeCell ref="U524:U525"/>
    <mergeCell ref="V524:Y524"/>
    <mergeCell ref="Z524:Z525"/>
    <mergeCell ref="AA524:AA525"/>
    <mergeCell ref="AB524:AB525"/>
    <mergeCell ref="AC524:AF524"/>
    <mergeCell ref="AG524:AG525"/>
    <mergeCell ref="AH524:AH525"/>
    <mergeCell ref="AK524:AN524"/>
    <mergeCell ref="AP524:AR526"/>
    <mergeCell ref="AP550:AR552"/>
    <mergeCell ref="AT524:AW524"/>
    <mergeCell ref="AP532:AR534"/>
    <mergeCell ref="A542:A543"/>
    <mergeCell ref="B542:B543"/>
    <mergeCell ref="C542:G542"/>
    <mergeCell ref="H542:H543"/>
    <mergeCell ref="I542:I543"/>
    <mergeCell ref="J542:M542"/>
    <mergeCell ref="N542:N543"/>
    <mergeCell ref="O542:O543"/>
    <mergeCell ref="P542:S542"/>
    <mergeCell ref="T542:T543"/>
    <mergeCell ref="U542:U543"/>
    <mergeCell ref="V542:Y542"/>
    <mergeCell ref="Z542:Z543"/>
    <mergeCell ref="AA542:AA543"/>
    <mergeCell ref="AB542:AB543"/>
    <mergeCell ref="AC542:AF542"/>
    <mergeCell ref="AG542:AG543"/>
    <mergeCell ref="AH542:AH543"/>
    <mergeCell ref="AK542:AN542"/>
    <mergeCell ref="AP542:AR544"/>
    <mergeCell ref="AT542:AW542"/>
  </mergeCells>
  <phoneticPr fontId="111" type="noConversion"/>
  <conditionalFormatting sqref="H472:H483">
    <cfRule type="cellIs" dxfId="1538" priority="20" operator="equal">
      <formula>130</formula>
    </cfRule>
  </conditionalFormatting>
  <conditionalFormatting sqref="J484:M484">
    <cfRule type="cellIs" dxfId="1537" priority="21" operator="equal">
      <formula>0</formula>
    </cfRule>
  </conditionalFormatting>
  <conditionalFormatting sqref="H485">
    <cfRule type="cellIs" dxfId="1536" priority="22" operator="equal">
      <formula>130</formula>
    </cfRule>
  </conditionalFormatting>
  <conditionalFormatting sqref="H454:H465">
    <cfRule type="cellIs" dxfId="1535" priority="23" operator="equal">
      <formula>130</formula>
    </cfRule>
  </conditionalFormatting>
  <conditionalFormatting sqref="J466:M466">
    <cfRule type="cellIs" dxfId="1534" priority="24" operator="equal">
      <formula>0</formula>
    </cfRule>
  </conditionalFormatting>
  <conditionalFormatting sqref="H467">
    <cfRule type="cellIs" dxfId="1533" priority="25" operator="equal">
      <formula>130</formula>
    </cfRule>
  </conditionalFormatting>
  <conditionalFormatting sqref="H436:H447">
    <cfRule type="cellIs" dxfId="1532" priority="26" operator="equal">
      <formula>130</formula>
    </cfRule>
  </conditionalFormatting>
  <conditionalFormatting sqref="J448:M448">
    <cfRule type="cellIs" dxfId="1531" priority="27" operator="equal">
      <formula>0</formula>
    </cfRule>
  </conditionalFormatting>
  <conditionalFormatting sqref="H449">
    <cfRule type="cellIs" dxfId="1530" priority="28" operator="equal">
      <formula>130</formula>
    </cfRule>
  </conditionalFormatting>
  <conditionalFormatting sqref="H418:H429">
    <cfRule type="cellIs" dxfId="1529" priority="29" operator="equal">
      <formula>130</formula>
    </cfRule>
  </conditionalFormatting>
  <conditionalFormatting sqref="J430:M430">
    <cfRule type="cellIs" dxfId="1528" priority="30" operator="equal">
      <formula>0</formula>
    </cfRule>
  </conditionalFormatting>
  <conditionalFormatting sqref="H431">
    <cfRule type="cellIs" dxfId="1527" priority="31" operator="equal">
      <formula>130</formula>
    </cfRule>
  </conditionalFormatting>
  <conditionalFormatting sqref="H400:H411">
    <cfRule type="cellIs" dxfId="1526" priority="32" operator="equal">
      <formula>130</formula>
    </cfRule>
  </conditionalFormatting>
  <conditionalFormatting sqref="J412:M412">
    <cfRule type="cellIs" dxfId="1525" priority="33" operator="equal">
      <formula>0</formula>
    </cfRule>
  </conditionalFormatting>
  <conditionalFormatting sqref="H413">
    <cfRule type="cellIs" dxfId="1524" priority="34" operator="equal">
      <formula>130</formula>
    </cfRule>
  </conditionalFormatting>
  <conditionalFormatting sqref="H382:H393">
    <cfRule type="cellIs" dxfId="1523" priority="35" operator="equal">
      <formula>130</formula>
    </cfRule>
  </conditionalFormatting>
  <conditionalFormatting sqref="J394:M394">
    <cfRule type="cellIs" dxfId="1522" priority="36" operator="equal">
      <formula>0</formula>
    </cfRule>
  </conditionalFormatting>
  <conditionalFormatting sqref="H395">
    <cfRule type="cellIs" dxfId="1521" priority="37" operator="equal">
      <formula>130</formula>
    </cfRule>
  </conditionalFormatting>
  <conditionalFormatting sqref="H364:H375">
    <cfRule type="cellIs" dxfId="1520" priority="38" operator="equal">
      <formula>130</formula>
    </cfRule>
  </conditionalFormatting>
  <conditionalFormatting sqref="J376:M376">
    <cfRule type="cellIs" dxfId="1519" priority="39" operator="equal">
      <formula>0</formula>
    </cfRule>
  </conditionalFormatting>
  <conditionalFormatting sqref="H377">
    <cfRule type="cellIs" dxfId="1518" priority="40" operator="equal">
      <formula>130</formula>
    </cfRule>
  </conditionalFormatting>
  <conditionalFormatting sqref="H346:H357">
    <cfRule type="cellIs" dxfId="1517" priority="41" operator="equal">
      <formula>130</formula>
    </cfRule>
  </conditionalFormatting>
  <conditionalFormatting sqref="J358:M358">
    <cfRule type="cellIs" dxfId="1516" priority="42" operator="equal">
      <formula>0</formula>
    </cfRule>
  </conditionalFormatting>
  <conditionalFormatting sqref="H359">
    <cfRule type="cellIs" dxfId="1515" priority="43" operator="equal">
      <formula>130</formula>
    </cfRule>
  </conditionalFormatting>
  <conditionalFormatting sqref="H328:H339">
    <cfRule type="cellIs" dxfId="1514" priority="44" operator="equal">
      <formula>130</formula>
    </cfRule>
  </conditionalFormatting>
  <conditionalFormatting sqref="J340:M340">
    <cfRule type="cellIs" dxfId="1513" priority="45" operator="equal">
      <formula>0</formula>
    </cfRule>
  </conditionalFormatting>
  <conditionalFormatting sqref="H341">
    <cfRule type="cellIs" dxfId="1512" priority="46" operator="equal">
      <formula>130</formula>
    </cfRule>
  </conditionalFormatting>
  <conditionalFormatting sqref="H310:H321">
    <cfRule type="cellIs" dxfId="1511" priority="47" operator="equal">
      <formula>130</formula>
    </cfRule>
  </conditionalFormatting>
  <conditionalFormatting sqref="J322:M322">
    <cfRule type="cellIs" dxfId="1510" priority="48" operator="equal">
      <formula>0</formula>
    </cfRule>
  </conditionalFormatting>
  <conditionalFormatting sqref="H323">
    <cfRule type="cellIs" dxfId="1509" priority="49" operator="equal">
      <formula>130</formula>
    </cfRule>
  </conditionalFormatting>
  <conditionalFormatting sqref="H292:H303">
    <cfRule type="cellIs" dxfId="1508" priority="50" operator="equal">
      <formula>130</formula>
    </cfRule>
  </conditionalFormatting>
  <conditionalFormatting sqref="J304:M304">
    <cfRule type="cellIs" dxfId="1507" priority="51" operator="equal">
      <formula>0</formula>
    </cfRule>
  </conditionalFormatting>
  <conditionalFormatting sqref="H305">
    <cfRule type="cellIs" dxfId="1506" priority="52" operator="equal">
      <formula>130</formula>
    </cfRule>
  </conditionalFormatting>
  <conditionalFormatting sqref="H274:H285">
    <cfRule type="cellIs" dxfId="1505" priority="53" operator="equal">
      <formula>130</formula>
    </cfRule>
  </conditionalFormatting>
  <conditionalFormatting sqref="J286:M286">
    <cfRule type="cellIs" dxfId="1504" priority="54" operator="equal">
      <formula>0</formula>
    </cfRule>
  </conditionalFormatting>
  <conditionalFormatting sqref="H287">
    <cfRule type="cellIs" dxfId="1503" priority="55" operator="equal">
      <formula>130</formula>
    </cfRule>
  </conditionalFormatting>
  <conditionalFormatting sqref="H256:H267">
    <cfRule type="cellIs" dxfId="1502" priority="56" operator="equal">
      <formula>130</formula>
    </cfRule>
  </conditionalFormatting>
  <conditionalFormatting sqref="J268:M268">
    <cfRule type="cellIs" dxfId="1501" priority="57" operator="equal">
      <formula>0</formula>
    </cfRule>
  </conditionalFormatting>
  <conditionalFormatting sqref="H269">
    <cfRule type="cellIs" dxfId="1500" priority="58" operator="equal">
      <formula>130</formula>
    </cfRule>
  </conditionalFormatting>
  <conditionalFormatting sqref="H238:H249">
    <cfRule type="cellIs" dxfId="1499" priority="59" operator="equal">
      <formula>130</formula>
    </cfRule>
  </conditionalFormatting>
  <conditionalFormatting sqref="J250:M250">
    <cfRule type="cellIs" dxfId="1498" priority="60" operator="equal">
      <formula>0</formula>
    </cfRule>
  </conditionalFormatting>
  <conditionalFormatting sqref="H251">
    <cfRule type="cellIs" dxfId="1497" priority="61" operator="equal">
      <formula>130</formula>
    </cfRule>
  </conditionalFormatting>
  <conditionalFormatting sqref="H220:H231">
    <cfRule type="cellIs" dxfId="1496" priority="62" operator="equal">
      <formula>130</formula>
    </cfRule>
  </conditionalFormatting>
  <conditionalFormatting sqref="J232:M232">
    <cfRule type="cellIs" dxfId="1495" priority="63" operator="equal">
      <formula>0</formula>
    </cfRule>
  </conditionalFormatting>
  <conditionalFormatting sqref="H233">
    <cfRule type="cellIs" dxfId="1494" priority="64" operator="equal">
      <formula>130</formula>
    </cfRule>
  </conditionalFormatting>
  <conditionalFormatting sqref="H202:H213">
    <cfRule type="cellIs" dxfId="1493" priority="65" operator="equal">
      <formula>130</formula>
    </cfRule>
  </conditionalFormatting>
  <conditionalFormatting sqref="J214:M214">
    <cfRule type="cellIs" dxfId="1492" priority="66" operator="equal">
      <formula>0</formula>
    </cfRule>
  </conditionalFormatting>
  <conditionalFormatting sqref="H215">
    <cfRule type="cellIs" dxfId="1491" priority="67" operator="equal">
      <formula>130</formula>
    </cfRule>
  </conditionalFormatting>
  <conditionalFormatting sqref="H184:H195">
    <cfRule type="cellIs" dxfId="1490" priority="68" operator="equal">
      <formula>130</formula>
    </cfRule>
  </conditionalFormatting>
  <conditionalFormatting sqref="J196:M196">
    <cfRule type="cellIs" dxfId="1489" priority="69" operator="equal">
      <formula>0</formula>
    </cfRule>
  </conditionalFormatting>
  <conditionalFormatting sqref="H197">
    <cfRule type="cellIs" dxfId="1488" priority="70" operator="equal">
      <formula>130</formula>
    </cfRule>
  </conditionalFormatting>
  <conditionalFormatting sqref="H166:H177">
    <cfRule type="cellIs" dxfId="1487" priority="71" operator="equal">
      <formula>130</formula>
    </cfRule>
  </conditionalFormatting>
  <conditionalFormatting sqref="J178:M178">
    <cfRule type="cellIs" dxfId="1486" priority="72" operator="equal">
      <formula>0</formula>
    </cfRule>
  </conditionalFormatting>
  <conditionalFormatting sqref="H179">
    <cfRule type="cellIs" dxfId="1485" priority="73" operator="equal">
      <formula>130</formula>
    </cfRule>
  </conditionalFormatting>
  <conditionalFormatting sqref="H148:H159">
    <cfRule type="cellIs" dxfId="1484" priority="74" operator="equal">
      <formula>130</formula>
    </cfRule>
  </conditionalFormatting>
  <conditionalFormatting sqref="J160:M160">
    <cfRule type="cellIs" dxfId="1483" priority="75" operator="equal">
      <formula>0</formula>
    </cfRule>
  </conditionalFormatting>
  <conditionalFormatting sqref="H161">
    <cfRule type="cellIs" dxfId="1482" priority="76" operator="equal">
      <formula>130</formula>
    </cfRule>
  </conditionalFormatting>
  <conditionalFormatting sqref="H130:H141">
    <cfRule type="cellIs" dxfId="1481" priority="77" operator="equal">
      <formula>130</formula>
    </cfRule>
  </conditionalFormatting>
  <conditionalFormatting sqref="J142:M142">
    <cfRule type="cellIs" dxfId="1480" priority="78" operator="equal">
      <formula>0</formula>
    </cfRule>
  </conditionalFormatting>
  <conditionalFormatting sqref="H143">
    <cfRule type="cellIs" dxfId="1479" priority="79" operator="equal">
      <formula>130</formula>
    </cfRule>
  </conditionalFormatting>
  <conditionalFormatting sqref="H112:H123">
    <cfRule type="cellIs" dxfId="1478" priority="80" operator="equal">
      <formula>130</formula>
    </cfRule>
  </conditionalFormatting>
  <conditionalFormatting sqref="J124:M124">
    <cfRule type="cellIs" dxfId="1477" priority="81" operator="equal">
      <formula>0</formula>
    </cfRule>
  </conditionalFormatting>
  <conditionalFormatting sqref="H125">
    <cfRule type="cellIs" dxfId="1476" priority="82" operator="equal">
      <formula>130</formula>
    </cfRule>
  </conditionalFormatting>
  <conditionalFormatting sqref="H94:H105">
    <cfRule type="cellIs" dxfId="1475" priority="83" operator="equal">
      <formula>130</formula>
    </cfRule>
  </conditionalFormatting>
  <conditionalFormatting sqref="J106:M106">
    <cfRule type="cellIs" dxfId="1474" priority="84" operator="equal">
      <formula>0</formula>
    </cfRule>
  </conditionalFormatting>
  <conditionalFormatting sqref="H107">
    <cfRule type="cellIs" dxfId="1473" priority="85" operator="equal">
      <formula>130</formula>
    </cfRule>
  </conditionalFormatting>
  <conditionalFormatting sqref="H76:H87">
    <cfRule type="cellIs" dxfId="1472" priority="86" operator="equal">
      <formula>130</formula>
    </cfRule>
  </conditionalFormatting>
  <conditionalFormatting sqref="J88:M88">
    <cfRule type="cellIs" dxfId="1471" priority="87" operator="equal">
      <formula>0</formula>
    </cfRule>
  </conditionalFormatting>
  <conditionalFormatting sqref="H89">
    <cfRule type="cellIs" dxfId="1470" priority="88" operator="equal">
      <formula>130</formula>
    </cfRule>
  </conditionalFormatting>
  <conditionalFormatting sqref="H544:H555">
    <cfRule type="cellIs" dxfId="1469" priority="98" operator="equal">
      <formula>130</formula>
    </cfRule>
  </conditionalFormatting>
  <conditionalFormatting sqref="J556:M556">
    <cfRule type="cellIs" dxfId="1468" priority="99" operator="equal">
      <formula>0</formula>
    </cfRule>
  </conditionalFormatting>
  <conditionalFormatting sqref="H557">
    <cfRule type="cellIs" dxfId="1467" priority="100" operator="equal">
      <formula>130</formula>
    </cfRule>
  </conditionalFormatting>
  <conditionalFormatting sqref="AK112:AN123">
    <cfRule type="cellIs" dxfId="1466" priority="110" operator="equal">
      <formula>0</formula>
    </cfRule>
  </conditionalFormatting>
  <conditionalFormatting sqref="AK40:AN51">
    <cfRule type="cellIs" dxfId="1465" priority="111" operator="equal">
      <formula>0</formula>
    </cfRule>
  </conditionalFormatting>
  <conditionalFormatting sqref="H1:H1048576">
    <cfRule type="cellIs" dxfId="1464" priority="112" operator="equal">
      <formula>110</formula>
    </cfRule>
    <cfRule type="cellIs" dxfId="1463" priority="113" operator="equal">
      <formula>110</formula>
    </cfRule>
  </conditionalFormatting>
  <conditionalFormatting sqref="H4:H15">
    <cfRule type="cellIs" dxfId="1462" priority="114" operator="equal">
      <formula>130</formula>
    </cfRule>
  </conditionalFormatting>
  <conditionalFormatting sqref="J16:M16">
    <cfRule type="cellIs" dxfId="1461" priority="115" operator="equal">
      <formula>0</formula>
    </cfRule>
  </conditionalFormatting>
  <conditionalFormatting sqref="H17">
    <cfRule type="cellIs" dxfId="1460" priority="116" operator="equal">
      <formula>130</formula>
    </cfRule>
  </conditionalFormatting>
  <conditionalFormatting sqref="AI544:AI555">
    <cfRule type="cellIs" dxfId="1459" priority="117" operator="equal">
      <formula>130</formula>
    </cfRule>
  </conditionalFormatting>
  <conditionalFormatting sqref="AK544:AN555">
    <cfRule type="cellIs" dxfId="1458" priority="118" operator="equal">
      <formula>0</formula>
    </cfRule>
  </conditionalFormatting>
  <conditionalFormatting sqref="AI526:AI537">
    <cfRule type="cellIs" dxfId="1457" priority="119" operator="equal">
      <formula>130</formula>
    </cfRule>
  </conditionalFormatting>
  <conditionalFormatting sqref="AK526:AN537">
    <cfRule type="cellIs" dxfId="1456" priority="120" operator="equal">
      <formula>0</formula>
    </cfRule>
  </conditionalFormatting>
  <conditionalFormatting sqref="AI508:AI519">
    <cfRule type="cellIs" dxfId="1455" priority="121" operator="equal">
      <formula>130</formula>
    </cfRule>
  </conditionalFormatting>
  <conditionalFormatting sqref="AK508:AN519">
    <cfRule type="cellIs" dxfId="1454" priority="122" operator="equal">
      <formula>0</formula>
    </cfRule>
  </conditionalFormatting>
  <conditionalFormatting sqref="AI490:AI501">
    <cfRule type="cellIs" dxfId="1453" priority="123" operator="equal">
      <formula>130</formula>
    </cfRule>
  </conditionalFormatting>
  <conditionalFormatting sqref="AK490:AN501">
    <cfRule type="cellIs" dxfId="1452" priority="124" operator="equal">
      <formula>0</formula>
    </cfRule>
  </conditionalFormatting>
  <conditionalFormatting sqref="AI472:AI483">
    <cfRule type="cellIs" dxfId="1451" priority="125" operator="equal">
      <formula>130</formula>
    </cfRule>
  </conditionalFormatting>
  <conditionalFormatting sqref="AK472:AN483">
    <cfRule type="cellIs" dxfId="1450" priority="126" operator="equal">
      <formula>0</formula>
    </cfRule>
  </conditionalFormatting>
  <conditionalFormatting sqref="AI454:AI465">
    <cfRule type="cellIs" dxfId="1449" priority="127" operator="equal">
      <formula>130</formula>
    </cfRule>
  </conditionalFormatting>
  <conditionalFormatting sqref="AK454:AN465">
    <cfRule type="cellIs" dxfId="1448" priority="128" operator="equal">
      <formula>0</formula>
    </cfRule>
  </conditionalFormatting>
  <conditionalFormatting sqref="AI436:AI447">
    <cfRule type="cellIs" dxfId="1447" priority="129" operator="equal">
      <formula>130</formula>
    </cfRule>
  </conditionalFormatting>
  <conditionalFormatting sqref="AK436:AN447">
    <cfRule type="cellIs" dxfId="1446" priority="130" operator="equal">
      <formula>0</formula>
    </cfRule>
  </conditionalFormatting>
  <conditionalFormatting sqref="AI418:AI429">
    <cfRule type="cellIs" dxfId="1445" priority="131" operator="equal">
      <formula>130</formula>
    </cfRule>
  </conditionalFormatting>
  <conditionalFormatting sqref="AK418:AN429">
    <cfRule type="cellIs" dxfId="1444" priority="132" operator="equal">
      <formula>0</formula>
    </cfRule>
  </conditionalFormatting>
  <conditionalFormatting sqref="AI400:AI411">
    <cfRule type="cellIs" dxfId="1443" priority="133" operator="equal">
      <formula>130</formula>
    </cfRule>
  </conditionalFormatting>
  <conditionalFormatting sqref="AK400:AN411">
    <cfRule type="cellIs" dxfId="1442" priority="134" operator="equal">
      <formula>0</formula>
    </cfRule>
  </conditionalFormatting>
  <conditionalFormatting sqref="AI382:AI393">
    <cfRule type="cellIs" dxfId="1441" priority="135" operator="equal">
      <formula>130</formula>
    </cfRule>
  </conditionalFormatting>
  <conditionalFormatting sqref="AK382:AN393">
    <cfRule type="cellIs" dxfId="1440" priority="136" operator="equal">
      <formula>0</formula>
    </cfRule>
  </conditionalFormatting>
  <conditionalFormatting sqref="AI364:AI375">
    <cfRule type="cellIs" dxfId="1439" priority="137" operator="equal">
      <formula>130</formula>
    </cfRule>
  </conditionalFormatting>
  <conditionalFormatting sqref="AK364:AN375">
    <cfRule type="cellIs" dxfId="1438" priority="138" operator="equal">
      <formula>0</formula>
    </cfRule>
  </conditionalFormatting>
  <conditionalFormatting sqref="AI346:AI357">
    <cfRule type="cellIs" dxfId="1437" priority="139" operator="equal">
      <formula>130</formula>
    </cfRule>
  </conditionalFormatting>
  <conditionalFormatting sqref="AK346:AN357">
    <cfRule type="cellIs" dxfId="1436" priority="140" operator="equal">
      <formula>0</formula>
    </cfRule>
  </conditionalFormatting>
  <conditionalFormatting sqref="AI328:AI339">
    <cfRule type="cellIs" dxfId="1435" priority="141" operator="equal">
      <formula>130</formula>
    </cfRule>
  </conditionalFormatting>
  <conditionalFormatting sqref="AK328:AN339">
    <cfRule type="cellIs" dxfId="1434" priority="142" operator="equal">
      <formula>0</formula>
    </cfRule>
  </conditionalFormatting>
  <conditionalFormatting sqref="AI310:AI321">
    <cfRule type="cellIs" dxfId="1433" priority="143" operator="equal">
      <formula>130</formula>
    </cfRule>
  </conditionalFormatting>
  <conditionalFormatting sqref="AK310:AN321">
    <cfRule type="cellIs" dxfId="1432" priority="144" operator="equal">
      <formula>0</formula>
    </cfRule>
  </conditionalFormatting>
  <conditionalFormatting sqref="AI292:AI303">
    <cfRule type="cellIs" dxfId="1431" priority="145" operator="equal">
      <formula>130</formula>
    </cfRule>
  </conditionalFormatting>
  <conditionalFormatting sqref="AK292:AN303">
    <cfRule type="cellIs" dxfId="1430" priority="146" operator="equal">
      <formula>0</formula>
    </cfRule>
  </conditionalFormatting>
  <conditionalFormatting sqref="AI274:AI285">
    <cfRule type="cellIs" dxfId="1429" priority="147" operator="equal">
      <formula>130</formula>
    </cfRule>
  </conditionalFormatting>
  <conditionalFormatting sqref="AK274:AN285">
    <cfRule type="cellIs" dxfId="1428" priority="148" operator="equal">
      <formula>0</formula>
    </cfRule>
  </conditionalFormatting>
  <conditionalFormatting sqref="AI256:AI267">
    <cfRule type="cellIs" dxfId="1427" priority="149" operator="equal">
      <formula>130</formula>
    </cfRule>
  </conditionalFormatting>
  <conditionalFormatting sqref="AK256:AN267">
    <cfRule type="cellIs" dxfId="1426" priority="150" operator="equal">
      <formula>0</formula>
    </cfRule>
  </conditionalFormatting>
  <conditionalFormatting sqref="AI238:AI249">
    <cfRule type="cellIs" dxfId="1425" priority="151" operator="equal">
      <formula>130</formula>
    </cfRule>
  </conditionalFormatting>
  <conditionalFormatting sqref="AK238:AN249">
    <cfRule type="cellIs" dxfId="1424" priority="152" operator="equal">
      <formula>0</formula>
    </cfRule>
  </conditionalFormatting>
  <conditionalFormatting sqref="AI220:AI231">
    <cfRule type="cellIs" dxfId="1423" priority="153" operator="equal">
      <formula>130</formula>
    </cfRule>
  </conditionalFormatting>
  <conditionalFormatting sqref="AK220:AN231">
    <cfRule type="cellIs" dxfId="1422" priority="154" operator="equal">
      <formula>0</formula>
    </cfRule>
  </conditionalFormatting>
  <conditionalFormatting sqref="AI202:AI213">
    <cfRule type="cellIs" dxfId="1421" priority="155" operator="equal">
      <formula>130</formula>
    </cfRule>
  </conditionalFormatting>
  <conditionalFormatting sqref="AK202:AN213">
    <cfRule type="cellIs" dxfId="1420" priority="156" operator="equal">
      <formula>0</formula>
    </cfRule>
  </conditionalFormatting>
  <conditionalFormatting sqref="AI184:AI195">
    <cfRule type="cellIs" dxfId="1419" priority="157" operator="equal">
      <formula>130</formula>
    </cfRule>
  </conditionalFormatting>
  <conditionalFormatting sqref="AK184:AN195">
    <cfRule type="cellIs" dxfId="1418" priority="158" operator="equal">
      <formula>0</formula>
    </cfRule>
  </conditionalFormatting>
  <conditionalFormatting sqref="AI166:AI177">
    <cfRule type="cellIs" dxfId="1417" priority="159" operator="equal">
      <formula>130</formula>
    </cfRule>
  </conditionalFormatting>
  <conditionalFormatting sqref="AK166:AN177">
    <cfRule type="cellIs" dxfId="1416" priority="160" operator="equal">
      <formula>0</formula>
    </cfRule>
  </conditionalFormatting>
  <conditionalFormatting sqref="AI148:AI159">
    <cfRule type="cellIs" dxfId="1415" priority="161" operator="equal">
      <formula>130</formula>
    </cfRule>
  </conditionalFormatting>
  <conditionalFormatting sqref="AK148:AN159">
    <cfRule type="cellIs" dxfId="1414" priority="162" operator="equal">
      <formula>0</formula>
    </cfRule>
  </conditionalFormatting>
  <conditionalFormatting sqref="AI130:AI141">
    <cfRule type="cellIs" dxfId="1413" priority="163" operator="equal">
      <formula>130</formula>
    </cfRule>
  </conditionalFormatting>
  <conditionalFormatting sqref="AK130:AN141">
    <cfRule type="cellIs" dxfId="1412" priority="164" operator="equal">
      <formula>0</formula>
    </cfRule>
  </conditionalFormatting>
  <conditionalFormatting sqref="AI112:AI123">
    <cfRule type="cellIs" dxfId="1411" priority="165" operator="equal">
      <formula>130</formula>
    </cfRule>
  </conditionalFormatting>
  <conditionalFormatting sqref="AI94:AI105">
    <cfRule type="cellIs" dxfId="1410" priority="166" operator="equal">
      <formula>130</formula>
    </cfRule>
  </conditionalFormatting>
  <conditionalFormatting sqref="AK94:AN105">
    <cfRule type="cellIs" dxfId="1409" priority="167" operator="equal">
      <formula>0</formula>
    </cfRule>
  </conditionalFormatting>
  <conditionalFormatting sqref="AI76:AI87">
    <cfRule type="cellIs" dxfId="1408" priority="168" operator="equal">
      <formula>130</formula>
    </cfRule>
  </conditionalFormatting>
  <conditionalFormatting sqref="AK76:AN87">
    <cfRule type="cellIs" dxfId="1407" priority="169" operator="equal">
      <formula>0</formula>
    </cfRule>
  </conditionalFormatting>
  <conditionalFormatting sqref="AI58:AI69">
    <cfRule type="cellIs" dxfId="1406" priority="170" operator="equal">
      <formula>130</formula>
    </cfRule>
  </conditionalFormatting>
  <conditionalFormatting sqref="AK58:AN69">
    <cfRule type="cellIs" dxfId="1405" priority="171" operator="equal">
      <formula>0</formula>
    </cfRule>
  </conditionalFormatting>
  <conditionalFormatting sqref="AI40:AI51">
    <cfRule type="cellIs" dxfId="1404" priority="172" operator="equal">
      <formula>130</formula>
    </cfRule>
  </conditionalFormatting>
  <conditionalFormatting sqref="AI22:AI33">
    <cfRule type="cellIs" dxfId="1403" priority="173" operator="equal">
      <formula>130</formula>
    </cfRule>
  </conditionalFormatting>
  <conditionalFormatting sqref="AK22:AN33">
    <cfRule type="cellIs" dxfId="1402" priority="174" operator="equal">
      <formula>0</formula>
    </cfRule>
  </conditionalFormatting>
  <conditionalFormatting sqref="AX1:AY1048576">
    <cfRule type="cellIs" dxfId="1401" priority="175" operator="equal">
      <formula>0</formula>
    </cfRule>
  </conditionalFormatting>
  <conditionalFormatting sqref="AI4:AI15">
    <cfRule type="cellIs" dxfId="1400" priority="176" operator="equal">
      <formula>130</formula>
    </cfRule>
  </conditionalFormatting>
  <conditionalFormatting sqref="AK4:AN15">
    <cfRule type="cellIs" dxfId="1399" priority="177" operator="equal">
      <formula>0</formula>
    </cfRule>
  </conditionalFormatting>
  <conditionalFormatting sqref="H490:H501">
    <cfRule type="cellIs" dxfId="1398" priority="16" operator="equal">
      <formula>130</formula>
    </cfRule>
  </conditionalFormatting>
  <conditionalFormatting sqref="J502:M502">
    <cfRule type="cellIs" dxfId="1397" priority="17" operator="equal">
      <formula>0</formula>
    </cfRule>
  </conditionalFormatting>
  <conditionalFormatting sqref="H503">
    <cfRule type="cellIs" dxfId="1396" priority="18" operator="equal">
      <formula>130</formula>
    </cfRule>
  </conditionalFormatting>
  <conditionalFormatting sqref="H508:H519">
    <cfRule type="cellIs" dxfId="1395" priority="13" operator="equal">
      <formula>130</formula>
    </cfRule>
  </conditionalFormatting>
  <conditionalFormatting sqref="J520:M520">
    <cfRule type="cellIs" dxfId="1394" priority="14" operator="equal">
      <formula>0</formula>
    </cfRule>
  </conditionalFormatting>
  <conditionalFormatting sqref="H521">
    <cfRule type="cellIs" dxfId="1393" priority="15" operator="equal">
      <formula>130</formula>
    </cfRule>
  </conditionalFormatting>
  <conditionalFormatting sqref="H526:H537">
    <cfRule type="cellIs" dxfId="1392" priority="10" operator="equal">
      <formula>130</formula>
    </cfRule>
  </conditionalFormatting>
  <conditionalFormatting sqref="J538:M538">
    <cfRule type="cellIs" dxfId="1391" priority="11" operator="equal">
      <formula>0</formula>
    </cfRule>
  </conditionalFormatting>
  <conditionalFormatting sqref="H539">
    <cfRule type="cellIs" dxfId="1390" priority="12" operator="equal">
      <formula>130</formula>
    </cfRule>
  </conditionalFormatting>
  <conditionalFormatting sqref="H22:H33">
    <cfRule type="cellIs" dxfId="1389" priority="7" operator="equal">
      <formula>130</formula>
    </cfRule>
  </conditionalFormatting>
  <conditionalFormatting sqref="J34:M34">
    <cfRule type="cellIs" dxfId="1388" priority="8" operator="equal">
      <formula>0</formula>
    </cfRule>
  </conditionalFormatting>
  <conditionalFormatting sqref="H35">
    <cfRule type="cellIs" dxfId="1387" priority="9" operator="equal">
      <formula>130</formula>
    </cfRule>
  </conditionalFormatting>
  <conditionalFormatting sqref="H40:H51">
    <cfRule type="cellIs" dxfId="1386" priority="4" operator="equal">
      <formula>130</formula>
    </cfRule>
  </conditionalFormatting>
  <conditionalFormatting sqref="J52:M52">
    <cfRule type="cellIs" dxfId="1385" priority="5" operator="equal">
      <formula>0</formula>
    </cfRule>
  </conditionalFormatting>
  <conditionalFormatting sqref="H53">
    <cfRule type="cellIs" dxfId="1384" priority="6" operator="equal">
      <formula>130</formula>
    </cfRule>
  </conditionalFormatting>
  <conditionalFormatting sqref="H58:H69">
    <cfRule type="cellIs" dxfId="1383" priority="1" operator="equal">
      <formula>130</formula>
    </cfRule>
  </conditionalFormatting>
  <conditionalFormatting sqref="J70:M70">
    <cfRule type="cellIs" dxfId="1382" priority="2" operator="equal">
      <formula>0</formula>
    </cfRule>
  </conditionalFormatting>
  <conditionalFormatting sqref="H71">
    <cfRule type="cellIs" dxfId="1381" priority="3" operator="equal">
      <formula>130</formula>
    </cfRule>
  </conditionalFormatting>
  <pageMargins left="0.7" right="0.7" top="0.75" bottom="0.75" header="0.511811023622047" footer="0.511811023622047"/>
  <pageSetup paperSize="9" scale="88" orientation="landscape" horizontalDpi="300" verticalDpi="300"/>
  <colBreaks count="1" manualBreakCount="1">
    <brk id="3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U558"/>
  <sheetViews>
    <sheetView zoomScaleNormal="100" workbookViewId="0">
      <selection sqref="A1:U18"/>
    </sheetView>
  </sheetViews>
  <sheetFormatPr defaultColWidth="8.7109375" defaultRowHeight="15" customHeight="1"/>
  <cols>
    <col min="1" max="1" width="11.28515625" customWidth="1"/>
    <col min="2" max="2" width="6.85546875" customWidth="1"/>
    <col min="3" max="3" width="4.42578125" customWidth="1"/>
    <col min="4" max="4" width="5.7109375" customWidth="1"/>
    <col min="5" max="5" width="4.42578125" customWidth="1"/>
    <col min="6" max="7" width="5.42578125" customWidth="1"/>
  </cols>
  <sheetData>
    <row r="1" spans="1:21" ht="21" customHeight="1">
      <c r="A1" s="1294" t="s">
        <v>68</v>
      </c>
      <c r="B1" s="1294"/>
      <c r="C1" s="1294"/>
      <c r="D1" s="1294"/>
      <c r="E1" s="1294"/>
      <c r="F1" s="1294"/>
      <c r="G1" s="1294"/>
      <c r="H1" s="1294"/>
      <c r="I1" s="1294"/>
      <c r="J1" s="1294"/>
      <c r="K1" s="1294"/>
      <c r="L1" s="1294"/>
      <c r="M1" s="1294"/>
      <c r="N1" s="1294"/>
      <c r="O1" s="1294"/>
      <c r="P1" s="1294"/>
      <c r="Q1" s="1294"/>
      <c r="R1" s="1294"/>
      <c r="S1" s="1294"/>
      <c r="T1" s="1294"/>
      <c r="U1" s="1294"/>
    </row>
    <row r="2" spans="1:21" ht="15" customHeight="1">
      <c r="A2" s="1295" t="s">
        <v>26</v>
      </c>
      <c r="B2" s="206"/>
      <c r="C2" s="1296" t="s">
        <v>28</v>
      </c>
      <c r="D2" s="1296"/>
      <c r="E2" s="1296"/>
      <c r="F2" s="1296"/>
      <c r="G2" s="1296"/>
      <c r="H2" s="1296" t="s">
        <v>1</v>
      </c>
      <c r="I2" s="1297" t="s">
        <v>30</v>
      </c>
      <c r="J2" s="1297"/>
      <c r="K2" s="1297"/>
      <c r="L2" s="1297"/>
      <c r="M2" s="1298" t="s">
        <v>69</v>
      </c>
      <c r="N2" s="1298" t="s">
        <v>70</v>
      </c>
      <c r="O2" s="1297"/>
      <c r="P2" s="1297"/>
      <c r="Q2" s="1297"/>
      <c r="R2" s="1297"/>
      <c r="S2" s="1298" t="s">
        <v>69</v>
      </c>
      <c r="T2" s="1298" t="s">
        <v>70</v>
      </c>
      <c r="U2" s="1299" t="s">
        <v>71</v>
      </c>
    </row>
    <row r="3" spans="1:21" ht="15" customHeight="1">
      <c r="A3" s="1295"/>
      <c r="B3" s="209" t="s">
        <v>27</v>
      </c>
      <c r="C3" s="210" t="s">
        <v>72</v>
      </c>
      <c r="D3" s="210" t="s">
        <v>41</v>
      </c>
      <c r="E3" s="210" t="s">
        <v>73</v>
      </c>
      <c r="F3" s="210" t="s">
        <v>74</v>
      </c>
      <c r="G3" s="210" t="s">
        <v>44</v>
      </c>
      <c r="H3" s="1296"/>
      <c r="I3" s="211" t="s">
        <v>45</v>
      </c>
      <c r="J3" s="211" t="s">
        <v>46</v>
      </c>
      <c r="K3" s="211" t="s">
        <v>47</v>
      </c>
      <c r="L3" s="211" t="s">
        <v>48</v>
      </c>
      <c r="M3" s="1298"/>
      <c r="N3" s="1298"/>
      <c r="O3" s="211" t="s">
        <v>75</v>
      </c>
      <c r="P3" s="211" t="s">
        <v>46</v>
      </c>
      <c r="Q3" s="211" t="s">
        <v>47</v>
      </c>
      <c r="R3" s="211" t="s">
        <v>48</v>
      </c>
      <c r="S3" s="1298"/>
      <c r="T3" s="1298"/>
      <c r="U3" s="1299"/>
    </row>
    <row r="4" spans="1:21" ht="15" customHeight="1">
      <c r="A4" s="212">
        <f>Prod.!A4</f>
        <v>46296</v>
      </c>
      <c r="B4" s="213" t="str">
        <f>Prod.!B4</f>
        <v>1.10.1</v>
      </c>
      <c r="C4" s="214">
        <f>Prod.!C4</f>
        <v>0</v>
      </c>
      <c r="D4" s="214">
        <f>Prod.!D4</f>
        <v>0</v>
      </c>
      <c r="E4" s="214">
        <f>Prod.!E4</f>
        <v>0</v>
      </c>
      <c r="F4" s="215">
        <f>Prod.!F4</f>
        <v>0</v>
      </c>
      <c r="G4" s="215">
        <f>Prod.!G4</f>
        <v>0</v>
      </c>
      <c r="H4" s="207" t="str">
        <f>IF(Prod.!H4=130,"130 × 130",IF(Prod.!H4=160,"160 × 160",IF(Prod.!H4=110,"110 × 110","")))</f>
        <v/>
      </c>
      <c r="I4" s="211">
        <f>Prod.!J4</f>
        <v>0</v>
      </c>
      <c r="J4" s="211">
        <f>Prod.!K4</f>
        <v>0</v>
      </c>
      <c r="K4" s="211">
        <f>Prod.!L4</f>
        <v>0</v>
      </c>
      <c r="L4" s="211">
        <f>Prod.!M4</f>
        <v>0</v>
      </c>
      <c r="M4" s="216">
        <f>Prod.!N4</f>
        <v>0</v>
      </c>
      <c r="N4" s="217">
        <f>Prod.!O4</f>
        <v>0</v>
      </c>
      <c r="O4" s="167">
        <f>Prod.!P4</f>
        <v>0</v>
      </c>
      <c r="P4" s="167">
        <f>Prod.!Q4</f>
        <v>0</v>
      </c>
      <c r="Q4" s="167">
        <f>Prod.!R4</f>
        <v>0</v>
      </c>
      <c r="R4" s="167">
        <f>Prod.!S4</f>
        <v>0</v>
      </c>
      <c r="S4" s="86">
        <f t="shared" ref="S4:S15" si="0">O4*3+P4*4+Q4*5+R4*6</f>
        <v>0</v>
      </c>
      <c r="T4" s="217" t="str">
        <f>Prod.!U4</f>
        <v/>
      </c>
      <c r="U4" s="218" t="str">
        <f>Prod.!AB4</f>
        <v/>
      </c>
    </row>
    <row r="5" spans="1:21" ht="15" customHeight="1">
      <c r="A5" s="219"/>
      <c r="B5" s="213" t="str">
        <f>Prod.!B5</f>
        <v>1.10.2</v>
      </c>
      <c r="C5" s="214">
        <f>Prod.!C5</f>
        <v>0</v>
      </c>
      <c r="D5" s="214">
        <f>Prod.!D5</f>
        <v>0</v>
      </c>
      <c r="E5" s="214">
        <f>Prod.!E5</f>
        <v>0</v>
      </c>
      <c r="F5" s="215">
        <f>Prod.!F5</f>
        <v>0</v>
      </c>
      <c r="G5" s="215">
        <f>Prod.!G5</f>
        <v>0</v>
      </c>
      <c r="H5" s="207" t="str">
        <f>IF(Prod.!H5=130,"130 × 130",IF(Prod.!H5=160,"160 × 160",IF(Prod.!H5=110,"110 × 110","")))</f>
        <v/>
      </c>
      <c r="I5" s="211">
        <f>Prod.!J5</f>
        <v>0</v>
      </c>
      <c r="J5" s="211">
        <f>Prod.!K5</f>
        <v>0</v>
      </c>
      <c r="K5" s="211">
        <f>Prod.!L5</f>
        <v>0</v>
      </c>
      <c r="L5" s="211">
        <f>Prod.!M5</f>
        <v>0</v>
      </c>
      <c r="M5" s="216">
        <f>Prod.!N5</f>
        <v>0</v>
      </c>
      <c r="N5" s="217">
        <f>Prod.!O5</f>
        <v>0</v>
      </c>
      <c r="O5" s="167">
        <f>Prod.!P5</f>
        <v>0</v>
      </c>
      <c r="P5" s="167">
        <f>Prod.!Q5</f>
        <v>0</v>
      </c>
      <c r="Q5" s="167">
        <f>Prod.!R5</f>
        <v>0</v>
      </c>
      <c r="R5" s="167">
        <f>Prod.!S5</f>
        <v>0</v>
      </c>
      <c r="S5" s="86">
        <f t="shared" si="0"/>
        <v>0</v>
      </c>
      <c r="T5" s="217" t="str">
        <f>Prod.!U5</f>
        <v/>
      </c>
      <c r="U5" s="218" t="str">
        <f>Prod.!AB5</f>
        <v/>
      </c>
    </row>
    <row r="6" spans="1:21" ht="15" customHeight="1">
      <c r="A6" s="219"/>
      <c r="B6" s="213" t="str">
        <f>Prod.!B6</f>
        <v>1.10.3</v>
      </c>
      <c r="C6" s="214">
        <f>Prod.!C6</f>
        <v>0</v>
      </c>
      <c r="D6" s="214">
        <f>Prod.!D6</f>
        <v>0</v>
      </c>
      <c r="E6" s="214">
        <f>Prod.!E6</f>
        <v>0</v>
      </c>
      <c r="F6" s="215">
        <f>Prod.!F6</f>
        <v>0</v>
      </c>
      <c r="G6" s="215">
        <f>Prod.!G6</f>
        <v>0</v>
      </c>
      <c r="H6" s="207" t="str">
        <f>IF(Prod.!H6=130,"130 × 130",IF(Prod.!H6=160,"160 × 160",IF(Prod.!H6=110,"110 × 110","")))</f>
        <v/>
      </c>
      <c r="I6" s="211">
        <f>Prod.!J6</f>
        <v>0</v>
      </c>
      <c r="J6" s="211">
        <f>Prod.!K6</f>
        <v>0</v>
      </c>
      <c r="K6" s="211">
        <f>Prod.!L6</f>
        <v>0</v>
      </c>
      <c r="L6" s="211">
        <f>Prod.!M6</f>
        <v>0</v>
      </c>
      <c r="M6" s="216">
        <f>Prod.!N6</f>
        <v>0</v>
      </c>
      <c r="N6" s="217">
        <f>Prod.!O6</f>
        <v>0</v>
      </c>
      <c r="O6" s="167">
        <f>Prod.!P6</f>
        <v>0</v>
      </c>
      <c r="P6" s="167">
        <f>Prod.!Q6</f>
        <v>0</v>
      </c>
      <c r="Q6" s="167">
        <f>Prod.!R6</f>
        <v>0</v>
      </c>
      <c r="R6" s="167">
        <f>Prod.!S6</f>
        <v>0</v>
      </c>
      <c r="S6" s="86">
        <f t="shared" si="0"/>
        <v>0</v>
      </c>
      <c r="T6" s="217" t="str">
        <f>Prod.!U6</f>
        <v/>
      </c>
      <c r="U6" s="218" t="str">
        <f>Prod.!AB6</f>
        <v/>
      </c>
    </row>
    <row r="7" spans="1:21" ht="15" customHeight="1">
      <c r="A7" s="219"/>
      <c r="B7" s="213" t="str">
        <f>Prod.!B7</f>
        <v>1.10.4</v>
      </c>
      <c r="C7" s="214">
        <f>Prod.!C7</f>
        <v>0</v>
      </c>
      <c r="D7" s="214">
        <f>Prod.!D7</f>
        <v>0</v>
      </c>
      <c r="E7" s="214">
        <f>Prod.!E7</f>
        <v>0</v>
      </c>
      <c r="F7" s="215">
        <f>Prod.!F7</f>
        <v>0</v>
      </c>
      <c r="G7" s="215">
        <f>Prod.!G7</f>
        <v>0</v>
      </c>
      <c r="H7" s="207" t="str">
        <f>IF(Prod.!H7=130,"130 × 130",IF(Prod.!H7=160,"160 × 160",IF(Prod.!H7=110,"110 × 110","")))</f>
        <v/>
      </c>
      <c r="I7" s="211">
        <f>Prod.!J7</f>
        <v>0</v>
      </c>
      <c r="J7" s="211">
        <f>Prod.!K7</f>
        <v>0</v>
      </c>
      <c r="K7" s="211">
        <f>Prod.!L7</f>
        <v>0</v>
      </c>
      <c r="L7" s="211">
        <f>Prod.!M7</f>
        <v>0</v>
      </c>
      <c r="M7" s="216">
        <f>Prod.!N7</f>
        <v>0</v>
      </c>
      <c r="N7" s="217">
        <f>Prod.!O7</f>
        <v>0</v>
      </c>
      <c r="O7" s="167">
        <f>Prod.!P7</f>
        <v>0</v>
      </c>
      <c r="P7" s="167">
        <f>Prod.!Q7</f>
        <v>0</v>
      </c>
      <c r="Q7" s="167">
        <f>Prod.!R7</f>
        <v>0</v>
      </c>
      <c r="R7" s="167">
        <f>Prod.!S7</f>
        <v>0</v>
      </c>
      <c r="S7" s="86">
        <f t="shared" si="0"/>
        <v>0</v>
      </c>
      <c r="T7" s="217" t="str">
        <f>Prod.!U7</f>
        <v/>
      </c>
      <c r="U7" s="218" t="str">
        <f>Prod.!AB7</f>
        <v/>
      </c>
    </row>
    <row r="8" spans="1:21" ht="15" customHeight="1">
      <c r="A8" s="219"/>
      <c r="B8" s="213" t="str">
        <f>Prod.!B8</f>
        <v>1.10.5</v>
      </c>
      <c r="C8" s="214">
        <f>Prod.!C8</f>
        <v>0</v>
      </c>
      <c r="D8" s="214">
        <f>Prod.!D8</f>
        <v>0</v>
      </c>
      <c r="E8" s="214">
        <f>Prod.!E8</f>
        <v>0</v>
      </c>
      <c r="F8" s="215">
        <f>Prod.!F8</f>
        <v>0</v>
      </c>
      <c r="G8" s="215">
        <f>Prod.!G8</f>
        <v>0</v>
      </c>
      <c r="H8" s="207" t="str">
        <f>IF(Prod.!H8=130,"130 × 130",IF(Prod.!H8=160,"160 × 160",IF(Prod.!H8=110,"110 × 110","")))</f>
        <v/>
      </c>
      <c r="I8" s="211">
        <f>Prod.!J8</f>
        <v>0</v>
      </c>
      <c r="J8" s="211">
        <f>Prod.!K8</f>
        <v>0</v>
      </c>
      <c r="K8" s="211">
        <f>Prod.!L8</f>
        <v>0</v>
      </c>
      <c r="L8" s="211">
        <f>Prod.!M8</f>
        <v>0</v>
      </c>
      <c r="M8" s="216">
        <f>Prod.!N8</f>
        <v>0</v>
      </c>
      <c r="N8" s="217">
        <f>Prod.!O8</f>
        <v>0</v>
      </c>
      <c r="O8" s="167">
        <f>Prod.!P8</f>
        <v>0</v>
      </c>
      <c r="P8" s="167">
        <f>Prod.!Q8</f>
        <v>0</v>
      </c>
      <c r="Q8" s="167">
        <f>Prod.!R8</f>
        <v>0</v>
      </c>
      <c r="R8" s="167">
        <f>Prod.!S8</f>
        <v>0</v>
      </c>
      <c r="S8" s="86">
        <f t="shared" si="0"/>
        <v>0</v>
      </c>
      <c r="T8" s="217" t="str">
        <f>Prod.!U8</f>
        <v/>
      </c>
      <c r="U8" s="218" t="str">
        <f>Prod.!AB8</f>
        <v/>
      </c>
    </row>
    <row r="9" spans="1:21" ht="15" customHeight="1">
      <c r="A9" s="219"/>
      <c r="B9" s="213" t="str">
        <f>Prod.!B9</f>
        <v>1.10.6</v>
      </c>
      <c r="C9" s="214">
        <f>Prod.!C9</f>
        <v>0</v>
      </c>
      <c r="D9" s="214">
        <f>Prod.!D9</f>
        <v>0</v>
      </c>
      <c r="E9" s="214">
        <f>Prod.!E9</f>
        <v>0</v>
      </c>
      <c r="F9" s="215">
        <f>Prod.!F9</f>
        <v>0</v>
      </c>
      <c r="G9" s="215">
        <f>Prod.!G9</f>
        <v>0</v>
      </c>
      <c r="H9" s="207" t="str">
        <f>IF(Prod.!H9=130,"130 × 130",IF(Prod.!H9=160,"160 × 160",IF(Prod.!H9=110,"110 × 110","")))</f>
        <v/>
      </c>
      <c r="I9" s="211">
        <f>Prod.!J9</f>
        <v>0</v>
      </c>
      <c r="J9" s="211">
        <f>Prod.!K9</f>
        <v>0</v>
      </c>
      <c r="K9" s="211">
        <f>Prod.!L9</f>
        <v>0</v>
      </c>
      <c r="L9" s="211">
        <f>Prod.!M9</f>
        <v>0</v>
      </c>
      <c r="M9" s="216">
        <f>Prod.!N9</f>
        <v>0</v>
      </c>
      <c r="N9" s="217">
        <f>Prod.!O9</f>
        <v>0</v>
      </c>
      <c r="O9" s="167">
        <f>Prod.!P9</f>
        <v>0</v>
      </c>
      <c r="P9" s="167">
        <f>Prod.!Q9</f>
        <v>0</v>
      </c>
      <c r="Q9" s="167">
        <f>Prod.!R9</f>
        <v>0</v>
      </c>
      <c r="R9" s="167">
        <f>Prod.!S9</f>
        <v>0</v>
      </c>
      <c r="S9" s="86">
        <f t="shared" si="0"/>
        <v>0</v>
      </c>
      <c r="T9" s="217" t="str">
        <f>Prod.!U9</f>
        <v/>
      </c>
      <c r="U9" s="218" t="str">
        <f>Prod.!AB9</f>
        <v/>
      </c>
    </row>
    <row r="10" spans="1:21" ht="15" customHeight="1">
      <c r="A10" s="219"/>
      <c r="B10" s="213" t="str">
        <f>Prod.!B10</f>
        <v>1.10.7</v>
      </c>
      <c r="C10" s="214">
        <f>Prod.!C10</f>
        <v>0</v>
      </c>
      <c r="D10" s="214">
        <f>Prod.!D10</f>
        <v>0</v>
      </c>
      <c r="E10" s="214">
        <f>Prod.!E10</f>
        <v>0</v>
      </c>
      <c r="F10" s="215">
        <f>Prod.!F10</f>
        <v>0</v>
      </c>
      <c r="G10" s="215">
        <f>Prod.!G10</f>
        <v>0</v>
      </c>
      <c r="H10" s="246" t="str">
        <f>IF(Prod.!H10=130,"130 × 130",IF(Prod.!H10=160,"160 × 160",IF(Prod.!H10=110,"110 × 110","")))</f>
        <v/>
      </c>
      <c r="I10" s="211">
        <f>Prod.!J10</f>
        <v>0</v>
      </c>
      <c r="J10" s="211">
        <f>Prod.!K10</f>
        <v>0</v>
      </c>
      <c r="K10" s="211">
        <f>Prod.!L10</f>
        <v>0</v>
      </c>
      <c r="L10" s="211">
        <f>Prod.!M10</f>
        <v>0</v>
      </c>
      <c r="M10" s="216">
        <f>Prod.!N10</f>
        <v>0</v>
      </c>
      <c r="N10" s="217">
        <f>Prod.!O10</f>
        <v>0</v>
      </c>
      <c r="O10" s="167">
        <f>Prod.!P10</f>
        <v>0</v>
      </c>
      <c r="P10" s="167">
        <f>Prod.!Q10</f>
        <v>0</v>
      </c>
      <c r="Q10" s="167">
        <f>Prod.!R10</f>
        <v>0</v>
      </c>
      <c r="R10" s="167">
        <f>Prod.!S10</f>
        <v>0</v>
      </c>
      <c r="S10" s="86">
        <f t="shared" si="0"/>
        <v>0</v>
      </c>
      <c r="T10" s="217" t="str">
        <f>Prod.!U10</f>
        <v/>
      </c>
      <c r="U10" s="218" t="str">
        <f>Prod.!AB10</f>
        <v/>
      </c>
    </row>
    <row r="11" spans="1:21" ht="15" customHeight="1">
      <c r="A11" s="219"/>
      <c r="B11" s="213" t="str">
        <f>Prod.!B11</f>
        <v>1.10.8</v>
      </c>
      <c r="C11" s="214">
        <f>Prod.!C11</f>
        <v>0</v>
      </c>
      <c r="D11" s="214">
        <f>Prod.!D11</f>
        <v>0</v>
      </c>
      <c r="E11" s="214">
        <f>Prod.!E11</f>
        <v>0</v>
      </c>
      <c r="F11" s="215">
        <f>Prod.!F11</f>
        <v>0</v>
      </c>
      <c r="G11" s="215">
        <f>Prod.!G11</f>
        <v>0</v>
      </c>
      <c r="H11" s="246" t="str">
        <f>IF(Prod.!H11=130,"130 × 130",IF(Prod.!H11=160,"160 × 160",IF(Prod.!H11=110,"110 × 110","")))</f>
        <v/>
      </c>
      <c r="I11" s="211">
        <f>Prod.!J11</f>
        <v>0</v>
      </c>
      <c r="J11" s="211">
        <f>Prod.!K11</f>
        <v>0</v>
      </c>
      <c r="K11" s="211">
        <f>Prod.!L11</f>
        <v>0</v>
      </c>
      <c r="L11" s="211">
        <f>Prod.!M11</f>
        <v>0</v>
      </c>
      <c r="M11" s="216">
        <f>Prod.!N11</f>
        <v>0</v>
      </c>
      <c r="N11" s="217">
        <f>Prod.!O11</f>
        <v>0</v>
      </c>
      <c r="O11" s="167">
        <f>Prod.!P11</f>
        <v>0</v>
      </c>
      <c r="P11" s="167">
        <f>Prod.!Q11</f>
        <v>0</v>
      </c>
      <c r="Q11" s="167">
        <f>Prod.!R11</f>
        <v>0</v>
      </c>
      <c r="R11" s="167">
        <f>Prod.!S11</f>
        <v>0</v>
      </c>
      <c r="S11" s="86">
        <f t="shared" si="0"/>
        <v>0</v>
      </c>
      <c r="T11" s="217" t="str">
        <f>Prod.!U11</f>
        <v/>
      </c>
      <c r="U11" s="218" t="str">
        <f>Prod.!AB11</f>
        <v/>
      </c>
    </row>
    <row r="12" spans="1:21" ht="15" customHeight="1">
      <c r="A12" s="219"/>
      <c r="B12" s="213" t="str">
        <f>Prod.!B12</f>
        <v>1.10.9</v>
      </c>
      <c r="C12" s="214">
        <f>Prod.!C12</f>
        <v>0</v>
      </c>
      <c r="D12" s="214">
        <f>Prod.!D12</f>
        <v>0</v>
      </c>
      <c r="E12" s="214">
        <f>Prod.!E12</f>
        <v>0</v>
      </c>
      <c r="F12" s="215">
        <f>Prod.!F12</f>
        <v>0</v>
      </c>
      <c r="G12" s="215">
        <f>Prod.!G12</f>
        <v>0</v>
      </c>
      <c r="H12" s="246" t="str">
        <f>IF(Prod.!H12=130,"130 × 130",IF(Prod.!H12=160,"160 × 160",IF(Prod.!H12=110,"110 × 110","")))</f>
        <v/>
      </c>
      <c r="I12" s="211">
        <f>Prod.!J12</f>
        <v>0</v>
      </c>
      <c r="J12" s="211">
        <f>Prod.!K12</f>
        <v>0</v>
      </c>
      <c r="K12" s="211">
        <f>Prod.!L12</f>
        <v>0</v>
      </c>
      <c r="L12" s="211">
        <f>Prod.!M12</f>
        <v>0</v>
      </c>
      <c r="M12" s="216">
        <f>Prod.!N12</f>
        <v>0</v>
      </c>
      <c r="N12" s="217">
        <f>Prod.!O12</f>
        <v>0</v>
      </c>
      <c r="O12" s="167">
        <f>Prod.!P12</f>
        <v>0</v>
      </c>
      <c r="P12" s="167">
        <f>Prod.!Q12</f>
        <v>0</v>
      </c>
      <c r="Q12" s="167">
        <f>Prod.!R12</f>
        <v>0</v>
      </c>
      <c r="R12" s="167">
        <f>Prod.!S12</f>
        <v>0</v>
      </c>
      <c r="S12" s="86">
        <f t="shared" si="0"/>
        <v>0</v>
      </c>
      <c r="T12" s="217" t="str">
        <f>Prod.!U12</f>
        <v/>
      </c>
      <c r="U12" s="218" t="str">
        <f>Prod.!AB12</f>
        <v/>
      </c>
    </row>
    <row r="13" spans="1:21" ht="15" customHeight="1">
      <c r="A13" s="219"/>
      <c r="B13" s="213" t="str">
        <f>Prod.!B13</f>
        <v>1.10.10</v>
      </c>
      <c r="C13" s="214">
        <f>Prod.!C13</f>
        <v>0</v>
      </c>
      <c r="D13" s="214">
        <f>Prod.!D13</f>
        <v>0</v>
      </c>
      <c r="E13" s="214">
        <f>Prod.!E13</f>
        <v>0</v>
      </c>
      <c r="F13" s="215">
        <f>Prod.!F13</f>
        <v>0</v>
      </c>
      <c r="G13" s="215">
        <f>Prod.!G13</f>
        <v>0</v>
      </c>
      <c r="H13" s="207" t="str">
        <f>IF(Prod.!H13=130,"130 × 130",IF(Prod.!H13=160,"160 × 160",IF(Prod.!H13=110,"110 × 110","")))</f>
        <v/>
      </c>
      <c r="I13" s="211">
        <f>Prod.!J13</f>
        <v>0</v>
      </c>
      <c r="J13" s="211">
        <f>Prod.!K13</f>
        <v>0</v>
      </c>
      <c r="K13" s="211">
        <f>Prod.!L13</f>
        <v>0</v>
      </c>
      <c r="L13" s="211">
        <f>Prod.!M13</f>
        <v>0</v>
      </c>
      <c r="M13" s="216">
        <f>Prod.!N13</f>
        <v>0</v>
      </c>
      <c r="N13" s="217">
        <f>Prod.!O13</f>
        <v>0</v>
      </c>
      <c r="O13" s="167">
        <f>Prod.!P13</f>
        <v>0</v>
      </c>
      <c r="P13" s="167">
        <f>Prod.!Q13</f>
        <v>0</v>
      </c>
      <c r="Q13" s="167">
        <f>Prod.!R13</f>
        <v>0</v>
      </c>
      <c r="R13" s="167">
        <f>Prod.!S13</f>
        <v>0</v>
      </c>
      <c r="S13" s="86">
        <f t="shared" si="0"/>
        <v>0</v>
      </c>
      <c r="T13" s="217" t="str">
        <f>Prod.!U13</f>
        <v/>
      </c>
      <c r="U13" s="218" t="str">
        <f>Prod.!AB13</f>
        <v/>
      </c>
    </row>
    <row r="14" spans="1:21" ht="15" customHeight="1">
      <c r="A14" s="220"/>
      <c r="B14" s="164" t="str">
        <f>Prod.!B14</f>
        <v>1.10.11</v>
      </c>
      <c r="C14" s="221">
        <f>Prod.!C14</f>
        <v>0</v>
      </c>
      <c r="D14" s="221">
        <f>Prod.!D14</f>
        <v>0</v>
      </c>
      <c r="E14" s="221">
        <f>Prod.!E14</f>
        <v>0</v>
      </c>
      <c r="F14" s="222">
        <f>Prod.!F14</f>
        <v>0</v>
      </c>
      <c r="G14" s="222">
        <f>Prod.!G14</f>
        <v>0</v>
      </c>
      <c r="H14" s="246" t="str">
        <f>IF(Prod.!H14=130,"130 × 130",IF(Prod.!H14=160,"160 × 160",IF(Prod.!H14=110,"110 × 110","")))</f>
        <v/>
      </c>
      <c r="I14" s="223">
        <f>Prod.!J14</f>
        <v>0</v>
      </c>
      <c r="J14" s="223">
        <f>Prod.!K14</f>
        <v>0</v>
      </c>
      <c r="K14" s="223">
        <f>Prod.!L14</f>
        <v>0</v>
      </c>
      <c r="L14" s="223">
        <f>Prod.!M14</f>
        <v>0</v>
      </c>
      <c r="M14" s="224">
        <f>Prod.!N14</f>
        <v>0</v>
      </c>
      <c r="N14" s="225">
        <f>Prod.!O14</f>
        <v>0</v>
      </c>
      <c r="O14" s="226">
        <f>Prod.!P14</f>
        <v>0</v>
      </c>
      <c r="P14" s="226">
        <f>Prod.!Q14</f>
        <v>0</v>
      </c>
      <c r="Q14" s="226">
        <f>Prod.!R14</f>
        <v>0</v>
      </c>
      <c r="R14" s="226">
        <f>Prod.!S14</f>
        <v>0</v>
      </c>
      <c r="S14" s="227">
        <f t="shared" si="0"/>
        <v>0</v>
      </c>
      <c r="T14" s="225" t="str">
        <f>Prod.!U14</f>
        <v/>
      </c>
      <c r="U14" s="228" t="str">
        <f>Prod.!AB14</f>
        <v/>
      </c>
    </row>
    <row r="15" spans="1:21" ht="15" customHeight="1">
      <c r="A15" s="229"/>
      <c r="B15" s="164" t="str">
        <f>Prod.!B15</f>
        <v>1.10.12</v>
      </c>
      <c r="C15" s="221">
        <f>Prod.!C15</f>
        <v>0</v>
      </c>
      <c r="D15" s="221">
        <f>Prod.!D15</f>
        <v>0</v>
      </c>
      <c r="E15" s="221">
        <f>Prod.!E15</f>
        <v>0</v>
      </c>
      <c r="F15" s="222">
        <f>Prod.!F15</f>
        <v>0</v>
      </c>
      <c r="G15" s="222">
        <f>Prod.!G15</f>
        <v>0</v>
      </c>
      <c r="H15" s="246" t="str">
        <f>IF(Prod.!H15=130,"130 × 130",IF(Prod.!H15=160,"160 × 160",IF(Prod.!H15=110,"110 × 110","")))</f>
        <v/>
      </c>
      <c r="I15" s="223">
        <f>Prod.!J15</f>
        <v>0</v>
      </c>
      <c r="J15" s="223">
        <f>Prod.!K15</f>
        <v>0</v>
      </c>
      <c r="K15" s="223">
        <f>Prod.!L15</f>
        <v>0</v>
      </c>
      <c r="L15" s="223">
        <f>Prod.!M15</f>
        <v>0</v>
      </c>
      <c r="M15" s="224">
        <f>Prod.!N15</f>
        <v>0</v>
      </c>
      <c r="N15" s="225">
        <f>Prod.!O15</f>
        <v>0</v>
      </c>
      <c r="O15" s="230">
        <f>Prod.!P15</f>
        <v>0</v>
      </c>
      <c r="P15" s="226">
        <f>Prod.!Q15</f>
        <v>0</v>
      </c>
      <c r="Q15" s="226">
        <f>Prod.!R15</f>
        <v>0</v>
      </c>
      <c r="R15" s="226">
        <f>Prod.!S15</f>
        <v>0</v>
      </c>
      <c r="S15" s="227">
        <f t="shared" si="0"/>
        <v>0</v>
      </c>
      <c r="T15" s="225" t="str">
        <f>Prod.!U15</f>
        <v/>
      </c>
      <c r="U15" s="228" t="str">
        <f>Prod.!AB15</f>
        <v/>
      </c>
    </row>
    <row r="16" spans="1:21" ht="15" customHeight="1">
      <c r="A16" s="231"/>
      <c r="B16" s="213"/>
      <c r="C16" s="232"/>
      <c r="D16" s="232"/>
      <c r="E16" s="233"/>
      <c r="F16" s="234"/>
      <c r="G16" s="235"/>
      <c r="H16" s="207"/>
      <c r="I16" s="211"/>
      <c r="J16" s="211"/>
      <c r="K16" s="236"/>
      <c r="L16" s="216"/>
      <c r="M16" s="216"/>
      <c r="N16" s="237">
        <f>SUM(N4:N15)</f>
        <v>0</v>
      </c>
      <c r="O16" s="238"/>
      <c r="P16" s="238"/>
      <c r="Q16" s="211"/>
      <c r="R16" s="238"/>
      <c r="S16" s="216"/>
      <c r="T16" s="217"/>
      <c r="U16" s="239"/>
    </row>
    <row r="17" spans="1:21" ht="15" customHeight="1" thickBot="1">
      <c r="A17" s="240"/>
      <c r="B17" s="1293" t="s">
        <v>4</v>
      </c>
      <c r="C17" s="241"/>
      <c r="D17" s="241"/>
      <c r="E17" s="241"/>
      <c r="F17" s="242"/>
      <c r="G17" s="242"/>
      <c r="H17" s="207" t="s">
        <v>76</v>
      </c>
      <c r="I17" s="208">
        <f>Prod.!J18</f>
        <v>0</v>
      </c>
      <c r="J17" s="208">
        <f>Prod.!K18</f>
        <v>0</v>
      </c>
      <c r="K17" s="208">
        <f>Prod.!L18</f>
        <v>0</v>
      </c>
      <c r="L17" s="208">
        <f>Prod.!M18</f>
        <v>0</v>
      </c>
      <c r="M17" s="208"/>
      <c r="N17" s="243">
        <f>Prod.!O18-N18</f>
        <v>0</v>
      </c>
      <c r="O17" s="238"/>
      <c r="P17" s="238"/>
      <c r="Q17" s="244"/>
      <c r="R17" s="238"/>
      <c r="S17" s="216"/>
      <c r="T17" s="217"/>
      <c r="U17" s="239"/>
    </row>
    <row r="18" spans="1:21" ht="15.75" customHeight="1" thickBot="1">
      <c r="A18" s="1119"/>
      <c r="B18" s="1293"/>
      <c r="C18" s="245"/>
      <c r="D18" s="1120"/>
      <c r="E18" s="1120"/>
      <c r="F18" s="1120"/>
      <c r="G18" s="1121"/>
      <c r="H18" s="1122" t="s">
        <v>77</v>
      </c>
      <c r="I18" s="1123">
        <f>Prod.!J17</f>
        <v>0</v>
      </c>
      <c r="J18" s="1123">
        <f>Prod.!K17</f>
        <v>0</v>
      </c>
      <c r="K18" s="1123">
        <f>Prod.!L17</f>
        <v>0</v>
      </c>
      <c r="L18" s="1123">
        <f>Prod.!M17</f>
        <v>0</v>
      </c>
      <c r="M18" s="1124"/>
      <c r="N18" s="1125">
        <f>Prod.!O17</f>
        <v>0</v>
      </c>
      <c r="O18" s="1126">
        <f>SUM(O4:O16)</f>
        <v>0</v>
      </c>
      <c r="P18" s="1126">
        <f>SUM(P4:P16)</f>
        <v>0</v>
      </c>
      <c r="Q18" s="1126">
        <f>SUM(Q4:Q16)</f>
        <v>0</v>
      </c>
      <c r="R18" s="1126">
        <f>SUM(R4:R16)</f>
        <v>0</v>
      </c>
      <c r="S18" s="1127">
        <f>SUM(S4:S17)</f>
        <v>0</v>
      </c>
      <c r="T18" s="1128">
        <f>SUM(T4:T17)</f>
        <v>0</v>
      </c>
      <c r="U18" s="1129">
        <f>SUM(U4:U17)</f>
        <v>0</v>
      </c>
    </row>
    <row r="19" spans="1:21" ht="21" customHeight="1">
      <c r="A19" s="1285"/>
      <c r="B19" s="1285"/>
      <c r="C19" s="1285"/>
      <c r="D19" s="1285"/>
      <c r="E19" s="1285"/>
      <c r="F19" s="1285"/>
      <c r="G19" s="1285"/>
      <c r="H19" s="1285"/>
      <c r="I19" s="1285"/>
      <c r="J19" s="1285"/>
      <c r="K19" s="1285"/>
      <c r="L19" s="1285"/>
      <c r="M19" s="1285"/>
      <c r="N19" s="1285"/>
      <c r="O19" s="1285"/>
      <c r="P19" s="1285"/>
      <c r="Q19" s="1285"/>
      <c r="R19" s="1285"/>
      <c r="S19" s="1285"/>
      <c r="T19" s="1285"/>
      <c r="U19" s="1285"/>
    </row>
    <row r="20" spans="1:21" ht="15" customHeight="1">
      <c r="A20" s="1286"/>
      <c r="C20" s="1286"/>
      <c r="D20" s="1286"/>
      <c r="E20" s="1286"/>
      <c r="F20" s="1286"/>
      <c r="G20" s="1286"/>
      <c r="H20" s="1286"/>
      <c r="I20" s="1287"/>
      <c r="J20" s="1287"/>
      <c r="K20" s="1287"/>
      <c r="L20" s="1287"/>
      <c r="M20" s="1288"/>
      <c r="N20" s="1288"/>
      <c r="O20" s="1287"/>
      <c r="P20" s="1287"/>
      <c r="Q20" s="1287"/>
      <c r="R20" s="1287"/>
      <c r="S20" s="1288"/>
      <c r="T20" s="1288"/>
      <c r="U20" s="1288"/>
    </row>
    <row r="21" spans="1:21" ht="15" customHeight="1">
      <c r="A21" s="1286"/>
      <c r="C21" s="984"/>
      <c r="D21" s="984"/>
      <c r="E21" s="984"/>
      <c r="F21" s="984"/>
      <c r="G21" s="984"/>
      <c r="H21" s="1286"/>
      <c r="I21" s="515"/>
      <c r="J21" s="515"/>
      <c r="K21" s="515"/>
      <c r="L21" s="515"/>
      <c r="M21" s="1288"/>
      <c r="N21" s="1288"/>
      <c r="O21" s="515"/>
      <c r="P21" s="515"/>
      <c r="Q21" s="515"/>
      <c r="R21" s="515"/>
      <c r="S21" s="1288"/>
      <c r="T21" s="1288"/>
      <c r="U21" s="1288"/>
    </row>
    <row r="22" spans="1:21" ht="15" customHeight="1">
      <c r="A22" s="1040"/>
      <c r="B22" s="1041"/>
      <c r="C22" s="1042"/>
      <c r="D22" s="1042"/>
      <c r="E22" s="1042"/>
      <c r="F22" s="1043"/>
      <c r="G22" s="1043"/>
      <c r="H22" s="984"/>
      <c r="I22" s="515"/>
      <c r="J22" s="515"/>
      <c r="K22" s="515"/>
      <c r="L22" s="515"/>
      <c r="M22" s="1044"/>
      <c r="N22" s="277"/>
      <c r="O22" s="1045"/>
      <c r="P22" s="1045"/>
      <c r="Q22" s="1045"/>
      <c r="R22" s="1045"/>
      <c r="S22" s="1013"/>
      <c r="T22" s="277"/>
      <c r="U22" s="417"/>
    </row>
    <row r="23" spans="1:21" ht="15" customHeight="1">
      <c r="A23" s="1046"/>
      <c r="B23" s="1041"/>
      <c r="C23" s="1042"/>
      <c r="D23" s="1042"/>
      <c r="E23" s="1042"/>
      <c r="F23" s="1043"/>
      <c r="G23" s="1043"/>
      <c r="H23" s="984"/>
      <c r="I23" s="515"/>
      <c r="J23" s="515"/>
      <c r="K23" s="515"/>
      <c r="L23" s="515"/>
      <c r="M23" s="1044"/>
      <c r="N23" s="277"/>
      <c r="O23" s="1045"/>
      <c r="P23" s="1045"/>
      <c r="Q23" s="1045"/>
      <c r="R23" s="1045"/>
      <c r="S23" s="1013"/>
      <c r="T23" s="277"/>
      <c r="U23" s="417"/>
    </row>
    <row r="24" spans="1:21" ht="15" customHeight="1">
      <c r="A24" s="1046"/>
      <c r="B24" s="1041"/>
      <c r="C24" s="1042"/>
      <c r="D24" s="1042"/>
      <c r="E24" s="1042"/>
      <c r="F24" s="1043"/>
      <c r="G24" s="1043"/>
      <c r="H24" s="984"/>
      <c r="I24" s="515"/>
      <c r="J24" s="515"/>
      <c r="K24" s="515"/>
      <c r="L24" s="515"/>
      <c r="M24" s="1044"/>
      <c r="N24" s="277"/>
      <c r="O24" s="1045"/>
      <c r="P24" s="1045"/>
      <c r="Q24" s="1045"/>
      <c r="R24" s="1045"/>
      <c r="S24" s="1013"/>
      <c r="T24" s="277"/>
      <c r="U24" s="417"/>
    </row>
    <row r="25" spans="1:21" ht="15" customHeight="1">
      <c r="A25" s="1046"/>
      <c r="B25" s="1041"/>
      <c r="C25" s="1042"/>
      <c r="D25" s="1042"/>
      <c r="E25" s="1042"/>
      <c r="F25" s="1043"/>
      <c r="G25" s="1043"/>
      <c r="H25" s="984"/>
      <c r="I25" s="515"/>
      <c r="J25" s="515"/>
      <c r="K25" s="515"/>
      <c r="L25" s="515"/>
      <c r="M25" s="1044"/>
      <c r="N25" s="277"/>
      <c r="O25" s="1045"/>
      <c r="P25" s="1045"/>
      <c r="Q25" s="1045"/>
      <c r="R25" s="1045"/>
      <c r="S25" s="1013"/>
      <c r="T25" s="277"/>
      <c r="U25" s="417"/>
    </row>
    <row r="26" spans="1:21" ht="15" customHeight="1">
      <c r="A26" s="1046"/>
      <c r="B26" s="1041"/>
      <c r="C26" s="1042"/>
      <c r="D26" s="1042"/>
      <c r="E26" s="1042"/>
      <c r="F26" s="1043"/>
      <c r="G26" s="1043"/>
      <c r="H26" s="984"/>
      <c r="I26" s="515"/>
      <c r="J26" s="515"/>
      <c r="K26" s="515"/>
      <c r="L26" s="515"/>
      <c r="M26" s="1044"/>
      <c r="N26" s="277"/>
      <c r="O26" s="1045"/>
      <c r="P26" s="1045"/>
      <c r="Q26" s="1045"/>
      <c r="R26" s="1045"/>
      <c r="S26" s="1013"/>
      <c r="T26" s="277"/>
      <c r="U26" s="417"/>
    </row>
    <row r="27" spans="1:21" ht="15" customHeight="1">
      <c r="A27" s="1046"/>
      <c r="B27" s="1041"/>
      <c r="C27" s="1042"/>
      <c r="D27" s="1042"/>
      <c r="E27" s="1042"/>
      <c r="F27" s="1043"/>
      <c r="G27" s="1043"/>
      <c r="H27" s="984"/>
      <c r="I27" s="515"/>
      <c r="J27" s="515"/>
      <c r="K27" s="515"/>
      <c r="L27" s="515"/>
      <c r="M27" s="1044"/>
      <c r="N27" s="277"/>
      <c r="O27" s="1045"/>
      <c r="P27" s="1045"/>
      <c r="Q27" s="1045"/>
      <c r="R27" s="1045"/>
      <c r="S27" s="1013"/>
      <c r="T27" s="277"/>
      <c r="U27" s="417"/>
    </row>
    <row r="28" spans="1:21" ht="15" customHeight="1">
      <c r="A28" s="1046"/>
      <c r="B28" s="1041"/>
      <c r="C28" s="1042"/>
      <c r="D28" s="1042"/>
      <c r="E28" s="1042"/>
      <c r="F28" s="1043"/>
      <c r="G28" s="1043"/>
      <c r="H28" s="247"/>
      <c r="I28" s="515"/>
      <c r="J28" s="515"/>
      <c r="K28" s="515"/>
      <c r="L28" s="515"/>
      <c r="M28" s="1044"/>
      <c r="N28" s="277"/>
      <c r="O28" s="1045"/>
      <c r="P28" s="1045"/>
      <c r="Q28" s="1045"/>
      <c r="R28" s="1045"/>
      <c r="S28" s="1013"/>
      <c r="T28" s="277"/>
      <c r="U28" s="417"/>
    </row>
    <row r="29" spans="1:21" ht="15" customHeight="1">
      <c r="A29" s="1046"/>
      <c r="B29" s="1041"/>
      <c r="C29" s="1042"/>
      <c r="D29" s="1042"/>
      <c r="E29" s="1042"/>
      <c r="F29" s="1043"/>
      <c r="G29" s="1043"/>
      <c r="H29" s="247"/>
      <c r="I29" s="515"/>
      <c r="J29" s="515"/>
      <c r="K29" s="515"/>
      <c r="L29" s="515"/>
      <c r="M29" s="1044"/>
      <c r="N29" s="277"/>
      <c r="O29" s="1045"/>
      <c r="P29" s="1045"/>
      <c r="Q29" s="1045"/>
      <c r="R29" s="1045"/>
      <c r="S29" s="1013"/>
      <c r="T29" s="277"/>
      <c r="U29" s="417"/>
    </row>
    <row r="30" spans="1:21" ht="15" customHeight="1">
      <c r="A30" s="1046"/>
      <c r="B30" s="1041"/>
      <c r="C30" s="1042"/>
      <c r="D30" s="1042"/>
      <c r="E30" s="1042"/>
      <c r="F30" s="1043"/>
      <c r="G30" s="1043"/>
      <c r="H30" s="247"/>
      <c r="I30" s="515"/>
      <c r="J30" s="515"/>
      <c r="K30" s="515"/>
      <c r="L30" s="515"/>
      <c r="M30" s="1044"/>
      <c r="N30" s="277"/>
      <c r="O30" s="1045"/>
      <c r="P30" s="1045"/>
      <c r="Q30" s="1045"/>
      <c r="R30" s="1045"/>
      <c r="S30" s="1013"/>
      <c r="T30" s="277"/>
      <c r="U30" s="417"/>
    </row>
    <row r="31" spans="1:21" ht="15" customHeight="1">
      <c r="A31" s="1046"/>
      <c r="B31" s="1041"/>
      <c r="C31" s="1042"/>
      <c r="D31" s="1042"/>
      <c r="E31" s="1042"/>
      <c r="F31" s="1043"/>
      <c r="G31" s="1043"/>
      <c r="H31" s="984"/>
      <c r="I31" s="515"/>
      <c r="J31" s="515"/>
      <c r="K31" s="515"/>
      <c r="L31" s="515"/>
      <c r="M31" s="1044"/>
      <c r="N31" s="277"/>
      <c r="O31" s="1045"/>
      <c r="P31" s="1045"/>
      <c r="Q31" s="1045"/>
      <c r="R31" s="1045"/>
      <c r="S31" s="1013"/>
      <c r="T31" s="277"/>
      <c r="U31" s="417"/>
    </row>
    <row r="32" spans="1:21" ht="15" customHeight="1">
      <c r="A32" s="250"/>
      <c r="B32" s="250"/>
      <c r="C32" s="251"/>
      <c r="D32" s="251"/>
      <c r="E32" s="251"/>
      <c r="F32" s="252"/>
      <c r="G32" s="252"/>
      <c r="H32" s="247"/>
      <c r="I32" s="257"/>
      <c r="J32" s="257"/>
      <c r="K32" s="257"/>
      <c r="L32" s="257"/>
      <c r="M32" s="258"/>
      <c r="N32" s="259"/>
      <c r="O32" s="255"/>
      <c r="P32" s="255"/>
      <c r="Q32" s="255"/>
      <c r="R32" s="255"/>
      <c r="S32" s="191"/>
      <c r="T32" s="259"/>
      <c r="U32" s="260"/>
    </row>
    <row r="33" spans="1:21" ht="15" customHeight="1">
      <c r="A33" s="261"/>
      <c r="B33" s="250"/>
      <c r="C33" s="251"/>
      <c r="D33" s="251"/>
      <c r="E33" s="251"/>
      <c r="F33" s="252"/>
      <c r="G33" s="252"/>
      <c r="H33" s="247"/>
      <c r="I33" s="257"/>
      <c r="J33" s="257"/>
      <c r="K33" s="257"/>
      <c r="L33" s="257"/>
      <c r="M33" s="258"/>
      <c r="N33" s="259"/>
      <c r="O33" s="255"/>
      <c r="P33" s="255"/>
      <c r="Q33" s="255"/>
      <c r="R33" s="255"/>
      <c r="S33" s="191"/>
      <c r="T33" s="259"/>
      <c r="U33" s="260"/>
    </row>
    <row r="34" spans="1:21" ht="15" customHeight="1">
      <c r="B34" s="1041"/>
      <c r="C34" s="1048"/>
      <c r="D34" s="1048"/>
      <c r="E34" s="1048"/>
      <c r="F34" s="417"/>
      <c r="G34" s="417"/>
      <c r="H34" s="984"/>
      <c r="I34" s="515"/>
      <c r="J34" s="515"/>
      <c r="K34" s="379"/>
      <c r="L34" s="1044"/>
      <c r="M34" s="1044"/>
      <c r="N34" s="277"/>
      <c r="O34" s="1049"/>
      <c r="P34" s="1049"/>
      <c r="Q34" s="515"/>
      <c r="R34" s="1049"/>
      <c r="S34" s="1044"/>
      <c r="T34" s="277"/>
      <c r="U34" s="277"/>
    </row>
    <row r="35" spans="1:21" ht="15" customHeight="1">
      <c r="A35" s="1050"/>
      <c r="B35" s="1280"/>
      <c r="C35" s="1048"/>
      <c r="D35" s="1048"/>
      <c r="E35" s="1048"/>
      <c r="F35" s="417"/>
      <c r="G35" s="417"/>
      <c r="H35" s="984"/>
      <c r="I35" s="515"/>
      <c r="J35" s="515"/>
      <c r="K35" s="515"/>
      <c r="L35" s="515"/>
      <c r="M35" s="515"/>
      <c r="N35" s="1051"/>
      <c r="O35" s="1049"/>
      <c r="P35" s="1049"/>
      <c r="Q35" s="1049"/>
      <c r="R35" s="1049"/>
      <c r="S35" s="1044"/>
      <c r="T35" s="277"/>
      <c r="U35" s="277"/>
    </row>
    <row r="36" spans="1:21" ht="15.75" customHeight="1">
      <c r="B36" s="1280"/>
      <c r="D36" s="1048"/>
      <c r="E36" s="1048"/>
      <c r="F36" s="1048"/>
      <c r="G36" s="417"/>
      <c r="H36" s="515"/>
      <c r="I36" s="515"/>
      <c r="J36" s="515"/>
      <c r="K36" s="515"/>
      <c r="L36" s="515"/>
      <c r="M36" s="1044"/>
      <c r="N36" s="265"/>
      <c r="O36" s="1044"/>
      <c r="P36" s="1044"/>
      <c r="Q36" s="1044"/>
      <c r="R36" s="1044"/>
      <c r="S36" s="1044"/>
      <c r="T36" s="417"/>
      <c r="U36" s="417"/>
    </row>
    <row r="37" spans="1:21" ht="21" customHeight="1">
      <c r="A37" s="1285"/>
      <c r="B37" s="1285"/>
      <c r="C37" s="1285"/>
      <c r="D37" s="1285"/>
      <c r="E37" s="1285"/>
      <c r="F37" s="1285"/>
      <c r="G37" s="1285"/>
      <c r="H37" s="1285"/>
      <c r="I37" s="1285"/>
      <c r="J37" s="1285"/>
      <c r="K37" s="1285"/>
      <c r="L37" s="1285"/>
      <c r="M37" s="1285"/>
      <c r="N37" s="1285"/>
      <c r="O37" s="1285"/>
      <c r="P37" s="1285"/>
      <c r="Q37" s="1285"/>
      <c r="R37" s="1285"/>
      <c r="S37" s="1285"/>
      <c r="T37" s="1285"/>
      <c r="U37" s="1285"/>
    </row>
    <row r="38" spans="1:21" ht="15" customHeight="1">
      <c r="A38" s="1286"/>
      <c r="C38" s="1286"/>
      <c r="D38" s="1286"/>
      <c r="E38" s="1286"/>
      <c r="F38" s="1286"/>
      <c r="G38" s="1286"/>
      <c r="H38" s="1286"/>
      <c r="I38" s="1287"/>
      <c r="J38" s="1287"/>
      <c r="K38" s="1287"/>
      <c r="L38" s="1287"/>
      <c r="M38" s="1288"/>
      <c r="N38" s="1288"/>
      <c r="O38" s="1287"/>
      <c r="P38" s="1287"/>
      <c r="Q38" s="1287"/>
      <c r="R38" s="1287"/>
      <c r="S38" s="1288"/>
      <c r="T38" s="1288"/>
      <c r="U38" s="1288"/>
    </row>
    <row r="39" spans="1:21" ht="15" customHeight="1">
      <c r="A39" s="1286"/>
      <c r="C39" s="984"/>
      <c r="D39" s="984"/>
      <c r="E39" s="984"/>
      <c r="F39" s="984"/>
      <c r="G39" s="984"/>
      <c r="H39" s="1286"/>
      <c r="I39" s="515"/>
      <c r="J39" s="515"/>
      <c r="K39" s="515"/>
      <c r="L39" s="515"/>
      <c r="M39" s="1288"/>
      <c r="N39" s="1288"/>
      <c r="O39" s="515"/>
      <c r="P39" s="515"/>
      <c r="Q39" s="515"/>
      <c r="R39" s="515"/>
      <c r="S39" s="1288"/>
      <c r="T39" s="1288"/>
      <c r="U39" s="1288"/>
    </row>
    <row r="40" spans="1:21" ht="15" customHeight="1">
      <c r="A40" s="1040"/>
      <c r="B40" s="1041"/>
      <c r="C40" s="1042"/>
      <c r="D40" s="1042"/>
      <c r="E40" s="1042"/>
      <c r="F40" s="1043"/>
      <c r="G40" s="1043"/>
      <c r="H40" s="984"/>
      <c r="I40" s="515"/>
      <c r="J40" s="515"/>
      <c r="K40" s="515"/>
      <c r="L40" s="515"/>
      <c r="M40" s="1044"/>
      <c r="N40" s="277"/>
      <c r="O40" s="1045"/>
      <c r="P40" s="1045"/>
      <c r="Q40" s="1045"/>
      <c r="R40" s="1045"/>
      <c r="S40" s="1013"/>
      <c r="T40" s="277"/>
      <c r="U40" s="417"/>
    </row>
    <row r="41" spans="1:21" ht="15" customHeight="1">
      <c r="A41" s="1046"/>
      <c r="B41" s="1041"/>
      <c r="C41" s="1042"/>
      <c r="D41" s="1042"/>
      <c r="E41" s="1042"/>
      <c r="F41" s="1043"/>
      <c r="G41" s="1043"/>
      <c r="H41" s="984"/>
      <c r="I41" s="515"/>
      <c r="J41" s="515"/>
      <c r="K41" s="515"/>
      <c r="L41" s="515"/>
      <c r="M41" s="1044"/>
      <c r="N41" s="277"/>
      <c r="O41" s="1045"/>
      <c r="P41" s="1045"/>
      <c r="Q41" s="1045"/>
      <c r="R41" s="1045"/>
      <c r="S41" s="1013"/>
      <c r="T41" s="277"/>
      <c r="U41" s="417"/>
    </row>
    <row r="42" spans="1:21" ht="15" customHeight="1">
      <c r="A42" s="1046"/>
      <c r="B42" s="1041"/>
      <c r="C42" s="1042"/>
      <c r="D42" s="1042"/>
      <c r="E42" s="1042"/>
      <c r="F42" s="1043"/>
      <c r="G42" s="1043"/>
      <c r="H42" s="984"/>
      <c r="I42" s="515"/>
      <c r="J42" s="515"/>
      <c r="K42" s="515"/>
      <c r="L42" s="515"/>
      <c r="M42" s="1044"/>
      <c r="N42" s="277"/>
      <c r="O42" s="1045"/>
      <c r="P42" s="1045"/>
      <c r="Q42" s="1045"/>
      <c r="R42" s="1045"/>
      <c r="S42" s="1013"/>
      <c r="T42" s="277"/>
      <c r="U42" s="417"/>
    </row>
    <row r="43" spans="1:21" ht="15" customHeight="1">
      <c r="A43" s="1046"/>
      <c r="B43" s="1041"/>
      <c r="C43" s="1042"/>
      <c r="D43" s="1042"/>
      <c r="E43" s="1042"/>
      <c r="F43" s="1043"/>
      <c r="G43" s="1043"/>
      <c r="H43" s="984"/>
      <c r="I43" s="515"/>
      <c r="J43" s="515"/>
      <c r="K43" s="515"/>
      <c r="L43" s="515"/>
      <c r="M43" s="1044"/>
      <c r="N43" s="277"/>
      <c r="O43" s="1045"/>
      <c r="P43" s="1045"/>
      <c r="Q43" s="1045"/>
      <c r="R43" s="1045"/>
      <c r="S43" s="1013"/>
      <c r="T43" s="277"/>
      <c r="U43" s="417"/>
    </row>
    <row r="44" spans="1:21" ht="15" customHeight="1">
      <c r="A44" s="1046"/>
      <c r="B44" s="1041"/>
      <c r="C44" s="1042"/>
      <c r="D44" s="1042"/>
      <c r="E44" s="1042"/>
      <c r="F44" s="1043"/>
      <c r="G44" s="1043"/>
      <c r="H44" s="984"/>
      <c r="I44" s="515"/>
      <c r="J44" s="515"/>
      <c r="K44" s="515"/>
      <c r="L44" s="515"/>
      <c r="M44" s="1044"/>
      <c r="N44" s="277"/>
      <c r="O44" s="1045"/>
      <c r="P44" s="1045"/>
      <c r="Q44" s="1045"/>
      <c r="R44" s="1045"/>
      <c r="S44" s="1013"/>
      <c r="T44" s="277"/>
      <c r="U44" s="417"/>
    </row>
    <row r="45" spans="1:21" ht="15" customHeight="1">
      <c r="A45" s="1046"/>
      <c r="B45" s="1041"/>
      <c r="C45" s="1042"/>
      <c r="D45" s="1042"/>
      <c r="E45" s="1042"/>
      <c r="F45" s="1043"/>
      <c r="G45" s="1043"/>
      <c r="H45" s="984"/>
      <c r="I45" s="515"/>
      <c r="J45" s="515"/>
      <c r="K45" s="515"/>
      <c r="L45" s="515"/>
      <c r="M45" s="1044"/>
      <c r="N45" s="277"/>
      <c r="O45" s="1045"/>
      <c r="P45" s="1045"/>
      <c r="Q45" s="1045"/>
      <c r="R45" s="1045"/>
      <c r="S45" s="1013"/>
      <c r="T45" s="277"/>
      <c r="U45" s="417"/>
    </row>
    <row r="46" spans="1:21" ht="15" customHeight="1">
      <c r="A46" s="1046"/>
      <c r="B46" s="1041"/>
      <c r="C46" s="1042"/>
      <c r="D46" s="1042"/>
      <c r="E46" s="1042"/>
      <c r="F46" s="1043"/>
      <c r="G46" s="1043"/>
      <c r="H46" s="247"/>
      <c r="I46" s="515"/>
      <c r="J46" s="515"/>
      <c r="K46" s="515"/>
      <c r="L46" s="515"/>
      <c r="M46" s="1044"/>
      <c r="N46" s="277"/>
      <c r="O46" s="1045"/>
      <c r="P46" s="1045"/>
      <c r="Q46" s="1045"/>
      <c r="R46" s="1045"/>
      <c r="S46" s="1013"/>
      <c r="T46" s="277"/>
      <c r="U46" s="417"/>
    </row>
    <row r="47" spans="1:21" ht="15" customHeight="1">
      <c r="A47" s="1046"/>
      <c r="B47" s="1041"/>
      <c r="C47" s="1042"/>
      <c r="D47" s="1042"/>
      <c r="E47" s="1042"/>
      <c r="F47" s="1043"/>
      <c r="G47" s="1043"/>
      <c r="H47" s="247"/>
      <c r="I47" s="515"/>
      <c r="J47" s="515"/>
      <c r="K47" s="515"/>
      <c r="L47" s="515"/>
      <c r="M47" s="1044"/>
      <c r="N47" s="277"/>
      <c r="O47" s="1045"/>
      <c r="P47" s="1045"/>
      <c r="Q47" s="1045"/>
      <c r="R47" s="1045"/>
      <c r="S47" s="1013"/>
      <c r="T47" s="277"/>
      <c r="U47" s="417"/>
    </row>
    <row r="48" spans="1:21" ht="15" customHeight="1">
      <c r="A48" s="1046"/>
      <c r="B48" s="1041"/>
      <c r="C48" s="1042"/>
      <c r="D48" s="1042"/>
      <c r="E48" s="1042"/>
      <c r="F48" s="1043"/>
      <c r="G48" s="1043"/>
      <c r="H48" s="247"/>
      <c r="I48" s="515"/>
      <c r="J48" s="515"/>
      <c r="K48" s="515"/>
      <c r="L48" s="515"/>
      <c r="M48" s="1044"/>
      <c r="N48" s="277"/>
      <c r="O48" s="1045"/>
      <c r="P48" s="1045"/>
      <c r="Q48" s="1045"/>
      <c r="R48" s="1045"/>
      <c r="S48" s="1013"/>
      <c r="T48" s="277"/>
      <c r="U48" s="417"/>
    </row>
    <row r="49" spans="1:21" ht="15" customHeight="1">
      <c r="A49" s="1046"/>
      <c r="B49" s="1041"/>
      <c r="C49" s="1042"/>
      <c r="D49" s="1042"/>
      <c r="E49" s="1042"/>
      <c r="F49" s="1043"/>
      <c r="G49" s="1043"/>
      <c r="H49" s="984"/>
      <c r="I49" s="515"/>
      <c r="J49" s="515"/>
      <c r="K49" s="515"/>
      <c r="L49" s="515"/>
      <c r="M49" s="1044"/>
      <c r="N49" s="277"/>
      <c r="O49" s="1045"/>
      <c r="P49" s="1045"/>
      <c r="Q49" s="1045"/>
      <c r="R49" s="1045"/>
      <c r="S49" s="1013"/>
      <c r="T49" s="277"/>
      <c r="U49" s="417"/>
    </row>
    <row r="50" spans="1:21" ht="15" customHeight="1">
      <c r="A50" s="250"/>
      <c r="B50" s="250"/>
      <c r="C50" s="251"/>
      <c r="D50" s="251"/>
      <c r="E50" s="251"/>
      <c r="F50" s="252"/>
      <c r="G50" s="252"/>
      <c r="H50" s="247"/>
      <c r="I50" s="257"/>
      <c r="J50" s="257"/>
      <c r="K50" s="257"/>
      <c r="L50" s="257"/>
      <c r="M50" s="258"/>
      <c r="N50" s="259"/>
      <c r="O50" s="255"/>
      <c r="P50" s="255"/>
      <c r="Q50" s="255"/>
      <c r="R50" s="255"/>
      <c r="S50" s="191"/>
      <c r="T50" s="259"/>
      <c r="U50" s="260"/>
    </row>
    <row r="51" spans="1:21" ht="15" customHeight="1">
      <c r="A51" s="261"/>
      <c r="B51" s="250"/>
      <c r="C51" s="251"/>
      <c r="D51" s="251"/>
      <c r="E51" s="251"/>
      <c r="F51" s="252"/>
      <c r="G51" s="252"/>
      <c r="H51" s="247"/>
      <c r="I51" s="257"/>
      <c r="J51" s="257"/>
      <c r="K51" s="257"/>
      <c r="L51" s="257"/>
      <c r="M51" s="258"/>
      <c r="N51" s="259"/>
      <c r="O51" s="255"/>
      <c r="P51" s="255"/>
      <c r="Q51" s="255"/>
      <c r="R51" s="255"/>
      <c r="S51" s="191"/>
      <c r="T51" s="259"/>
      <c r="U51" s="260"/>
    </row>
    <row r="52" spans="1:21" ht="15" customHeight="1">
      <c r="B52" s="1041"/>
      <c r="C52" s="1048"/>
      <c r="D52" s="1048"/>
      <c r="E52" s="1048"/>
      <c r="F52" s="417"/>
      <c r="G52" s="417"/>
      <c r="H52" s="984"/>
      <c r="I52" s="515"/>
      <c r="J52" s="515"/>
      <c r="K52" s="379"/>
      <c r="L52" s="1044"/>
      <c r="M52" s="1044"/>
      <c r="N52" s="277"/>
      <c r="O52" s="1049"/>
      <c r="P52" s="1049"/>
      <c r="Q52" s="515"/>
      <c r="R52" s="1049"/>
      <c r="S52" s="1044"/>
      <c r="T52" s="277"/>
      <c r="U52" s="277"/>
    </row>
    <row r="53" spans="1:21" ht="15" customHeight="1">
      <c r="A53" s="1050"/>
      <c r="B53" s="1280"/>
      <c r="C53" s="1048"/>
      <c r="D53" s="1048"/>
      <c r="E53" s="1048"/>
      <c r="F53" s="417"/>
      <c r="G53" s="417"/>
      <c r="H53" s="984"/>
      <c r="I53" s="515"/>
      <c r="J53" s="515"/>
      <c r="K53" s="515"/>
      <c r="L53" s="515"/>
      <c r="M53" s="515"/>
      <c r="N53" s="1051"/>
      <c r="O53" s="1049"/>
      <c r="P53" s="1049"/>
      <c r="Q53" s="1049"/>
      <c r="R53" s="1049"/>
      <c r="S53" s="1044"/>
      <c r="T53" s="277"/>
      <c r="U53" s="277"/>
    </row>
    <row r="54" spans="1:21" ht="15.75" customHeight="1">
      <c r="B54" s="1280"/>
      <c r="D54" s="1048"/>
      <c r="E54" s="1048"/>
      <c r="F54" s="1048"/>
      <c r="G54" s="417"/>
      <c r="H54" s="515"/>
      <c r="I54" s="515"/>
      <c r="J54" s="515"/>
      <c r="K54" s="515"/>
      <c r="L54" s="515"/>
      <c r="M54" s="1044"/>
      <c r="N54" s="265"/>
      <c r="O54" s="1044"/>
      <c r="P54" s="1044"/>
      <c r="Q54" s="1044"/>
      <c r="R54" s="1044"/>
      <c r="S54" s="1044"/>
      <c r="T54" s="417"/>
      <c r="U54" s="417"/>
    </row>
    <row r="55" spans="1:21" ht="21" customHeight="1">
      <c r="A55" s="1285"/>
      <c r="B55" s="1285"/>
      <c r="C55" s="1285"/>
      <c r="D55" s="1285"/>
      <c r="E55" s="1285"/>
      <c r="F55" s="1285"/>
      <c r="G55" s="1285"/>
      <c r="H55" s="1285"/>
      <c r="I55" s="1285"/>
      <c r="J55" s="1285"/>
      <c r="K55" s="1285"/>
      <c r="L55" s="1285"/>
      <c r="M55" s="1285"/>
      <c r="N55" s="1285"/>
      <c r="O55" s="1285"/>
      <c r="P55" s="1285"/>
      <c r="Q55" s="1285"/>
      <c r="R55" s="1285"/>
      <c r="S55" s="1285"/>
      <c r="T55" s="1285"/>
      <c r="U55" s="1285"/>
    </row>
    <row r="56" spans="1:21" ht="15" customHeight="1">
      <c r="A56" s="1286"/>
      <c r="C56" s="1286"/>
      <c r="D56" s="1286"/>
      <c r="E56" s="1286"/>
      <c r="F56" s="1286"/>
      <c r="G56" s="1286"/>
      <c r="H56" s="1286"/>
      <c r="I56" s="1287"/>
      <c r="J56" s="1287"/>
      <c r="K56" s="1287"/>
      <c r="L56" s="1287"/>
      <c r="M56" s="1288"/>
      <c r="N56" s="1288"/>
      <c r="O56" s="1287"/>
      <c r="P56" s="1287"/>
      <c r="Q56" s="1287"/>
      <c r="R56" s="1287"/>
      <c r="S56" s="1288"/>
      <c r="T56" s="1288"/>
      <c r="U56" s="1288"/>
    </row>
    <row r="57" spans="1:21" ht="15" customHeight="1">
      <c r="A57" s="1286"/>
      <c r="C57" s="984"/>
      <c r="D57" s="984"/>
      <c r="E57" s="984"/>
      <c r="F57" s="984"/>
      <c r="G57" s="984"/>
      <c r="H57" s="1286"/>
      <c r="I57" s="515"/>
      <c r="J57" s="515"/>
      <c r="K57" s="515"/>
      <c r="L57" s="515"/>
      <c r="M57" s="1288"/>
      <c r="N57" s="1288"/>
      <c r="O57" s="515"/>
      <c r="P57" s="515"/>
      <c r="Q57" s="515"/>
      <c r="R57" s="515"/>
      <c r="S57" s="1288"/>
      <c r="T57" s="1288"/>
      <c r="U57" s="1288"/>
    </row>
    <row r="58" spans="1:21" ht="15" customHeight="1">
      <c r="A58" s="1040"/>
      <c r="B58" s="1041"/>
      <c r="C58" s="1042"/>
      <c r="D58" s="1042"/>
      <c r="E58" s="1042"/>
      <c r="F58" s="1043"/>
      <c r="G58" s="1043"/>
      <c r="H58" s="984"/>
      <c r="I58" s="515"/>
      <c r="J58" s="515"/>
      <c r="K58" s="515"/>
      <c r="L58" s="515"/>
      <c r="M58" s="1044"/>
      <c r="N58" s="277"/>
      <c r="O58" s="1045"/>
      <c r="P58" s="1045"/>
      <c r="Q58" s="1045"/>
      <c r="R58" s="1045"/>
      <c r="S58" s="1013"/>
      <c r="T58" s="277"/>
      <c r="U58" s="417"/>
    </row>
    <row r="59" spans="1:21" ht="15" customHeight="1">
      <c r="A59" s="1046"/>
      <c r="B59" s="1041"/>
      <c r="C59" s="1042"/>
      <c r="D59" s="1042"/>
      <c r="E59" s="1042"/>
      <c r="F59" s="1043"/>
      <c r="G59" s="1043"/>
      <c r="H59" s="984"/>
      <c r="I59" s="515"/>
      <c r="J59" s="515"/>
      <c r="K59" s="515"/>
      <c r="L59" s="515"/>
      <c r="M59" s="1044"/>
      <c r="N59" s="277"/>
      <c r="O59" s="1045"/>
      <c r="P59" s="1045"/>
      <c r="Q59" s="1045"/>
      <c r="R59" s="1045"/>
      <c r="S59" s="1013"/>
      <c r="T59" s="277"/>
      <c r="U59" s="417"/>
    </row>
    <row r="60" spans="1:21" ht="15" customHeight="1">
      <c r="A60" s="1046"/>
      <c r="B60" s="1041"/>
      <c r="C60" s="1042"/>
      <c r="D60" s="1042"/>
      <c r="E60" s="1042"/>
      <c r="F60" s="1043"/>
      <c r="G60" s="1043"/>
      <c r="H60" s="984"/>
      <c r="I60" s="515"/>
      <c r="J60" s="515"/>
      <c r="K60" s="515"/>
      <c r="L60" s="515"/>
      <c r="M60" s="1044"/>
      <c r="N60" s="277"/>
      <c r="O60" s="1045"/>
      <c r="P60" s="1045"/>
      <c r="Q60" s="1045"/>
      <c r="R60" s="1045"/>
      <c r="S60" s="1013"/>
      <c r="T60" s="277"/>
      <c r="U60" s="417"/>
    </row>
    <row r="61" spans="1:21" ht="15" customHeight="1">
      <c r="A61" s="1046"/>
      <c r="B61" s="1041"/>
      <c r="C61" s="1042"/>
      <c r="D61" s="1042"/>
      <c r="E61" s="1042"/>
      <c r="F61" s="1043"/>
      <c r="G61" s="1043"/>
      <c r="H61" s="984"/>
      <c r="I61" s="515"/>
      <c r="J61" s="515"/>
      <c r="K61" s="515"/>
      <c r="L61" s="515"/>
      <c r="M61" s="1044"/>
      <c r="N61" s="277"/>
      <c r="O61" s="1045"/>
      <c r="P61" s="1045"/>
      <c r="Q61" s="1045"/>
      <c r="R61" s="1045"/>
      <c r="S61" s="1013"/>
      <c r="T61" s="277"/>
      <c r="U61" s="417"/>
    </row>
    <row r="62" spans="1:21" ht="15" customHeight="1">
      <c r="A62" s="1046"/>
      <c r="B62" s="1041"/>
      <c r="C62" s="1042"/>
      <c r="D62" s="1042"/>
      <c r="E62" s="1042"/>
      <c r="F62" s="1043"/>
      <c r="G62" s="1043"/>
      <c r="H62" s="984"/>
      <c r="I62" s="515"/>
      <c r="J62" s="515"/>
      <c r="K62" s="515"/>
      <c r="L62" s="515"/>
      <c r="M62" s="1044"/>
      <c r="N62" s="277"/>
      <c r="O62" s="1045"/>
      <c r="P62" s="1045"/>
      <c r="Q62" s="1045"/>
      <c r="R62" s="1045"/>
      <c r="S62" s="1013"/>
      <c r="T62" s="277"/>
      <c r="U62" s="417"/>
    </row>
    <row r="63" spans="1:21" ht="15" customHeight="1">
      <c r="A63" s="1046"/>
      <c r="B63" s="1041"/>
      <c r="C63" s="1042"/>
      <c r="D63" s="1042"/>
      <c r="E63" s="1042"/>
      <c r="F63" s="1043"/>
      <c r="G63" s="1043"/>
      <c r="H63" s="984"/>
      <c r="I63" s="515"/>
      <c r="J63" s="515"/>
      <c r="K63" s="515"/>
      <c r="L63" s="515"/>
      <c r="M63" s="1044"/>
      <c r="N63" s="277"/>
      <c r="O63" s="1045"/>
      <c r="P63" s="1045"/>
      <c r="Q63" s="1045"/>
      <c r="R63" s="1045"/>
      <c r="S63" s="1013"/>
      <c r="T63" s="277"/>
      <c r="U63" s="417"/>
    </row>
    <row r="64" spans="1:21" ht="15" customHeight="1">
      <c r="A64" s="1046"/>
      <c r="B64" s="1041"/>
      <c r="C64" s="1042"/>
      <c r="D64" s="1042"/>
      <c r="E64" s="1042"/>
      <c r="F64" s="1043"/>
      <c r="G64" s="1043"/>
      <c r="H64" s="247"/>
      <c r="I64" s="515"/>
      <c r="J64" s="515"/>
      <c r="K64" s="515"/>
      <c r="L64" s="515"/>
      <c r="M64" s="1044"/>
      <c r="N64" s="277"/>
      <c r="O64" s="1045"/>
      <c r="P64" s="1045"/>
      <c r="Q64" s="1045"/>
      <c r="R64" s="1045"/>
      <c r="S64" s="1013"/>
      <c r="T64" s="277"/>
      <c r="U64" s="417"/>
    </row>
    <row r="65" spans="1:21" ht="15" customHeight="1">
      <c r="A65" s="1046"/>
      <c r="B65" s="1041"/>
      <c r="C65" s="1042"/>
      <c r="D65" s="1042"/>
      <c r="E65" s="1042"/>
      <c r="F65" s="1043"/>
      <c r="G65" s="1043"/>
      <c r="H65" s="247"/>
      <c r="I65" s="515"/>
      <c r="J65" s="515"/>
      <c r="K65" s="515"/>
      <c r="L65" s="515"/>
      <c r="M65" s="1044"/>
      <c r="N65" s="277"/>
      <c r="O65" s="1045"/>
      <c r="P65" s="1045"/>
      <c r="Q65" s="1045"/>
      <c r="R65" s="1045"/>
      <c r="S65" s="1013"/>
      <c r="T65" s="277"/>
      <c r="U65" s="417"/>
    </row>
    <row r="66" spans="1:21" ht="15" customHeight="1">
      <c r="A66" s="1046"/>
      <c r="B66" s="1041"/>
      <c r="C66" s="1042"/>
      <c r="D66" s="1042"/>
      <c r="E66" s="1042"/>
      <c r="F66" s="1043"/>
      <c r="G66" s="1043"/>
      <c r="H66" s="247"/>
      <c r="I66" s="515"/>
      <c r="J66" s="515"/>
      <c r="K66" s="515"/>
      <c r="L66" s="515"/>
      <c r="M66" s="1044"/>
      <c r="N66" s="277"/>
      <c r="O66" s="1045"/>
      <c r="P66" s="1045"/>
      <c r="Q66" s="1045"/>
      <c r="R66" s="1045"/>
      <c r="S66" s="1013"/>
      <c r="T66" s="277"/>
      <c r="U66" s="417"/>
    </row>
    <row r="67" spans="1:21" ht="15" customHeight="1">
      <c r="A67" s="1046"/>
      <c r="B67" s="1041"/>
      <c r="C67" s="1042"/>
      <c r="D67" s="1042"/>
      <c r="E67" s="1042"/>
      <c r="F67" s="1043"/>
      <c r="G67" s="1043"/>
      <c r="H67" s="984"/>
      <c r="I67" s="515"/>
      <c r="J67" s="515"/>
      <c r="K67" s="515"/>
      <c r="L67" s="515"/>
      <c r="M67" s="1044"/>
      <c r="N67" s="277"/>
      <c r="O67" s="1045"/>
      <c r="P67" s="1045"/>
      <c r="Q67" s="1045"/>
      <c r="R67" s="1045"/>
      <c r="S67" s="1013"/>
      <c r="T67" s="277"/>
      <c r="U67" s="417"/>
    </row>
    <row r="68" spans="1:21" ht="15" customHeight="1">
      <c r="A68" s="250"/>
      <c r="B68" s="250"/>
      <c r="C68" s="251"/>
      <c r="D68" s="251"/>
      <c r="E68" s="251"/>
      <c r="F68" s="252"/>
      <c r="G68" s="252"/>
      <c r="H68" s="247"/>
      <c r="I68" s="257"/>
      <c r="J68" s="257"/>
      <c r="K68" s="257"/>
      <c r="L68" s="257"/>
      <c r="M68" s="258"/>
      <c r="N68" s="259"/>
      <c r="O68" s="255"/>
      <c r="P68" s="255"/>
      <c r="Q68" s="255"/>
      <c r="R68" s="255"/>
      <c r="S68" s="191"/>
      <c r="T68" s="259"/>
      <c r="U68" s="260"/>
    </row>
    <row r="69" spans="1:21" ht="15" customHeight="1">
      <c r="A69" s="261"/>
      <c r="B69" s="250"/>
      <c r="C69" s="251"/>
      <c r="D69" s="251"/>
      <c r="E69" s="251"/>
      <c r="F69" s="252"/>
      <c r="G69" s="252"/>
      <c r="H69" s="247"/>
      <c r="I69" s="257"/>
      <c r="J69" s="257"/>
      <c r="K69" s="257"/>
      <c r="L69" s="257"/>
      <c r="M69" s="258"/>
      <c r="N69" s="259"/>
      <c r="O69" s="255"/>
      <c r="P69" s="255"/>
      <c r="Q69" s="255"/>
      <c r="R69" s="255"/>
      <c r="S69" s="191"/>
      <c r="T69" s="259"/>
      <c r="U69" s="260"/>
    </row>
    <row r="70" spans="1:21" ht="15" customHeight="1">
      <c r="B70" s="1041"/>
      <c r="C70" s="1048"/>
      <c r="D70" s="1048"/>
      <c r="E70" s="1048"/>
      <c r="F70" s="417"/>
      <c r="G70" s="417"/>
      <c r="H70" s="984"/>
      <c r="I70" s="515"/>
      <c r="J70" s="515"/>
      <c r="K70" s="379"/>
      <c r="L70" s="1044"/>
      <c r="M70" s="1044"/>
      <c r="N70" s="277"/>
      <c r="O70" s="1049"/>
      <c r="P70" s="1049"/>
      <c r="Q70" s="515"/>
      <c r="R70" s="1049"/>
      <c r="S70" s="1044"/>
      <c r="T70" s="277"/>
      <c r="U70" s="277"/>
    </row>
    <row r="71" spans="1:21" ht="15" customHeight="1">
      <c r="A71" s="1050"/>
      <c r="B71" s="1280"/>
      <c r="C71" s="1048"/>
      <c r="D71" s="1048"/>
      <c r="E71" s="1048"/>
      <c r="F71" s="417"/>
      <c r="G71" s="417"/>
      <c r="H71" s="984"/>
      <c r="I71" s="515"/>
      <c r="J71" s="515"/>
      <c r="K71" s="515"/>
      <c r="L71" s="515"/>
      <c r="M71" s="515"/>
      <c r="N71" s="1051"/>
      <c r="O71" s="1049"/>
      <c r="P71" s="1049"/>
      <c r="Q71" s="1049"/>
      <c r="R71" s="1049"/>
      <c r="S71" s="1044"/>
      <c r="T71" s="277"/>
      <c r="U71" s="277"/>
    </row>
    <row r="72" spans="1:21" ht="15.75" customHeight="1">
      <c r="B72" s="1280"/>
      <c r="D72" s="1048"/>
      <c r="E72" s="1048"/>
      <c r="F72" s="1048"/>
      <c r="G72" s="417"/>
      <c r="H72" s="515"/>
      <c r="I72" s="515"/>
      <c r="J72" s="515"/>
      <c r="K72" s="515"/>
      <c r="L72" s="515"/>
      <c r="M72" s="1044"/>
      <c r="N72" s="265"/>
      <c r="O72" s="1044"/>
      <c r="P72" s="1044"/>
      <c r="Q72" s="1044"/>
      <c r="R72" s="1044"/>
      <c r="S72" s="1044"/>
      <c r="T72" s="417"/>
      <c r="U72" s="417"/>
    </row>
    <row r="73" spans="1:21" ht="21" customHeight="1">
      <c r="A73" s="1289"/>
      <c r="B73" s="1289"/>
      <c r="C73" s="1289"/>
      <c r="D73" s="1289"/>
      <c r="E73" s="1289"/>
      <c r="F73" s="1289"/>
      <c r="G73" s="1289"/>
      <c r="H73" s="1289"/>
      <c r="I73" s="1289"/>
      <c r="J73" s="1289"/>
      <c r="K73" s="1289"/>
      <c r="L73" s="1289"/>
      <c r="M73" s="1289"/>
      <c r="N73" s="1289"/>
      <c r="O73" s="1289"/>
      <c r="P73" s="1289"/>
      <c r="Q73" s="1289"/>
      <c r="R73" s="1289"/>
      <c r="S73" s="1289"/>
      <c r="T73" s="1289"/>
      <c r="U73" s="1289"/>
    </row>
    <row r="74" spans="1:21" ht="15" customHeight="1">
      <c r="A74" s="1290"/>
      <c r="B74" s="1139"/>
      <c r="C74" s="1290"/>
      <c r="D74" s="1290"/>
      <c r="E74" s="1290"/>
      <c r="F74" s="1290"/>
      <c r="G74" s="1290"/>
      <c r="H74" s="1290"/>
      <c r="I74" s="1291"/>
      <c r="J74" s="1291"/>
      <c r="K74" s="1291"/>
      <c r="L74" s="1291"/>
      <c r="M74" s="1292"/>
      <c r="N74" s="1292"/>
      <c r="O74" s="1291"/>
      <c r="P74" s="1291"/>
      <c r="Q74" s="1291"/>
      <c r="R74" s="1291"/>
      <c r="S74" s="1292"/>
      <c r="T74" s="1292"/>
      <c r="U74" s="1292"/>
    </row>
    <row r="75" spans="1:21" ht="15" customHeight="1">
      <c r="A75" s="1290"/>
      <c r="B75" s="1139"/>
      <c r="C75" s="1173"/>
      <c r="D75" s="1173"/>
      <c r="E75" s="1173"/>
      <c r="F75" s="1173"/>
      <c r="G75" s="1173"/>
      <c r="H75" s="1290"/>
      <c r="I75" s="1174"/>
      <c r="J75" s="1174"/>
      <c r="K75" s="1174"/>
      <c r="L75" s="1174"/>
      <c r="M75" s="1292"/>
      <c r="N75" s="1292"/>
      <c r="O75" s="1174"/>
      <c r="P75" s="1174"/>
      <c r="Q75" s="1174"/>
      <c r="R75" s="1174"/>
      <c r="S75" s="1292"/>
      <c r="T75" s="1292"/>
      <c r="U75" s="1292"/>
    </row>
    <row r="76" spans="1:21" ht="15" customHeight="1">
      <c r="A76" s="1040"/>
      <c r="B76" s="1041"/>
      <c r="C76" s="1175"/>
      <c r="D76" s="1175"/>
      <c r="E76" s="1175"/>
      <c r="F76" s="1176"/>
      <c r="G76" s="1176"/>
      <c r="H76" s="1173"/>
      <c r="I76" s="1174"/>
      <c r="J76" s="1174"/>
      <c r="K76" s="1174"/>
      <c r="L76" s="1174"/>
      <c r="M76" s="1177"/>
      <c r="N76" s="1178"/>
      <c r="O76" s="1045"/>
      <c r="P76" s="1045"/>
      <c r="Q76" s="1045"/>
      <c r="R76" s="1045"/>
      <c r="S76" s="1013"/>
      <c r="T76" s="1178"/>
      <c r="U76" s="1179"/>
    </row>
    <row r="77" spans="1:21" ht="15" customHeight="1">
      <c r="A77" s="1046"/>
      <c r="B77" s="1041"/>
      <c r="C77" s="1175"/>
      <c r="D77" s="1175"/>
      <c r="E77" s="1175"/>
      <c r="F77" s="1176"/>
      <c r="G77" s="1176"/>
      <c r="H77" s="1173"/>
      <c r="I77" s="1174"/>
      <c r="J77" s="1174"/>
      <c r="K77" s="1174"/>
      <c r="L77" s="1174"/>
      <c r="M77" s="1177"/>
      <c r="N77" s="1178"/>
      <c r="O77" s="1045"/>
      <c r="P77" s="1045"/>
      <c r="Q77" s="1045"/>
      <c r="R77" s="1045"/>
      <c r="S77" s="1013"/>
      <c r="T77" s="1178"/>
      <c r="U77" s="1179"/>
    </row>
    <row r="78" spans="1:21" ht="15" customHeight="1">
      <c r="A78" s="1046"/>
      <c r="B78" s="1041"/>
      <c r="C78" s="1175"/>
      <c r="D78" s="1175"/>
      <c r="E78" s="1175"/>
      <c r="F78" s="1176"/>
      <c r="G78" s="1176"/>
      <c r="H78" s="1173"/>
      <c r="I78" s="1174"/>
      <c r="J78" s="1174"/>
      <c r="K78" s="1174"/>
      <c r="L78" s="1174"/>
      <c r="M78" s="1177"/>
      <c r="N78" s="1178"/>
      <c r="O78" s="1045"/>
      <c r="P78" s="1045"/>
      <c r="Q78" s="1045"/>
      <c r="R78" s="1045"/>
      <c r="S78" s="1013"/>
      <c r="T78" s="1178"/>
      <c r="U78" s="1179"/>
    </row>
    <row r="79" spans="1:21" ht="15" customHeight="1">
      <c r="A79" s="1046"/>
      <c r="B79" s="1041"/>
      <c r="C79" s="1175"/>
      <c r="D79" s="1175"/>
      <c r="E79" s="1175"/>
      <c r="F79" s="1176"/>
      <c r="G79" s="1176"/>
      <c r="H79" s="1173"/>
      <c r="I79" s="1174"/>
      <c r="J79" s="1174"/>
      <c r="K79" s="1174"/>
      <c r="L79" s="1174"/>
      <c r="M79" s="1177"/>
      <c r="N79" s="1178"/>
      <c r="O79" s="1045"/>
      <c r="P79" s="1045"/>
      <c r="Q79" s="1045"/>
      <c r="R79" s="1045"/>
      <c r="S79" s="1013"/>
      <c r="T79" s="1178"/>
      <c r="U79" s="1179"/>
    </row>
    <row r="80" spans="1:21" ht="15" customHeight="1">
      <c r="A80" s="1046"/>
      <c r="B80" s="1041"/>
      <c r="C80" s="1175"/>
      <c r="D80" s="1175"/>
      <c r="E80" s="1175"/>
      <c r="F80" s="1176"/>
      <c r="G80" s="1176"/>
      <c r="H80" s="1173"/>
      <c r="I80" s="1174"/>
      <c r="J80" s="1174"/>
      <c r="K80" s="1174"/>
      <c r="L80" s="1174"/>
      <c r="M80" s="1177"/>
      <c r="N80" s="1178"/>
      <c r="O80" s="1045"/>
      <c r="P80" s="1045"/>
      <c r="Q80" s="1045"/>
      <c r="R80" s="1045"/>
      <c r="S80" s="1013"/>
      <c r="T80" s="1178"/>
      <c r="U80" s="1179"/>
    </row>
    <row r="81" spans="1:21" ht="15" customHeight="1">
      <c r="A81" s="1046"/>
      <c r="B81" s="1041"/>
      <c r="C81" s="1175"/>
      <c r="D81" s="1175"/>
      <c r="E81" s="1175"/>
      <c r="F81" s="1176"/>
      <c r="G81" s="1176"/>
      <c r="H81" s="1173"/>
      <c r="I81" s="1174"/>
      <c r="J81" s="1174"/>
      <c r="K81" s="1174"/>
      <c r="L81" s="1174"/>
      <c r="M81" s="1177"/>
      <c r="N81" s="1178"/>
      <c r="O81" s="1045"/>
      <c r="P81" s="1045"/>
      <c r="Q81" s="1045"/>
      <c r="R81" s="1045"/>
      <c r="S81" s="1013"/>
      <c r="T81" s="1178"/>
      <c r="U81" s="1179"/>
    </row>
    <row r="82" spans="1:21" ht="15" customHeight="1">
      <c r="A82" s="1046"/>
      <c r="B82" s="1041"/>
      <c r="C82" s="1175"/>
      <c r="D82" s="1175"/>
      <c r="E82" s="1175"/>
      <c r="F82" s="1176"/>
      <c r="G82" s="1176"/>
      <c r="H82" s="1173"/>
      <c r="I82" s="1174"/>
      <c r="J82" s="1174"/>
      <c r="K82" s="1174"/>
      <c r="L82" s="1174"/>
      <c r="M82" s="1177"/>
      <c r="N82" s="1178"/>
      <c r="O82" s="1045"/>
      <c r="P82" s="1045"/>
      <c r="Q82" s="1045"/>
      <c r="R82" s="1045"/>
      <c r="S82" s="1013"/>
      <c r="T82" s="1178"/>
      <c r="U82" s="1179"/>
    </row>
    <row r="83" spans="1:21" ht="15" customHeight="1">
      <c r="A83" s="1046"/>
      <c r="B83" s="1041"/>
      <c r="C83" s="1175"/>
      <c r="D83" s="1175"/>
      <c r="E83" s="1175"/>
      <c r="F83" s="1176"/>
      <c r="G83" s="1176"/>
      <c r="H83" s="1173"/>
      <c r="I83" s="1174"/>
      <c r="J83" s="1174"/>
      <c r="K83" s="1174"/>
      <c r="L83" s="1174"/>
      <c r="M83" s="1177"/>
      <c r="N83" s="1178"/>
      <c r="O83" s="1045"/>
      <c r="P83" s="1045"/>
      <c r="Q83" s="1045"/>
      <c r="R83" s="1045"/>
      <c r="S83" s="1013"/>
      <c r="T83" s="1178"/>
      <c r="U83" s="1179"/>
    </row>
    <row r="84" spans="1:21" ht="15" customHeight="1">
      <c r="A84" s="1046"/>
      <c r="B84" s="1041"/>
      <c r="C84" s="1175"/>
      <c r="D84" s="1175"/>
      <c r="E84" s="1175"/>
      <c r="F84" s="1176"/>
      <c r="G84" s="1176"/>
      <c r="H84" s="1173"/>
      <c r="I84" s="1174"/>
      <c r="J84" s="1174"/>
      <c r="K84" s="1174"/>
      <c r="L84" s="1174"/>
      <c r="M84" s="1177"/>
      <c r="N84" s="1178"/>
      <c r="O84" s="1045"/>
      <c r="P84" s="1045"/>
      <c r="Q84" s="1045"/>
      <c r="R84" s="1045"/>
      <c r="S84" s="1013"/>
      <c r="T84" s="1178"/>
      <c r="U84" s="1179"/>
    </row>
    <row r="85" spans="1:21" ht="15" customHeight="1">
      <c r="A85" s="1046"/>
      <c r="B85" s="1041"/>
      <c r="C85" s="1175"/>
      <c r="D85" s="1175"/>
      <c r="E85" s="1175"/>
      <c r="F85" s="1176"/>
      <c r="G85" s="1176"/>
      <c r="H85" s="1173"/>
      <c r="I85" s="1174"/>
      <c r="J85" s="1174"/>
      <c r="K85" s="1174"/>
      <c r="L85" s="1174"/>
      <c r="M85" s="1177"/>
      <c r="N85" s="1178"/>
      <c r="O85" s="1045"/>
      <c r="P85" s="1045"/>
      <c r="Q85" s="1045"/>
      <c r="R85" s="1045"/>
      <c r="S85" s="1013"/>
      <c r="T85" s="1178"/>
      <c r="U85" s="1179"/>
    </row>
    <row r="86" spans="1:21" ht="15" customHeight="1">
      <c r="A86" s="1046"/>
      <c r="B86" s="1046"/>
      <c r="C86" s="1175"/>
      <c r="D86" s="1175"/>
      <c r="E86" s="1175"/>
      <c r="F86" s="1176"/>
      <c r="G86" s="1176"/>
      <c r="H86" s="1180"/>
      <c r="I86" s="1181"/>
      <c r="J86" s="1181"/>
      <c r="K86" s="1181"/>
      <c r="L86" s="1181"/>
      <c r="M86" s="1182"/>
      <c r="N86" s="1183"/>
      <c r="O86" s="1184"/>
      <c r="P86" s="1184"/>
      <c r="Q86" s="1184"/>
      <c r="R86" s="1184"/>
      <c r="S86" s="1185"/>
      <c r="T86" s="1183"/>
      <c r="U86" s="1186"/>
    </row>
    <row r="87" spans="1:21" ht="15" customHeight="1">
      <c r="A87" s="1187"/>
      <c r="B87" s="1046"/>
      <c r="C87" s="1175"/>
      <c r="D87" s="1175"/>
      <c r="E87" s="1175"/>
      <c r="F87" s="1176"/>
      <c r="G87" s="1176"/>
      <c r="H87" s="1180"/>
      <c r="I87" s="1181"/>
      <c r="J87" s="1181"/>
      <c r="K87" s="1181"/>
      <c r="L87" s="1181"/>
      <c r="M87" s="1182"/>
      <c r="N87" s="1183"/>
      <c r="O87" s="1184"/>
      <c r="P87" s="1184"/>
      <c r="Q87" s="1184"/>
      <c r="R87" s="1184"/>
      <c r="S87" s="1185"/>
      <c r="T87" s="1183"/>
      <c r="U87" s="1186"/>
    </row>
    <row r="88" spans="1:21" ht="15" customHeight="1">
      <c r="A88" s="1139"/>
      <c r="B88" s="1041"/>
      <c r="C88" s="1188"/>
      <c r="D88" s="1188"/>
      <c r="E88" s="1188"/>
      <c r="F88" s="1179"/>
      <c r="G88" s="1179"/>
      <c r="H88" s="1173"/>
      <c r="I88" s="1174"/>
      <c r="J88" s="1174"/>
      <c r="K88" s="1189"/>
      <c r="L88" s="1177"/>
      <c r="M88" s="1177"/>
      <c r="N88" s="1178"/>
      <c r="O88" s="1190"/>
      <c r="P88" s="1190"/>
      <c r="Q88" s="1174"/>
      <c r="R88" s="1190"/>
      <c r="S88" s="1177"/>
      <c r="T88" s="1178"/>
      <c r="U88" s="1178"/>
    </row>
    <row r="89" spans="1:21" ht="15" customHeight="1">
      <c r="A89" s="1187"/>
      <c r="B89" s="1280"/>
      <c r="C89" s="1188"/>
      <c r="D89" s="1188"/>
      <c r="E89" s="1188"/>
      <c r="F89" s="1179"/>
      <c r="G89" s="1179"/>
      <c r="H89" s="1173"/>
      <c r="I89" s="1174"/>
      <c r="J89" s="1174"/>
      <c r="K89" s="1174"/>
      <c r="L89" s="1174"/>
      <c r="M89" s="1174"/>
      <c r="N89" s="1191"/>
      <c r="O89" s="1190"/>
      <c r="P89" s="1190"/>
      <c r="Q89" s="1190"/>
      <c r="R89" s="1190"/>
      <c r="S89" s="1177"/>
      <c r="T89" s="1178"/>
      <c r="U89" s="1178"/>
    </row>
    <row r="90" spans="1:21" ht="15.75" customHeight="1">
      <c r="A90" s="1139"/>
      <c r="B90" s="1280"/>
      <c r="C90" s="1139"/>
      <c r="D90" s="1188"/>
      <c r="E90" s="1188"/>
      <c r="F90" s="1188"/>
      <c r="G90" s="1179"/>
      <c r="H90" s="1174"/>
      <c r="I90" s="1174"/>
      <c r="J90" s="1174"/>
      <c r="K90" s="1174"/>
      <c r="L90" s="1174"/>
      <c r="M90" s="1177"/>
      <c r="N90" s="1191"/>
      <c r="O90" s="1177"/>
      <c r="P90" s="1177"/>
      <c r="Q90" s="1177"/>
      <c r="R90" s="1177"/>
      <c r="S90" s="1177"/>
      <c r="T90" s="1179"/>
      <c r="U90" s="1179"/>
    </row>
    <row r="91" spans="1:21" ht="21" customHeight="1">
      <c r="A91" s="1285"/>
      <c r="B91" s="1285"/>
      <c r="C91" s="1285"/>
      <c r="D91" s="1285"/>
      <c r="E91" s="1285"/>
      <c r="F91" s="1285"/>
      <c r="G91" s="1285"/>
      <c r="H91" s="1285"/>
      <c r="I91" s="1285"/>
      <c r="J91" s="1285"/>
      <c r="K91" s="1285"/>
      <c r="L91" s="1285"/>
      <c r="M91" s="1285"/>
      <c r="N91" s="1285"/>
      <c r="O91" s="1285"/>
      <c r="P91" s="1285"/>
      <c r="Q91" s="1285"/>
      <c r="R91" s="1285"/>
      <c r="S91" s="1285"/>
      <c r="T91" s="1285"/>
      <c r="U91" s="1285"/>
    </row>
    <row r="92" spans="1:21" ht="15" customHeight="1">
      <c r="A92" s="1286"/>
      <c r="C92" s="1286"/>
      <c r="D92" s="1286"/>
      <c r="E92" s="1286"/>
      <c r="F92" s="1286"/>
      <c r="G92" s="1286"/>
      <c r="H92" s="1286"/>
      <c r="I92" s="1287"/>
      <c r="J92" s="1287"/>
      <c r="K92" s="1287"/>
      <c r="L92" s="1287"/>
      <c r="M92" s="1288"/>
      <c r="N92" s="1288"/>
      <c r="O92" s="1287"/>
      <c r="P92" s="1287"/>
      <c r="Q92" s="1287"/>
      <c r="R92" s="1287"/>
      <c r="S92" s="1288"/>
      <c r="T92" s="1288"/>
      <c r="U92" s="1288"/>
    </row>
    <row r="93" spans="1:21" ht="15" customHeight="1">
      <c r="A93" s="1286"/>
      <c r="C93" s="984"/>
      <c r="D93" s="984"/>
      <c r="E93" s="984"/>
      <c r="F93" s="984"/>
      <c r="G93" s="984"/>
      <c r="H93" s="1286"/>
      <c r="I93" s="515"/>
      <c r="J93" s="515"/>
      <c r="K93" s="515"/>
      <c r="L93" s="515"/>
      <c r="M93" s="1288"/>
      <c r="N93" s="1288"/>
      <c r="O93" s="515"/>
      <c r="P93" s="515"/>
      <c r="Q93" s="515"/>
      <c r="R93" s="515"/>
      <c r="S93" s="1288"/>
      <c r="T93" s="1288"/>
      <c r="U93" s="1288"/>
    </row>
    <row r="94" spans="1:21" ht="15" customHeight="1">
      <c r="A94" s="1040"/>
      <c r="B94" s="1041"/>
      <c r="C94" s="1042"/>
      <c r="D94" s="1042"/>
      <c r="E94" s="1042"/>
      <c r="F94" s="1043"/>
      <c r="G94" s="1043"/>
      <c r="H94" s="984"/>
      <c r="I94" s="515"/>
      <c r="J94" s="515"/>
      <c r="K94" s="515"/>
      <c r="L94" s="515"/>
      <c r="M94" s="1044"/>
      <c r="N94" s="277"/>
      <c r="O94" s="1045"/>
      <c r="P94" s="1045"/>
      <c r="Q94" s="1045"/>
      <c r="R94" s="1045"/>
      <c r="S94" s="1013"/>
      <c r="T94" s="277"/>
      <c r="U94" s="417"/>
    </row>
    <row r="95" spans="1:21" ht="15" customHeight="1">
      <c r="A95" s="1046"/>
      <c r="B95" s="1041"/>
      <c r="C95" s="1042"/>
      <c r="D95" s="1042"/>
      <c r="E95" s="1042"/>
      <c r="F95" s="1043"/>
      <c r="G95" s="1043"/>
      <c r="H95" s="984"/>
      <c r="I95" s="515"/>
      <c r="J95" s="515"/>
      <c r="K95" s="515"/>
      <c r="L95" s="515"/>
      <c r="M95" s="1044"/>
      <c r="N95" s="277"/>
      <c r="O95" s="1045"/>
      <c r="P95" s="1045"/>
      <c r="Q95" s="1045"/>
      <c r="R95" s="1045"/>
      <c r="S95" s="1013"/>
      <c r="T95" s="277"/>
      <c r="U95" s="417"/>
    </row>
    <row r="96" spans="1:21" ht="15" customHeight="1">
      <c r="A96" s="1046"/>
      <c r="B96" s="1041"/>
      <c r="C96" s="1042"/>
      <c r="D96" s="1042"/>
      <c r="E96" s="1042"/>
      <c r="F96" s="1043"/>
      <c r="G96" s="1043"/>
      <c r="H96" s="984"/>
      <c r="I96" s="515"/>
      <c r="J96" s="515"/>
      <c r="K96" s="515"/>
      <c r="L96" s="515"/>
      <c r="M96" s="1044"/>
      <c r="N96" s="277"/>
      <c r="O96" s="1045"/>
      <c r="P96" s="1045"/>
      <c r="Q96" s="1045"/>
      <c r="R96" s="1045"/>
      <c r="S96" s="1013"/>
      <c r="T96" s="277"/>
      <c r="U96" s="417"/>
    </row>
    <row r="97" spans="1:21" ht="15" customHeight="1">
      <c r="A97" s="1046"/>
      <c r="B97" s="1041"/>
      <c r="C97" s="1042"/>
      <c r="D97" s="1042"/>
      <c r="E97" s="1042"/>
      <c r="F97" s="1043"/>
      <c r="G97" s="1043"/>
      <c r="H97" s="984"/>
      <c r="I97" s="515"/>
      <c r="J97" s="515"/>
      <c r="K97" s="515"/>
      <c r="L97" s="515"/>
      <c r="M97" s="1044"/>
      <c r="N97" s="277"/>
      <c r="O97" s="1045"/>
      <c r="P97" s="1045"/>
      <c r="Q97" s="1045"/>
      <c r="R97" s="1045"/>
      <c r="S97" s="1013"/>
      <c r="T97" s="277"/>
      <c r="U97" s="417"/>
    </row>
    <row r="98" spans="1:21" ht="15" customHeight="1">
      <c r="A98" s="1046"/>
      <c r="B98" s="1041"/>
      <c r="C98" s="1042"/>
      <c r="D98" s="1042"/>
      <c r="E98" s="1042"/>
      <c r="F98" s="1043"/>
      <c r="G98" s="1043"/>
      <c r="H98" s="984"/>
      <c r="I98" s="515"/>
      <c r="J98" s="515"/>
      <c r="K98" s="515"/>
      <c r="L98" s="515"/>
      <c r="M98" s="1044"/>
      <c r="N98" s="277"/>
      <c r="O98" s="1045"/>
      <c r="P98" s="1045"/>
      <c r="Q98" s="1045"/>
      <c r="R98" s="1045"/>
      <c r="S98" s="1013"/>
      <c r="T98" s="277"/>
      <c r="U98" s="417"/>
    </row>
    <row r="99" spans="1:21" ht="15" customHeight="1">
      <c r="A99" s="1046"/>
      <c r="B99" s="1041"/>
      <c r="C99" s="1042"/>
      <c r="D99" s="1042"/>
      <c r="E99" s="1042"/>
      <c r="F99" s="1043"/>
      <c r="G99" s="1043"/>
      <c r="H99" s="984"/>
      <c r="I99" s="515"/>
      <c r="J99" s="515"/>
      <c r="K99" s="515"/>
      <c r="L99" s="515"/>
      <c r="M99" s="1044"/>
      <c r="N99" s="277"/>
      <c r="O99" s="1045"/>
      <c r="P99" s="1045"/>
      <c r="Q99" s="1045"/>
      <c r="R99" s="1045"/>
      <c r="S99" s="1013"/>
      <c r="T99" s="277"/>
      <c r="U99" s="417"/>
    </row>
    <row r="100" spans="1:21" ht="15" customHeight="1">
      <c r="A100" s="1046"/>
      <c r="B100" s="1041"/>
      <c r="C100" s="1042"/>
      <c r="D100" s="1042"/>
      <c r="E100" s="1042"/>
      <c r="F100" s="1043"/>
      <c r="G100" s="1043"/>
      <c r="H100" s="984"/>
      <c r="I100" s="515"/>
      <c r="J100" s="515"/>
      <c r="K100" s="515"/>
      <c r="L100" s="515"/>
      <c r="M100" s="1044"/>
      <c r="N100" s="277"/>
      <c r="O100" s="1045"/>
      <c r="P100" s="1045"/>
      <c r="Q100" s="1045"/>
      <c r="R100" s="1045"/>
      <c r="S100" s="1013"/>
      <c r="T100" s="277"/>
      <c r="U100" s="417"/>
    </row>
    <row r="101" spans="1:21" ht="15" customHeight="1">
      <c r="A101" s="1046"/>
      <c r="B101" s="1041"/>
      <c r="C101" s="1042"/>
      <c r="D101" s="1042"/>
      <c r="E101" s="1042"/>
      <c r="F101" s="1043"/>
      <c r="G101" s="1043"/>
      <c r="H101" s="984"/>
      <c r="I101" s="515"/>
      <c r="J101" s="515"/>
      <c r="K101" s="515"/>
      <c r="L101" s="515"/>
      <c r="M101" s="1044"/>
      <c r="N101" s="277"/>
      <c r="O101" s="1045"/>
      <c r="P101" s="1045"/>
      <c r="Q101" s="1045"/>
      <c r="R101" s="1045"/>
      <c r="S101" s="1013"/>
      <c r="T101" s="277"/>
      <c r="U101" s="417"/>
    </row>
    <row r="102" spans="1:21" ht="15" customHeight="1">
      <c r="A102" s="1046"/>
      <c r="B102" s="1041"/>
      <c r="C102" s="1042"/>
      <c r="D102" s="1042"/>
      <c r="E102" s="1042"/>
      <c r="F102" s="1043"/>
      <c r="G102" s="1043"/>
      <c r="H102" s="984"/>
      <c r="I102" s="515"/>
      <c r="J102" s="515"/>
      <c r="K102" s="515"/>
      <c r="L102" s="515"/>
      <c r="M102" s="1044"/>
      <c r="N102" s="277"/>
      <c r="O102" s="1045"/>
      <c r="P102" s="1045"/>
      <c r="Q102" s="1045"/>
      <c r="R102" s="1045"/>
      <c r="S102" s="1013"/>
      <c r="T102" s="277"/>
      <c r="U102" s="417"/>
    </row>
    <row r="103" spans="1:21" ht="15" customHeight="1">
      <c r="A103" s="1046"/>
      <c r="B103" s="1041"/>
      <c r="C103" s="1042"/>
      <c r="D103" s="1042"/>
      <c r="E103" s="1042"/>
      <c r="F103" s="1043"/>
      <c r="G103" s="1043"/>
      <c r="H103" s="984"/>
      <c r="I103" s="515"/>
      <c r="J103" s="515"/>
      <c r="K103" s="515"/>
      <c r="L103" s="515"/>
      <c r="M103" s="1044"/>
      <c r="N103" s="277"/>
      <c r="O103" s="1045"/>
      <c r="P103" s="1045"/>
      <c r="Q103" s="1045"/>
      <c r="R103" s="1045"/>
      <c r="S103" s="1013"/>
      <c r="T103" s="277"/>
      <c r="U103" s="417"/>
    </row>
    <row r="104" spans="1:21" ht="15" customHeight="1">
      <c r="A104" s="250"/>
      <c r="B104" s="250"/>
      <c r="C104" s="251"/>
      <c r="D104" s="251"/>
      <c r="E104" s="251"/>
      <c r="F104" s="252"/>
      <c r="G104" s="252"/>
      <c r="H104" s="1047"/>
      <c r="I104" s="257"/>
      <c r="J104" s="257"/>
      <c r="K104" s="257"/>
      <c r="L104" s="257"/>
      <c r="M104" s="258"/>
      <c r="N104" s="259"/>
      <c r="O104" s="255"/>
      <c r="P104" s="255"/>
      <c r="Q104" s="255"/>
      <c r="R104" s="255"/>
      <c r="S104" s="191"/>
      <c r="T104" s="259"/>
      <c r="U104" s="260"/>
    </row>
    <row r="105" spans="1:21" ht="15" customHeight="1">
      <c r="A105" s="261"/>
      <c r="B105" s="250"/>
      <c r="C105" s="251"/>
      <c r="D105" s="251"/>
      <c r="E105" s="251"/>
      <c r="F105" s="252"/>
      <c r="G105" s="252"/>
      <c r="H105" s="1047"/>
      <c r="I105" s="257"/>
      <c r="J105" s="257"/>
      <c r="K105" s="257"/>
      <c r="L105" s="257"/>
      <c r="M105" s="258"/>
      <c r="N105" s="259"/>
      <c r="O105" s="255"/>
      <c r="P105" s="255"/>
      <c r="Q105" s="255"/>
      <c r="R105" s="255"/>
      <c r="S105" s="191"/>
      <c r="T105" s="259"/>
      <c r="U105" s="260"/>
    </row>
    <row r="106" spans="1:21" ht="15" customHeight="1">
      <c r="B106" s="1041"/>
      <c r="C106" s="1048"/>
      <c r="D106" s="1048"/>
      <c r="E106" s="1048"/>
      <c r="F106" s="417"/>
      <c r="G106" s="417"/>
      <c r="H106" s="984"/>
      <c r="I106" s="515"/>
      <c r="J106" s="515"/>
      <c r="K106" s="379"/>
      <c r="L106" s="1044"/>
      <c r="M106" s="1044"/>
      <c r="N106" s="277"/>
      <c r="O106" s="1049"/>
      <c r="P106" s="1049"/>
      <c r="Q106" s="515"/>
      <c r="R106" s="1049"/>
      <c r="S106" s="1044"/>
      <c r="T106" s="277"/>
      <c r="U106" s="277"/>
    </row>
    <row r="107" spans="1:21" ht="15" customHeight="1">
      <c r="A107" s="1050"/>
      <c r="B107" s="1280"/>
      <c r="C107" s="1048"/>
      <c r="D107" s="1048"/>
      <c r="E107" s="1048"/>
      <c r="F107" s="417"/>
      <c r="G107" s="417"/>
      <c r="H107" s="984"/>
      <c r="I107" s="516"/>
      <c r="J107" s="516"/>
      <c r="K107" s="516"/>
      <c r="L107" s="516"/>
      <c r="M107" s="515"/>
      <c r="N107" s="1051"/>
      <c r="O107" s="1049"/>
      <c r="P107" s="1049"/>
      <c r="Q107" s="1049"/>
      <c r="R107" s="1049"/>
      <c r="S107" s="1044"/>
      <c r="T107" s="277"/>
      <c r="U107" s="277"/>
    </row>
    <row r="108" spans="1:21" ht="15.75" customHeight="1">
      <c r="B108" s="1280"/>
      <c r="D108" s="1048"/>
      <c r="E108" s="1048"/>
      <c r="F108" s="1048"/>
      <c r="G108" s="417"/>
      <c r="H108" s="515"/>
      <c r="I108" s="515"/>
      <c r="J108" s="515"/>
      <c r="K108" s="515"/>
      <c r="L108" s="515"/>
      <c r="M108" s="1044"/>
      <c r="N108" s="265"/>
      <c r="O108" s="1044"/>
      <c r="P108" s="1044"/>
      <c r="Q108" s="1044"/>
      <c r="R108" s="1044"/>
      <c r="S108" s="1044"/>
      <c r="T108" s="417"/>
      <c r="U108" s="417"/>
    </row>
    <row r="109" spans="1:21" ht="21" customHeight="1">
      <c r="A109" s="1285"/>
      <c r="B109" s="1285"/>
      <c r="C109" s="1285"/>
      <c r="D109" s="1285"/>
      <c r="E109" s="1285"/>
      <c r="F109" s="1285"/>
      <c r="G109" s="1285"/>
      <c r="H109" s="1285"/>
      <c r="I109" s="1285"/>
      <c r="J109" s="1285"/>
      <c r="K109" s="1285"/>
      <c r="L109" s="1285"/>
      <c r="M109" s="1285"/>
      <c r="N109" s="1285"/>
      <c r="O109" s="1285"/>
      <c r="P109" s="1285"/>
      <c r="Q109" s="1285"/>
      <c r="R109" s="1285"/>
      <c r="S109" s="1285"/>
      <c r="T109" s="1285"/>
      <c r="U109" s="1285"/>
    </row>
    <row r="110" spans="1:21" ht="15" customHeight="1">
      <c r="A110" s="1286"/>
      <c r="C110" s="1286"/>
      <c r="D110" s="1286"/>
      <c r="E110" s="1286"/>
      <c r="F110" s="1286"/>
      <c r="G110" s="1286"/>
      <c r="H110" s="1286"/>
      <c r="I110" s="1287"/>
      <c r="J110" s="1287"/>
      <c r="K110" s="1287"/>
      <c r="L110" s="1287"/>
      <c r="M110" s="1288"/>
      <c r="N110" s="1288"/>
      <c r="O110" s="1287"/>
      <c r="P110" s="1287"/>
      <c r="Q110" s="1287"/>
      <c r="R110" s="1287"/>
      <c r="S110" s="1288"/>
      <c r="T110" s="1288"/>
      <c r="U110" s="1288"/>
    </row>
    <row r="111" spans="1:21" ht="15" customHeight="1">
      <c r="A111" s="1286"/>
      <c r="C111" s="984"/>
      <c r="D111" s="984"/>
      <c r="E111" s="984"/>
      <c r="F111" s="984"/>
      <c r="G111" s="984"/>
      <c r="H111" s="1286"/>
      <c r="I111" s="515"/>
      <c r="J111" s="515"/>
      <c r="K111" s="515"/>
      <c r="L111" s="515"/>
      <c r="M111" s="1288"/>
      <c r="N111" s="1288"/>
      <c r="O111" s="515"/>
      <c r="P111" s="515"/>
      <c r="Q111" s="515"/>
      <c r="R111" s="515"/>
      <c r="S111" s="1288"/>
      <c r="T111" s="1288"/>
      <c r="U111" s="1288"/>
    </row>
    <row r="112" spans="1:21" ht="15" customHeight="1">
      <c r="A112" s="1040"/>
      <c r="B112" s="1041"/>
      <c r="C112" s="1042"/>
      <c r="D112" s="1042"/>
      <c r="E112" s="1042"/>
      <c r="F112" s="1043"/>
      <c r="G112" s="1043"/>
      <c r="H112" s="984"/>
      <c r="I112" s="515"/>
      <c r="J112" s="515"/>
      <c r="K112" s="515"/>
      <c r="L112" s="515"/>
      <c r="M112" s="1044"/>
      <c r="N112" s="277"/>
      <c r="O112" s="1045"/>
      <c r="P112" s="1045"/>
      <c r="Q112" s="1045"/>
      <c r="R112" s="1045"/>
      <c r="S112" s="1013"/>
      <c r="T112" s="277"/>
      <c r="U112" s="417"/>
    </row>
    <row r="113" spans="1:21" ht="15" customHeight="1">
      <c r="A113" s="1046"/>
      <c r="B113" s="1041"/>
      <c r="C113" s="1042"/>
      <c r="D113" s="1042"/>
      <c r="E113" s="1042"/>
      <c r="F113" s="1043"/>
      <c r="G113" s="1043"/>
      <c r="H113" s="984"/>
      <c r="I113" s="515"/>
      <c r="J113" s="515"/>
      <c r="K113" s="515"/>
      <c r="L113" s="515"/>
      <c r="M113" s="1044"/>
      <c r="N113" s="277"/>
      <c r="O113" s="1045"/>
      <c r="P113" s="1045"/>
      <c r="Q113" s="1045"/>
      <c r="R113" s="1045"/>
      <c r="S113" s="1013"/>
      <c r="T113" s="277"/>
      <c r="U113" s="417"/>
    </row>
    <row r="114" spans="1:21" ht="15" customHeight="1">
      <c r="A114" s="1046"/>
      <c r="B114" s="1041"/>
      <c r="C114" s="1042"/>
      <c r="D114" s="1042"/>
      <c r="E114" s="1042"/>
      <c r="F114" s="1043"/>
      <c r="G114" s="1043"/>
      <c r="H114" s="984"/>
      <c r="I114" s="515"/>
      <c r="J114" s="515"/>
      <c r="K114" s="515"/>
      <c r="L114" s="515"/>
      <c r="M114" s="1044"/>
      <c r="N114" s="277"/>
      <c r="O114" s="1045"/>
      <c r="P114" s="1045"/>
      <c r="Q114" s="1045"/>
      <c r="R114" s="1045"/>
      <c r="S114" s="1013"/>
      <c r="T114" s="277"/>
      <c r="U114" s="417"/>
    </row>
    <row r="115" spans="1:21" ht="15" customHeight="1">
      <c r="A115" s="1046"/>
      <c r="B115" s="1041"/>
      <c r="C115" s="1042"/>
      <c r="D115" s="1042"/>
      <c r="E115" s="1042"/>
      <c r="F115" s="1043"/>
      <c r="G115" s="1043"/>
      <c r="H115" s="984"/>
      <c r="I115" s="515"/>
      <c r="J115" s="515"/>
      <c r="K115" s="515"/>
      <c r="L115" s="515"/>
      <c r="M115" s="1044"/>
      <c r="N115" s="277"/>
      <c r="O115" s="1045"/>
      <c r="P115" s="1045"/>
      <c r="Q115" s="1045"/>
      <c r="R115" s="1045"/>
      <c r="S115" s="1013"/>
      <c r="T115" s="277"/>
      <c r="U115" s="417"/>
    </row>
    <row r="116" spans="1:21" ht="15" customHeight="1">
      <c r="A116" s="1046"/>
      <c r="B116" s="1041"/>
      <c r="C116" s="1042"/>
      <c r="D116" s="1042"/>
      <c r="E116" s="1042"/>
      <c r="F116" s="1043"/>
      <c r="G116" s="1043"/>
      <c r="H116" s="984"/>
      <c r="I116" s="515"/>
      <c r="J116" s="515"/>
      <c r="K116" s="515"/>
      <c r="L116" s="515"/>
      <c r="M116" s="1044"/>
      <c r="N116" s="277"/>
      <c r="O116" s="1045"/>
      <c r="P116" s="1045"/>
      <c r="Q116" s="1045"/>
      <c r="R116" s="1045"/>
      <c r="S116" s="1013"/>
      <c r="T116" s="277"/>
      <c r="U116" s="417"/>
    </row>
    <row r="117" spans="1:21" ht="15" customHeight="1">
      <c r="A117" s="1046"/>
      <c r="B117" s="1041"/>
      <c r="C117" s="1042"/>
      <c r="D117" s="1042"/>
      <c r="E117" s="1042"/>
      <c r="F117" s="1043"/>
      <c r="G117" s="1043"/>
      <c r="H117" s="984"/>
      <c r="I117" s="515"/>
      <c r="J117" s="515"/>
      <c r="K117" s="515"/>
      <c r="L117" s="515"/>
      <c r="M117" s="1044"/>
      <c r="N117" s="277"/>
      <c r="O117" s="1045"/>
      <c r="P117" s="1045"/>
      <c r="Q117" s="1045"/>
      <c r="R117" s="1045"/>
      <c r="S117" s="1013"/>
      <c r="T117" s="277"/>
      <c r="U117" s="417"/>
    </row>
    <row r="118" spans="1:21" ht="15" customHeight="1">
      <c r="A118" s="1046"/>
      <c r="B118" s="1041"/>
      <c r="C118" s="1042"/>
      <c r="D118" s="1042"/>
      <c r="E118" s="1042"/>
      <c r="F118" s="1043"/>
      <c r="G118" s="1043"/>
      <c r="H118" s="984"/>
      <c r="I118" s="515"/>
      <c r="J118" s="515"/>
      <c r="K118" s="515"/>
      <c r="L118" s="515"/>
      <c r="M118" s="1044"/>
      <c r="N118" s="277"/>
      <c r="O118" s="1045"/>
      <c r="P118" s="1045"/>
      <c r="Q118" s="1045"/>
      <c r="R118" s="1045"/>
      <c r="S118" s="1013"/>
      <c r="T118" s="277"/>
      <c r="U118" s="417"/>
    </row>
    <row r="119" spans="1:21" ht="15" customHeight="1">
      <c r="A119" s="1046"/>
      <c r="B119" s="1041"/>
      <c r="C119" s="1042"/>
      <c r="D119" s="1042"/>
      <c r="E119" s="1042"/>
      <c r="F119" s="1043"/>
      <c r="G119" s="1043"/>
      <c r="H119" s="984"/>
      <c r="I119" s="515"/>
      <c r="J119" s="515"/>
      <c r="K119" s="515"/>
      <c r="L119" s="515"/>
      <c r="M119" s="1044"/>
      <c r="N119" s="277"/>
      <c r="O119" s="1045"/>
      <c r="P119" s="1045"/>
      <c r="Q119" s="1045"/>
      <c r="R119" s="1045"/>
      <c r="S119" s="1013"/>
      <c r="T119" s="277"/>
      <c r="U119" s="417"/>
    </row>
    <row r="120" spans="1:21" ht="15" customHeight="1">
      <c r="A120" s="1046"/>
      <c r="B120" s="1041"/>
      <c r="C120" s="1042"/>
      <c r="D120" s="1042"/>
      <c r="E120" s="1042"/>
      <c r="F120" s="1043"/>
      <c r="G120" s="1043"/>
      <c r="H120" s="984"/>
      <c r="I120" s="515"/>
      <c r="J120" s="515"/>
      <c r="K120" s="515"/>
      <c r="L120" s="515"/>
      <c r="M120" s="1044"/>
      <c r="N120" s="277"/>
      <c r="O120" s="1045"/>
      <c r="P120" s="1045"/>
      <c r="Q120" s="1045"/>
      <c r="R120" s="1045"/>
      <c r="S120" s="1013"/>
      <c r="T120" s="277"/>
      <c r="U120" s="417"/>
    </row>
    <row r="121" spans="1:21" ht="15" customHeight="1">
      <c r="A121" s="1046"/>
      <c r="B121" s="1041"/>
      <c r="C121" s="1042"/>
      <c r="D121" s="1042"/>
      <c r="E121" s="1042"/>
      <c r="F121" s="1043"/>
      <c r="G121" s="1043"/>
      <c r="H121" s="984"/>
      <c r="I121" s="515"/>
      <c r="J121" s="515"/>
      <c r="K121" s="515"/>
      <c r="L121" s="515"/>
      <c r="M121" s="1044"/>
      <c r="N121" s="277"/>
      <c r="O121" s="1045"/>
      <c r="P121" s="1045"/>
      <c r="Q121" s="1045"/>
      <c r="R121" s="1045"/>
      <c r="S121" s="1013"/>
      <c r="T121" s="277"/>
      <c r="U121" s="417"/>
    </row>
    <row r="122" spans="1:21" ht="15" customHeight="1">
      <c r="A122" s="250"/>
      <c r="B122" s="250"/>
      <c r="C122" s="251"/>
      <c r="D122" s="251"/>
      <c r="E122" s="251"/>
      <c r="F122" s="252"/>
      <c r="G122" s="252"/>
      <c r="H122" s="1047"/>
      <c r="I122" s="257"/>
      <c r="J122" s="257"/>
      <c r="K122" s="257"/>
      <c r="L122" s="257"/>
      <c r="M122" s="258"/>
      <c r="N122" s="259"/>
      <c r="O122" s="255"/>
      <c r="P122" s="255"/>
      <c r="Q122" s="255"/>
      <c r="R122" s="255"/>
      <c r="S122" s="191"/>
      <c r="T122" s="259"/>
      <c r="U122" s="260"/>
    </row>
    <row r="123" spans="1:21" ht="15" customHeight="1">
      <c r="A123" s="261"/>
      <c r="B123" s="250"/>
      <c r="C123" s="251"/>
      <c r="D123" s="251"/>
      <c r="E123" s="251"/>
      <c r="F123" s="252"/>
      <c r="G123" s="252"/>
      <c r="H123" s="1047"/>
      <c r="I123" s="257"/>
      <c r="J123" s="257"/>
      <c r="K123" s="257"/>
      <c r="L123" s="257"/>
      <c r="M123" s="258"/>
      <c r="N123" s="259"/>
      <c r="O123" s="255"/>
      <c r="P123" s="255"/>
      <c r="Q123" s="255"/>
      <c r="R123" s="255"/>
      <c r="S123" s="191"/>
      <c r="T123" s="259"/>
      <c r="U123" s="260"/>
    </row>
    <row r="124" spans="1:21" ht="15" customHeight="1">
      <c r="B124" s="1041"/>
      <c r="C124" s="1048"/>
      <c r="D124" s="1048"/>
      <c r="E124" s="1048"/>
      <c r="F124" s="417"/>
      <c r="G124" s="417"/>
      <c r="H124" s="984"/>
      <c r="I124" s="515"/>
      <c r="J124" s="515"/>
      <c r="K124" s="379"/>
      <c r="L124" s="1044"/>
      <c r="M124" s="1044"/>
      <c r="N124" s="277"/>
      <c r="O124" s="1049"/>
      <c r="P124" s="1049"/>
      <c r="Q124" s="515"/>
      <c r="R124" s="1049"/>
      <c r="S124" s="1044"/>
      <c r="T124" s="277"/>
      <c r="U124" s="277"/>
    </row>
    <row r="125" spans="1:21" ht="15" customHeight="1">
      <c r="A125" s="1050"/>
      <c r="B125" s="1280"/>
      <c r="C125" s="1048"/>
      <c r="D125" s="1048"/>
      <c r="E125" s="1048"/>
      <c r="F125" s="417"/>
      <c r="G125" s="417"/>
      <c r="H125" s="984"/>
      <c r="I125" s="516"/>
      <c r="J125" s="516"/>
      <c r="K125" s="516"/>
      <c r="L125" s="516"/>
      <c r="M125" s="515"/>
      <c r="N125" s="1051"/>
      <c r="O125" s="1049"/>
      <c r="P125" s="1049"/>
      <c r="Q125" s="1049"/>
      <c r="R125" s="1049"/>
      <c r="S125" s="1044"/>
      <c r="T125" s="277"/>
      <c r="U125" s="277"/>
    </row>
    <row r="126" spans="1:21" ht="15.75" customHeight="1">
      <c r="B126" s="1280"/>
      <c r="D126" s="1048"/>
      <c r="E126" s="1048"/>
      <c r="F126" s="1048"/>
      <c r="G126" s="417"/>
      <c r="H126" s="515"/>
      <c r="I126" s="515"/>
      <c r="J126" s="515"/>
      <c r="K126" s="515"/>
      <c r="L126" s="515"/>
      <c r="M126" s="1044"/>
      <c r="N126" s="265"/>
      <c r="O126" s="1044"/>
      <c r="P126" s="1044"/>
      <c r="Q126" s="1044"/>
      <c r="R126" s="1044"/>
      <c r="S126" s="1044"/>
      <c r="T126" s="417"/>
      <c r="U126" s="417"/>
    </row>
    <row r="127" spans="1:21" ht="21" customHeight="1">
      <c r="A127" s="1285"/>
      <c r="B127" s="1285"/>
      <c r="C127" s="1285"/>
      <c r="D127" s="1285"/>
      <c r="E127" s="1285"/>
      <c r="F127" s="1285"/>
      <c r="G127" s="1285"/>
      <c r="H127" s="1285"/>
      <c r="I127" s="1285"/>
      <c r="J127" s="1285"/>
      <c r="K127" s="1285"/>
      <c r="L127" s="1285"/>
      <c r="M127" s="1285"/>
      <c r="N127" s="1285"/>
      <c r="O127" s="1285"/>
      <c r="P127" s="1285"/>
      <c r="Q127" s="1285"/>
      <c r="R127" s="1285"/>
      <c r="S127" s="1285"/>
      <c r="T127" s="1285"/>
      <c r="U127" s="1285"/>
    </row>
    <row r="128" spans="1:21" ht="15" customHeight="1">
      <c r="A128" s="1286"/>
      <c r="C128" s="1286"/>
      <c r="D128" s="1286"/>
      <c r="E128" s="1286"/>
      <c r="F128" s="1286"/>
      <c r="G128" s="1286"/>
      <c r="H128" s="1286"/>
      <c r="I128" s="1287"/>
      <c r="J128" s="1287"/>
      <c r="K128" s="1287"/>
      <c r="L128" s="1287"/>
      <c r="M128" s="1288"/>
      <c r="N128" s="1288"/>
      <c r="O128" s="1287"/>
      <c r="P128" s="1287"/>
      <c r="Q128" s="1287"/>
      <c r="R128" s="1287"/>
      <c r="S128" s="1288"/>
      <c r="T128" s="1288"/>
      <c r="U128" s="1288"/>
    </row>
    <row r="129" spans="1:21" ht="15" customHeight="1">
      <c r="A129" s="1286"/>
      <c r="C129" s="984"/>
      <c r="D129" s="984"/>
      <c r="E129" s="984"/>
      <c r="F129" s="984"/>
      <c r="G129" s="984"/>
      <c r="H129" s="1286"/>
      <c r="I129" s="515"/>
      <c r="J129" s="515"/>
      <c r="K129" s="515"/>
      <c r="L129" s="515"/>
      <c r="M129" s="1288"/>
      <c r="N129" s="1288"/>
      <c r="O129" s="515"/>
      <c r="P129" s="515"/>
      <c r="Q129" s="515"/>
      <c r="R129" s="515"/>
      <c r="S129" s="1288"/>
      <c r="T129" s="1288"/>
      <c r="U129" s="1288"/>
    </row>
    <row r="130" spans="1:21" ht="15" customHeight="1">
      <c r="A130" s="1040"/>
      <c r="B130" s="1041"/>
      <c r="C130" s="1042"/>
      <c r="D130" s="1042"/>
      <c r="E130" s="1042"/>
      <c r="F130" s="1043"/>
      <c r="G130" s="1043"/>
      <c r="H130" s="984"/>
      <c r="I130" s="515"/>
      <c r="J130" s="515"/>
      <c r="K130" s="515"/>
      <c r="L130" s="515"/>
      <c r="M130" s="1044"/>
      <c r="N130" s="277"/>
      <c r="O130" s="1045"/>
      <c r="P130" s="1045"/>
      <c r="Q130" s="1045"/>
      <c r="R130" s="1045"/>
      <c r="S130" s="1013"/>
      <c r="T130" s="277"/>
      <c r="U130" s="417"/>
    </row>
    <row r="131" spans="1:21" ht="15" customHeight="1">
      <c r="A131" s="1046"/>
      <c r="B131" s="1041"/>
      <c r="C131" s="1042"/>
      <c r="D131" s="1042"/>
      <c r="E131" s="1042"/>
      <c r="F131" s="1043"/>
      <c r="G131" s="1043"/>
      <c r="H131" s="984"/>
      <c r="I131" s="515"/>
      <c r="J131" s="515"/>
      <c r="K131" s="515"/>
      <c r="L131" s="515"/>
      <c r="M131" s="1044"/>
      <c r="N131" s="277"/>
      <c r="O131" s="1045"/>
      <c r="P131" s="1045"/>
      <c r="Q131" s="1045"/>
      <c r="R131" s="1045"/>
      <c r="S131" s="1013"/>
      <c r="T131" s="277"/>
      <c r="U131" s="417"/>
    </row>
    <row r="132" spans="1:21" ht="15" customHeight="1">
      <c r="A132" s="1046"/>
      <c r="B132" s="1041"/>
      <c r="C132" s="1042"/>
      <c r="D132" s="1042"/>
      <c r="E132" s="1042"/>
      <c r="F132" s="1043"/>
      <c r="G132" s="1043"/>
      <c r="H132" s="984"/>
      <c r="I132" s="515"/>
      <c r="J132" s="515"/>
      <c r="K132" s="515"/>
      <c r="L132" s="515"/>
      <c r="M132" s="1044"/>
      <c r="N132" s="277"/>
      <c r="O132" s="1045"/>
      <c r="P132" s="1045"/>
      <c r="Q132" s="1045"/>
      <c r="R132" s="1045"/>
      <c r="S132" s="1013"/>
      <c r="T132" s="277"/>
      <c r="U132" s="417"/>
    </row>
    <row r="133" spans="1:21" ht="15" customHeight="1">
      <c r="A133" s="1046"/>
      <c r="B133" s="1041"/>
      <c r="C133" s="1042"/>
      <c r="D133" s="1042"/>
      <c r="E133" s="1042"/>
      <c r="F133" s="1043"/>
      <c r="G133" s="1043"/>
      <c r="H133" s="984"/>
      <c r="I133" s="515"/>
      <c r="J133" s="515"/>
      <c r="K133" s="515"/>
      <c r="L133" s="515"/>
      <c r="M133" s="1044"/>
      <c r="N133" s="277"/>
      <c r="O133" s="1045"/>
      <c r="P133" s="1045"/>
      <c r="Q133" s="1045"/>
      <c r="R133" s="1045"/>
      <c r="S133" s="1013"/>
      <c r="T133" s="277"/>
      <c r="U133" s="417"/>
    </row>
    <row r="134" spans="1:21" ht="15" customHeight="1">
      <c r="A134" s="1046"/>
      <c r="B134" s="1041"/>
      <c r="C134" s="1042"/>
      <c r="D134" s="1042"/>
      <c r="E134" s="1042"/>
      <c r="F134" s="1043"/>
      <c r="G134" s="1043"/>
      <c r="H134" s="984"/>
      <c r="I134" s="515"/>
      <c r="J134" s="515"/>
      <c r="K134" s="515"/>
      <c r="L134" s="515"/>
      <c r="M134" s="1044"/>
      <c r="N134" s="277"/>
      <c r="O134" s="1045"/>
      <c r="P134" s="1045"/>
      <c r="Q134" s="1045"/>
      <c r="R134" s="1045"/>
      <c r="S134" s="1013"/>
      <c r="T134" s="277"/>
      <c r="U134" s="417"/>
    </row>
    <row r="135" spans="1:21" ht="15" customHeight="1">
      <c r="A135" s="1046"/>
      <c r="B135" s="1041"/>
      <c r="C135" s="1042"/>
      <c r="D135" s="1042"/>
      <c r="E135" s="1042"/>
      <c r="F135" s="1043"/>
      <c r="G135" s="1043"/>
      <c r="H135" s="984"/>
      <c r="I135" s="515"/>
      <c r="J135" s="515"/>
      <c r="K135" s="515"/>
      <c r="L135" s="515"/>
      <c r="M135" s="1044"/>
      <c r="N135" s="277"/>
      <c r="O135" s="1045"/>
      <c r="P135" s="1045"/>
      <c r="Q135" s="1045"/>
      <c r="R135" s="1045"/>
      <c r="S135" s="1013"/>
      <c r="T135" s="277"/>
      <c r="U135" s="417"/>
    </row>
    <row r="136" spans="1:21" ht="15" customHeight="1">
      <c r="A136" s="1046"/>
      <c r="B136" s="1041"/>
      <c r="C136" s="1042"/>
      <c r="D136" s="1042"/>
      <c r="E136" s="1042"/>
      <c r="F136" s="1043"/>
      <c r="G136" s="1043"/>
      <c r="H136" s="984"/>
      <c r="I136" s="515"/>
      <c r="J136" s="515"/>
      <c r="K136" s="515"/>
      <c r="L136" s="515"/>
      <c r="M136" s="1044"/>
      <c r="N136" s="277"/>
      <c r="O136" s="1045"/>
      <c r="P136" s="1045"/>
      <c r="Q136" s="1045"/>
      <c r="R136" s="1045"/>
      <c r="S136" s="1013"/>
      <c r="T136" s="277"/>
      <c r="U136" s="417"/>
    </row>
    <row r="137" spans="1:21" ht="15" customHeight="1">
      <c r="A137" s="1046"/>
      <c r="B137" s="1041"/>
      <c r="C137" s="1042"/>
      <c r="D137" s="1042"/>
      <c r="E137" s="1042"/>
      <c r="F137" s="1043"/>
      <c r="G137" s="1043"/>
      <c r="H137" s="984"/>
      <c r="I137" s="515"/>
      <c r="J137" s="515"/>
      <c r="K137" s="515"/>
      <c r="L137" s="515"/>
      <c r="M137" s="1044"/>
      <c r="N137" s="277"/>
      <c r="O137" s="1045"/>
      <c r="P137" s="1045"/>
      <c r="Q137" s="1045"/>
      <c r="R137" s="1045"/>
      <c r="S137" s="1013"/>
      <c r="T137" s="277"/>
      <c r="U137" s="417"/>
    </row>
    <row r="138" spans="1:21" ht="15" customHeight="1">
      <c r="A138" s="1046"/>
      <c r="B138" s="1041"/>
      <c r="C138" s="1042"/>
      <c r="D138" s="1042"/>
      <c r="E138" s="1042"/>
      <c r="F138" s="1043"/>
      <c r="G138" s="1043"/>
      <c r="H138" s="984"/>
      <c r="I138" s="515"/>
      <c r="J138" s="515"/>
      <c r="K138" s="515"/>
      <c r="L138" s="515"/>
      <c r="M138" s="1044"/>
      <c r="N138" s="277"/>
      <c r="O138" s="1045"/>
      <c r="P138" s="1045"/>
      <c r="Q138" s="1045"/>
      <c r="R138" s="1045"/>
      <c r="S138" s="1013"/>
      <c r="T138" s="277"/>
      <c r="U138" s="417"/>
    </row>
    <row r="139" spans="1:21" ht="15" customHeight="1">
      <c r="A139" s="1046"/>
      <c r="B139" s="1041"/>
      <c r="C139" s="1042"/>
      <c r="D139" s="1042"/>
      <c r="E139" s="1042"/>
      <c r="F139" s="1043"/>
      <c r="G139" s="1043"/>
      <c r="H139" s="984"/>
      <c r="I139" s="515"/>
      <c r="J139" s="515"/>
      <c r="K139" s="515"/>
      <c r="L139" s="515"/>
      <c r="M139" s="1044"/>
      <c r="N139" s="277"/>
      <c r="O139" s="1045"/>
      <c r="P139" s="1045"/>
      <c r="Q139" s="1045"/>
      <c r="R139" s="1045"/>
      <c r="S139" s="1013"/>
      <c r="T139" s="277"/>
      <c r="U139" s="417"/>
    </row>
    <row r="140" spans="1:21" ht="15" customHeight="1">
      <c r="A140" s="250"/>
      <c r="B140" s="250"/>
      <c r="C140" s="251"/>
      <c r="D140" s="251"/>
      <c r="E140" s="251"/>
      <c r="F140" s="252"/>
      <c r="G140" s="252"/>
      <c r="H140" s="1047"/>
      <c r="I140" s="257"/>
      <c r="J140" s="257"/>
      <c r="K140" s="257"/>
      <c r="L140" s="257"/>
      <c r="M140" s="258"/>
      <c r="N140" s="259"/>
      <c r="O140" s="255"/>
      <c r="P140" s="255"/>
      <c r="Q140" s="255"/>
      <c r="R140" s="255"/>
      <c r="S140" s="191"/>
      <c r="T140" s="259"/>
      <c r="U140" s="260"/>
    </row>
    <row r="141" spans="1:21" ht="15" customHeight="1">
      <c r="A141" s="261"/>
      <c r="B141" s="250"/>
      <c r="C141" s="251"/>
      <c r="D141" s="251"/>
      <c r="E141" s="251"/>
      <c r="F141" s="252"/>
      <c r="G141" s="252"/>
      <c r="H141" s="1047"/>
      <c r="I141" s="257"/>
      <c r="J141" s="257"/>
      <c r="K141" s="257"/>
      <c r="L141" s="257"/>
      <c r="M141" s="258"/>
      <c r="N141" s="259"/>
      <c r="O141" s="255"/>
      <c r="P141" s="255"/>
      <c r="Q141" s="255"/>
      <c r="R141" s="255"/>
      <c r="S141" s="191"/>
      <c r="T141" s="259"/>
      <c r="U141" s="260"/>
    </row>
    <row r="142" spans="1:21" ht="15" customHeight="1">
      <c r="B142" s="1041"/>
      <c r="C142" s="1048"/>
      <c r="D142" s="1048"/>
      <c r="E142" s="1048"/>
      <c r="F142" s="417"/>
      <c r="G142" s="417"/>
      <c r="H142" s="984"/>
      <c r="I142" s="515"/>
      <c r="J142" s="515"/>
      <c r="K142" s="379"/>
      <c r="L142" s="1044"/>
      <c r="M142" s="1044"/>
      <c r="N142" s="277"/>
      <c r="O142" s="1049"/>
      <c r="P142" s="1049"/>
      <c r="Q142" s="515"/>
      <c r="R142" s="1049"/>
      <c r="S142" s="1044"/>
      <c r="T142" s="277"/>
      <c r="U142" s="277"/>
    </row>
    <row r="143" spans="1:21" ht="15" customHeight="1">
      <c r="A143" s="1050"/>
      <c r="B143" s="1280"/>
      <c r="C143" s="1048"/>
      <c r="D143" s="1048"/>
      <c r="E143" s="1048"/>
      <c r="F143" s="417"/>
      <c r="G143" s="417"/>
      <c r="H143" s="984"/>
      <c r="I143" s="516"/>
      <c r="J143" s="516"/>
      <c r="K143" s="516"/>
      <c r="L143" s="516"/>
      <c r="M143" s="515"/>
      <c r="N143" s="1051"/>
      <c r="O143" s="1049"/>
      <c r="P143" s="1049"/>
      <c r="Q143" s="1049"/>
      <c r="R143" s="1049"/>
      <c r="S143" s="1044"/>
      <c r="T143" s="277"/>
      <c r="U143" s="277"/>
    </row>
    <row r="144" spans="1:21" ht="15.75" customHeight="1">
      <c r="B144" s="1280"/>
      <c r="D144" s="1048"/>
      <c r="E144" s="1048"/>
      <c r="F144" s="1048"/>
      <c r="G144" s="417"/>
      <c r="H144" s="515"/>
      <c r="I144" s="515"/>
      <c r="J144" s="515"/>
      <c r="K144" s="515"/>
      <c r="L144" s="515"/>
      <c r="M144" s="1044"/>
      <c r="N144" s="265"/>
      <c r="O144" s="1044"/>
      <c r="P144" s="1044"/>
      <c r="Q144" s="1044"/>
      <c r="R144" s="1044"/>
      <c r="S144" s="1044"/>
      <c r="T144" s="417"/>
      <c r="U144" s="417"/>
    </row>
    <row r="145" spans="1:21" ht="21" customHeight="1">
      <c r="A145" s="1285"/>
      <c r="B145" s="1285"/>
      <c r="C145" s="1285"/>
      <c r="D145" s="1285"/>
      <c r="E145" s="1285"/>
      <c r="F145" s="1285"/>
      <c r="G145" s="1285"/>
      <c r="H145" s="1285"/>
      <c r="I145" s="1285"/>
      <c r="J145" s="1285"/>
      <c r="K145" s="1285"/>
      <c r="L145" s="1285"/>
      <c r="M145" s="1285"/>
      <c r="N145" s="1285"/>
      <c r="O145" s="1285"/>
      <c r="P145" s="1285"/>
      <c r="Q145" s="1285"/>
      <c r="R145" s="1285"/>
      <c r="S145" s="1285"/>
      <c r="T145" s="1285"/>
      <c r="U145" s="1285"/>
    </row>
    <row r="146" spans="1:21" ht="15" customHeight="1">
      <c r="A146" s="1286"/>
      <c r="C146" s="1286"/>
      <c r="D146" s="1286"/>
      <c r="E146" s="1286"/>
      <c r="F146" s="1286"/>
      <c r="G146" s="1286"/>
      <c r="H146" s="1286"/>
      <c r="I146" s="1287"/>
      <c r="J146" s="1287"/>
      <c r="K146" s="1287"/>
      <c r="L146" s="1287"/>
      <c r="M146" s="1288"/>
      <c r="N146" s="1288"/>
      <c r="O146" s="1287"/>
      <c r="P146" s="1287"/>
      <c r="Q146" s="1287"/>
      <c r="R146" s="1287"/>
      <c r="S146" s="1288"/>
      <c r="T146" s="1288"/>
      <c r="U146" s="1288"/>
    </row>
    <row r="147" spans="1:21" ht="15" customHeight="1">
      <c r="A147" s="1286"/>
      <c r="C147" s="984"/>
      <c r="D147" s="984"/>
      <c r="E147" s="984"/>
      <c r="F147" s="984"/>
      <c r="G147" s="984"/>
      <c r="H147" s="1286"/>
      <c r="I147" s="515"/>
      <c r="J147" s="515"/>
      <c r="K147" s="515"/>
      <c r="L147" s="515"/>
      <c r="M147" s="1288"/>
      <c r="N147" s="1288"/>
      <c r="O147" s="515"/>
      <c r="P147" s="515"/>
      <c r="Q147" s="515"/>
      <c r="R147" s="515"/>
      <c r="S147" s="1288"/>
      <c r="T147" s="1288"/>
      <c r="U147" s="1288"/>
    </row>
    <row r="148" spans="1:21" ht="15" customHeight="1">
      <c r="A148" s="1040"/>
      <c r="B148" s="1041"/>
      <c r="C148" s="1042"/>
      <c r="D148" s="1042"/>
      <c r="E148" s="1042"/>
      <c r="F148" s="1043"/>
      <c r="G148" s="1043"/>
      <c r="H148" s="984"/>
      <c r="I148" s="515"/>
      <c r="J148" s="515"/>
      <c r="K148" s="515"/>
      <c r="L148" s="515"/>
      <c r="M148" s="1044"/>
      <c r="N148" s="277"/>
      <c r="O148" s="1045"/>
      <c r="P148" s="1045"/>
      <c r="Q148" s="1045"/>
      <c r="R148" s="1045"/>
      <c r="S148" s="1013"/>
      <c r="T148" s="277"/>
      <c r="U148" s="417"/>
    </row>
    <row r="149" spans="1:21" ht="15" customHeight="1">
      <c r="A149" s="1046"/>
      <c r="B149" s="1041"/>
      <c r="C149" s="1042"/>
      <c r="D149" s="1042"/>
      <c r="E149" s="1042"/>
      <c r="F149" s="1043"/>
      <c r="G149" s="1043"/>
      <c r="H149" s="984"/>
      <c r="I149" s="515"/>
      <c r="J149" s="515"/>
      <c r="K149" s="515"/>
      <c r="L149" s="515"/>
      <c r="M149" s="1044"/>
      <c r="N149" s="277"/>
      <c r="O149" s="1045"/>
      <c r="P149" s="1045"/>
      <c r="Q149" s="1045"/>
      <c r="R149" s="1045"/>
      <c r="S149" s="1013"/>
      <c r="T149" s="277"/>
      <c r="U149" s="417"/>
    </row>
    <row r="150" spans="1:21" ht="15" customHeight="1">
      <c r="A150" s="1046"/>
      <c r="B150" s="1041"/>
      <c r="C150" s="1042"/>
      <c r="D150" s="1042"/>
      <c r="E150" s="1042"/>
      <c r="F150" s="1043"/>
      <c r="G150" s="1043"/>
      <c r="H150" s="984"/>
      <c r="I150" s="515"/>
      <c r="J150" s="515"/>
      <c r="K150" s="515"/>
      <c r="L150" s="515"/>
      <c r="M150" s="1044"/>
      <c r="N150" s="277"/>
      <c r="O150" s="1045"/>
      <c r="P150" s="1045"/>
      <c r="Q150" s="1045"/>
      <c r="R150" s="1045"/>
      <c r="S150" s="1013"/>
      <c r="T150" s="277"/>
      <c r="U150" s="417"/>
    </row>
    <row r="151" spans="1:21" ht="15" customHeight="1">
      <c r="A151" s="1046"/>
      <c r="B151" s="1041"/>
      <c r="C151" s="1042"/>
      <c r="D151" s="1042"/>
      <c r="E151" s="1042"/>
      <c r="F151" s="1043"/>
      <c r="G151" s="1043"/>
      <c r="H151" s="984"/>
      <c r="I151" s="515"/>
      <c r="J151" s="515"/>
      <c r="K151" s="515"/>
      <c r="L151" s="515"/>
      <c r="M151" s="1044"/>
      <c r="N151" s="277"/>
      <c r="O151" s="1045"/>
      <c r="P151" s="1045"/>
      <c r="Q151" s="1045"/>
      <c r="R151" s="1045"/>
      <c r="S151" s="1013"/>
      <c r="T151" s="277"/>
      <c r="U151" s="417"/>
    </row>
    <row r="152" spans="1:21" ht="15" customHeight="1">
      <c r="A152" s="1046"/>
      <c r="B152" s="1041"/>
      <c r="C152" s="1042"/>
      <c r="D152" s="1042"/>
      <c r="E152" s="1042"/>
      <c r="F152" s="1043"/>
      <c r="G152" s="1043"/>
      <c r="H152" s="984"/>
      <c r="I152" s="515"/>
      <c r="J152" s="515"/>
      <c r="K152" s="515"/>
      <c r="L152" s="515"/>
      <c r="M152" s="1044"/>
      <c r="N152" s="277"/>
      <c r="O152" s="1045"/>
      <c r="P152" s="1045"/>
      <c r="Q152" s="1045"/>
      <c r="R152" s="1045"/>
      <c r="S152" s="1013"/>
      <c r="T152" s="277"/>
      <c r="U152" s="417"/>
    </row>
    <row r="153" spans="1:21" ht="15" customHeight="1">
      <c r="A153" s="1046"/>
      <c r="B153" s="1041"/>
      <c r="C153" s="1042"/>
      <c r="D153" s="1042"/>
      <c r="E153" s="1042"/>
      <c r="F153" s="1043"/>
      <c r="G153" s="1043"/>
      <c r="H153" s="984"/>
      <c r="I153" s="515"/>
      <c r="J153" s="515"/>
      <c r="K153" s="515"/>
      <c r="L153" s="515"/>
      <c r="M153" s="1044"/>
      <c r="N153" s="277"/>
      <c r="O153" s="1045"/>
      <c r="P153" s="1045"/>
      <c r="Q153" s="1045"/>
      <c r="R153" s="1045"/>
      <c r="S153" s="1013"/>
      <c r="T153" s="277"/>
      <c r="U153" s="417"/>
    </row>
    <row r="154" spans="1:21" ht="15" customHeight="1">
      <c r="A154" s="1046"/>
      <c r="B154" s="1041"/>
      <c r="C154" s="1042"/>
      <c r="D154" s="1042"/>
      <c r="E154" s="1042"/>
      <c r="F154" s="1043"/>
      <c r="G154" s="1043"/>
      <c r="H154" s="984"/>
      <c r="I154" s="515"/>
      <c r="J154" s="515"/>
      <c r="K154" s="515"/>
      <c r="L154" s="515"/>
      <c r="M154" s="1044"/>
      <c r="N154" s="277"/>
      <c r="O154" s="1045"/>
      <c r="P154" s="1045"/>
      <c r="Q154" s="1045"/>
      <c r="R154" s="1045"/>
      <c r="S154" s="1013"/>
      <c r="T154" s="277"/>
      <c r="U154" s="417"/>
    </row>
    <row r="155" spans="1:21" ht="15" customHeight="1">
      <c r="A155" s="1046"/>
      <c r="B155" s="1041"/>
      <c r="C155" s="1042"/>
      <c r="D155" s="1042"/>
      <c r="E155" s="1042"/>
      <c r="F155" s="1043"/>
      <c r="G155" s="1043"/>
      <c r="H155" s="984"/>
      <c r="I155" s="515"/>
      <c r="J155" s="515"/>
      <c r="K155" s="515"/>
      <c r="L155" s="515"/>
      <c r="M155" s="1044"/>
      <c r="N155" s="277"/>
      <c r="O155" s="1045"/>
      <c r="P155" s="1045"/>
      <c r="Q155" s="1045"/>
      <c r="R155" s="1045"/>
      <c r="S155" s="1013"/>
      <c r="T155" s="277"/>
      <c r="U155" s="417"/>
    </row>
    <row r="156" spans="1:21" ht="15" customHeight="1">
      <c r="A156" s="1046"/>
      <c r="B156" s="1041"/>
      <c r="C156" s="1042"/>
      <c r="D156" s="1042"/>
      <c r="E156" s="1042"/>
      <c r="F156" s="1043"/>
      <c r="G156" s="1043"/>
      <c r="H156" s="984"/>
      <c r="I156" s="515"/>
      <c r="J156" s="515"/>
      <c r="K156" s="515"/>
      <c r="L156" s="515"/>
      <c r="M156" s="1044"/>
      <c r="N156" s="277"/>
      <c r="O156" s="1045"/>
      <c r="P156" s="1045"/>
      <c r="Q156" s="1045"/>
      <c r="R156" s="1045"/>
      <c r="S156" s="1013"/>
      <c r="T156" s="277"/>
      <c r="U156" s="417"/>
    </row>
    <row r="157" spans="1:21" ht="15" customHeight="1">
      <c r="A157" s="1046"/>
      <c r="B157" s="1041"/>
      <c r="C157" s="1042"/>
      <c r="D157" s="1042"/>
      <c r="E157" s="1042"/>
      <c r="F157" s="1043"/>
      <c r="G157" s="1043"/>
      <c r="H157" s="984"/>
      <c r="I157" s="515"/>
      <c r="J157" s="515"/>
      <c r="K157" s="515"/>
      <c r="L157" s="515"/>
      <c r="M157" s="1044"/>
      <c r="N157" s="277"/>
      <c r="O157" s="1045"/>
      <c r="P157" s="1045"/>
      <c r="Q157" s="1045"/>
      <c r="R157" s="1045"/>
      <c r="S157" s="1013"/>
      <c r="T157" s="277"/>
      <c r="U157" s="417"/>
    </row>
    <row r="158" spans="1:21" ht="15" customHeight="1">
      <c r="A158" s="250"/>
      <c r="B158" s="250"/>
      <c r="C158" s="251"/>
      <c r="D158" s="251"/>
      <c r="E158" s="251"/>
      <c r="F158" s="252"/>
      <c r="G158" s="252"/>
      <c r="H158" s="1047"/>
      <c r="I158" s="257"/>
      <c r="J158" s="257"/>
      <c r="K158" s="257"/>
      <c r="L158" s="257"/>
      <c r="M158" s="258"/>
      <c r="N158" s="259"/>
      <c r="O158" s="255"/>
      <c r="P158" s="255"/>
      <c r="Q158" s="255"/>
      <c r="R158" s="255"/>
      <c r="S158" s="191"/>
      <c r="T158" s="259"/>
      <c r="U158" s="260"/>
    </row>
    <row r="159" spans="1:21" ht="15" customHeight="1">
      <c r="A159" s="261"/>
      <c r="B159" s="250"/>
      <c r="C159" s="251"/>
      <c r="D159" s="251"/>
      <c r="E159" s="251"/>
      <c r="F159" s="252"/>
      <c r="G159" s="252"/>
      <c r="H159" s="1047"/>
      <c r="I159" s="257"/>
      <c r="J159" s="257"/>
      <c r="K159" s="257"/>
      <c r="L159" s="257"/>
      <c r="M159" s="258"/>
      <c r="N159" s="259"/>
      <c r="O159" s="255"/>
      <c r="P159" s="255"/>
      <c r="Q159" s="255"/>
      <c r="R159" s="255"/>
      <c r="S159" s="191"/>
      <c r="T159" s="259"/>
      <c r="U159" s="260"/>
    </row>
    <row r="160" spans="1:21" ht="15" customHeight="1">
      <c r="B160" s="1041"/>
      <c r="C160" s="1048"/>
      <c r="D160" s="1048"/>
      <c r="E160" s="1048"/>
      <c r="F160" s="417"/>
      <c r="G160" s="417"/>
      <c r="H160" s="984"/>
      <c r="I160" s="515"/>
      <c r="J160" s="515"/>
      <c r="K160" s="379"/>
      <c r="L160" s="1044"/>
      <c r="M160" s="1044"/>
      <c r="N160" s="277"/>
      <c r="O160" s="1049"/>
      <c r="P160" s="1049"/>
      <c r="Q160" s="515"/>
      <c r="R160" s="1049"/>
      <c r="S160" s="1044"/>
      <c r="T160" s="277"/>
      <c r="U160" s="277"/>
    </row>
    <row r="161" spans="1:21" ht="15" customHeight="1">
      <c r="A161" s="1050"/>
      <c r="B161" s="1280"/>
      <c r="C161" s="1048"/>
      <c r="D161" s="1048"/>
      <c r="E161" s="1048"/>
      <c r="F161" s="417"/>
      <c r="G161" s="417"/>
      <c r="H161" s="984"/>
      <c r="I161" s="516"/>
      <c r="J161" s="516"/>
      <c r="K161" s="516"/>
      <c r="L161" s="516"/>
      <c r="M161" s="515"/>
      <c r="N161" s="1051"/>
      <c r="O161" s="1049"/>
      <c r="P161" s="1049"/>
      <c r="Q161" s="1049"/>
      <c r="R161" s="1049"/>
      <c r="S161" s="1044"/>
      <c r="T161" s="277"/>
      <c r="U161" s="277"/>
    </row>
    <row r="162" spans="1:21" ht="15.75" customHeight="1">
      <c r="B162" s="1280"/>
      <c r="D162" s="1048"/>
      <c r="E162" s="1048"/>
      <c r="F162" s="1048"/>
      <c r="G162" s="417"/>
      <c r="H162" s="515"/>
      <c r="I162" s="515"/>
      <c r="J162" s="515"/>
      <c r="K162" s="515"/>
      <c r="L162" s="515"/>
      <c r="M162" s="1044"/>
      <c r="N162" s="265"/>
      <c r="O162" s="1044"/>
      <c r="P162" s="1044"/>
      <c r="Q162" s="1044"/>
      <c r="R162" s="1044"/>
      <c r="S162" s="1044"/>
      <c r="T162" s="417"/>
      <c r="U162" s="417"/>
    </row>
    <row r="163" spans="1:21" ht="21" customHeight="1">
      <c r="A163" s="1285"/>
      <c r="B163" s="1285"/>
      <c r="C163" s="1285"/>
      <c r="D163" s="1285"/>
      <c r="E163" s="1285"/>
      <c r="F163" s="1285"/>
      <c r="G163" s="1285"/>
      <c r="H163" s="1285"/>
      <c r="I163" s="1285"/>
      <c r="J163" s="1285"/>
      <c r="K163" s="1285"/>
      <c r="L163" s="1285"/>
      <c r="M163" s="1285"/>
      <c r="N163" s="1285"/>
      <c r="O163" s="1285"/>
      <c r="P163" s="1285"/>
      <c r="Q163" s="1285"/>
      <c r="R163" s="1285"/>
      <c r="S163" s="1285"/>
      <c r="T163" s="1285"/>
      <c r="U163" s="1285"/>
    </row>
    <row r="164" spans="1:21" ht="15" customHeight="1">
      <c r="A164" s="1286"/>
      <c r="C164" s="1286"/>
      <c r="D164" s="1286"/>
      <c r="E164" s="1286"/>
      <c r="F164" s="1286"/>
      <c r="G164" s="1286"/>
      <c r="H164" s="1286"/>
      <c r="I164" s="1287"/>
      <c r="J164" s="1287"/>
      <c r="K164" s="1287"/>
      <c r="L164" s="1287"/>
      <c r="M164" s="1288"/>
      <c r="N164" s="1288"/>
      <c r="O164" s="1287"/>
      <c r="P164" s="1287"/>
      <c r="Q164" s="1287"/>
      <c r="R164" s="1287"/>
      <c r="S164" s="1288"/>
      <c r="T164" s="1288"/>
      <c r="U164" s="1288"/>
    </row>
    <row r="165" spans="1:21" ht="15" customHeight="1">
      <c r="A165" s="1286"/>
      <c r="C165" s="984"/>
      <c r="D165" s="984"/>
      <c r="E165" s="984"/>
      <c r="F165" s="984"/>
      <c r="G165" s="984"/>
      <c r="H165" s="1286"/>
      <c r="I165" s="515"/>
      <c r="J165" s="515"/>
      <c r="K165" s="515"/>
      <c r="L165" s="515"/>
      <c r="M165" s="1288"/>
      <c r="N165" s="1288"/>
      <c r="O165" s="515"/>
      <c r="P165" s="515"/>
      <c r="Q165" s="515"/>
      <c r="R165" s="515"/>
      <c r="S165" s="1288"/>
      <c r="T165" s="1288"/>
      <c r="U165" s="1288"/>
    </row>
    <row r="166" spans="1:21" ht="15" customHeight="1">
      <c r="A166" s="1040"/>
      <c r="B166" s="1041"/>
      <c r="C166" s="1042"/>
      <c r="D166" s="1042"/>
      <c r="E166" s="1042"/>
      <c r="F166" s="1043"/>
      <c r="G166" s="1043"/>
      <c r="H166" s="984"/>
      <c r="I166" s="515"/>
      <c r="J166" s="515"/>
      <c r="K166" s="515"/>
      <c r="L166" s="515"/>
      <c r="M166" s="1044"/>
      <c r="N166" s="277"/>
      <c r="O166" s="1045"/>
      <c r="P166" s="1045"/>
      <c r="Q166" s="1045"/>
      <c r="R166" s="1045"/>
      <c r="S166" s="1013"/>
      <c r="T166" s="277"/>
      <c r="U166" s="417"/>
    </row>
    <row r="167" spans="1:21" ht="15" customHeight="1">
      <c r="A167" s="1046"/>
      <c r="B167" s="1041"/>
      <c r="C167" s="1042"/>
      <c r="D167" s="1042"/>
      <c r="E167" s="1042"/>
      <c r="F167" s="1043"/>
      <c r="G167" s="1043"/>
      <c r="H167" s="984"/>
      <c r="I167" s="515"/>
      <c r="J167" s="515"/>
      <c r="K167" s="515"/>
      <c r="L167" s="515"/>
      <c r="M167" s="1044"/>
      <c r="N167" s="277"/>
      <c r="O167" s="1045"/>
      <c r="P167" s="1045"/>
      <c r="Q167" s="1045"/>
      <c r="R167" s="1045"/>
      <c r="S167" s="1013"/>
      <c r="T167" s="277"/>
      <c r="U167" s="417"/>
    </row>
    <row r="168" spans="1:21" ht="15" customHeight="1">
      <c r="A168" s="1046"/>
      <c r="B168" s="1041"/>
      <c r="C168" s="1042"/>
      <c r="D168" s="1042"/>
      <c r="E168" s="1042"/>
      <c r="F168" s="1043"/>
      <c r="G168" s="1043"/>
      <c r="H168" s="984"/>
      <c r="I168" s="515"/>
      <c r="J168" s="515"/>
      <c r="K168" s="515"/>
      <c r="L168" s="515"/>
      <c r="M168" s="1044"/>
      <c r="N168" s="277"/>
      <c r="O168" s="1045"/>
      <c r="P168" s="1045"/>
      <c r="Q168" s="1045"/>
      <c r="R168" s="1045"/>
      <c r="S168" s="1013"/>
      <c r="T168" s="277"/>
      <c r="U168" s="417"/>
    </row>
    <row r="169" spans="1:21" ht="15" customHeight="1">
      <c r="A169" s="1046"/>
      <c r="B169" s="1041"/>
      <c r="C169" s="1042"/>
      <c r="D169" s="1042"/>
      <c r="E169" s="1042"/>
      <c r="F169" s="1043"/>
      <c r="G169" s="1043"/>
      <c r="H169" s="984"/>
      <c r="I169" s="515"/>
      <c r="J169" s="515"/>
      <c r="K169" s="515"/>
      <c r="L169" s="515"/>
      <c r="M169" s="1044"/>
      <c r="N169" s="277"/>
      <c r="O169" s="1045"/>
      <c r="P169" s="1045"/>
      <c r="Q169" s="1045"/>
      <c r="R169" s="1045"/>
      <c r="S169" s="1013"/>
      <c r="T169" s="277"/>
      <c r="U169" s="417"/>
    </row>
    <row r="170" spans="1:21" ht="15" customHeight="1">
      <c r="A170" s="1046"/>
      <c r="B170" s="1041"/>
      <c r="C170" s="1042"/>
      <c r="D170" s="1042"/>
      <c r="E170" s="1042"/>
      <c r="F170" s="1043"/>
      <c r="G170" s="1043"/>
      <c r="H170" s="984"/>
      <c r="I170" s="515"/>
      <c r="J170" s="515"/>
      <c r="K170" s="515"/>
      <c r="L170" s="515"/>
      <c r="M170" s="1044"/>
      <c r="N170" s="277"/>
      <c r="O170" s="1045"/>
      <c r="P170" s="1045"/>
      <c r="Q170" s="1045"/>
      <c r="R170" s="1045"/>
      <c r="S170" s="1013"/>
      <c r="T170" s="277"/>
      <c r="U170" s="417"/>
    </row>
    <row r="171" spans="1:21" ht="15" customHeight="1">
      <c r="A171" s="1046"/>
      <c r="B171" s="1041"/>
      <c r="C171" s="1042"/>
      <c r="D171" s="1042"/>
      <c r="E171" s="1042"/>
      <c r="F171" s="1043"/>
      <c r="G171" s="1043"/>
      <c r="H171" s="984"/>
      <c r="I171" s="515"/>
      <c r="J171" s="515"/>
      <c r="K171" s="515"/>
      <c r="L171" s="515"/>
      <c r="M171" s="1044"/>
      <c r="N171" s="277"/>
      <c r="O171" s="1045"/>
      <c r="P171" s="1045"/>
      <c r="Q171" s="1045"/>
      <c r="R171" s="1045"/>
      <c r="S171" s="1013"/>
      <c r="T171" s="277"/>
      <c r="U171" s="417"/>
    </row>
    <row r="172" spans="1:21" ht="15" customHeight="1">
      <c r="A172" s="1046"/>
      <c r="B172" s="1041"/>
      <c r="C172" s="1042"/>
      <c r="D172" s="1042"/>
      <c r="E172" s="1042"/>
      <c r="F172" s="1043"/>
      <c r="G172" s="1043"/>
      <c r="H172" s="984"/>
      <c r="I172" s="515"/>
      <c r="J172" s="515"/>
      <c r="K172" s="515"/>
      <c r="L172" s="515"/>
      <c r="M172" s="1044"/>
      <c r="N172" s="277"/>
      <c r="O172" s="1045"/>
      <c r="P172" s="1045"/>
      <c r="Q172" s="1045"/>
      <c r="R172" s="1045"/>
      <c r="S172" s="1013"/>
      <c r="T172" s="277"/>
      <c r="U172" s="417"/>
    </row>
    <row r="173" spans="1:21" ht="15" customHeight="1">
      <c r="A173" s="1046"/>
      <c r="B173" s="1041"/>
      <c r="C173" s="1042"/>
      <c r="D173" s="1042"/>
      <c r="E173" s="1042"/>
      <c r="F173" s="1043"/>
      <c r="G173" s="1043"/>
      <c r="H173" s="984"/>
      <c r="I173" s="515"/>
      <c r="J173" s="515"/>
      <c r="K173" s="515"/>
      <c r="L173" s="515"/>
      <c r="M173" s="1044"/>
      <c r="N173" s="277"/>
      <c r="O173" s="1045"/>
      <c r="P173" s="1045"/>
      <c r="Q173" s="1045"/>
      <c r="R173" s="1045"/>
      <c r="S173" s="1013"/>
      <c r="T173" s="277"/>
      <c r="U173" s="417"/>
    </row>
    <row r="174" spans="1:21" ht="15" customHeight="1">
      <c r="A174" s="1046"/>
      <c r="B174" s="1041"/>
      <c r="C174" s="1042"/>
      <c r="D174" s="1042"/>
      <c r="E174" s="1042"/>
      <c r="F174" s="1043"/>
      <c r="G174" s="1043"/>
      <c r="H174" s="984"/>
      <c r="I174" s="515"/>
      <c r="J174" s="515"/>
      <c r="K174" s="515"/>
      <c r="L174" s="515"/>
      <c r="M174" s="1044"/>
      <c r="N174" s="277"/>
      <c r="O174" s="1045"/>
      <c r="P174" s="1045"/>
      <c r="Q174" s="1045"/>
      <c r="R174" s="1045"/>
      <c r="S174" s="1013"/>
      <c r="T174" s="277"/>
      <c r="U174" s="417"/>
    </row>
    <row r="175" spans="1:21" ht="15" customHeight="1">
      <c r="A175" s="1046"/>
      <c r="B175" s="1041"/>
      <c r="C175" s="1042"/>
      <c r="D175" s="1042"/>
      <c r="E175" s="1042"/>
      <c r="F175" s="1043"/>
      <c r="G175" s="1043"/>
      <c r="H175" s="984"/>
      <c r="I175" s="515"/>
      <c r="J175" s="515"/>
      <c r="K175" s="515"/>
      <c r="L175" s="515"/>
      <c r="M175" s="1044"/>
      <c r="N175" s="277"/>
      <c r="O175" s="1045"/>
      <c r="P175" s="1045"/>
      <c r="Q175" s="1045"/>
      <c r="R175" s="1045"/>
      <c r="S175" s="1013"/>
      <c r="T175" s="277"/>
      <c r="U175" s="417"/>
    </row>
    <row r="176" spans="1:21" ht="15" customHeight="1">
      <c r="A176" s="250"/>
      <c r="B176" s="250"/>
      <c r="C176" s="251"/>
      <c r="D176" s="251"/>
      <c r="E176" s="251"/>
      <c r="F176" s="252"/>
      <c r="G176" s="252"/>
      <c r="H176" s="1047"/>
      <c r="I176" s="257"/>
      <c r="J176" s="257"/>
      <c r="K176" s="257"/>
      <c r="L176" s="257"/>
      <c r="M176" s="258"/>
      <c r="N176" s="259"/>
      <c r="O176" s="255"/>
      <c r="P176" s="255"/>
      <c r="Q176" s="255"/>
      <c r="R176" s="255"/>
      <c r="S176" s="191"/>
      <c r="T176" s="259"/>
      <c r="U176" s="260"/>
    </row>
    <row r="177" spans="1:21" ht="15" customHeight="1">
      <c r="A177" s="261"/>
      <c r="B177" s="250"/>
      <c r="C177" s="251"/>
      <c r="D177" s="251"/>
      <c r="E177" s="251"/>
      <c r="F177" s="252"/>
      <c r="G177" s="252"/>
      <c r="H177" s="1047"/>
      <c r="I177" s="257"/>
      <c r="J177" s="257"/>
      <c r="K177" s="257"/>
      <c r="L177" s="257"/>
      <c r="M177" s="258"/>
      <c r="N177" s="259"/>
      <c r="O177" s="255"/>
      <c r="P177" s="255"/>
      <c r="Q177" s="255"/>
      <c r="R177" s="255"/>
      <c r="S177" s="191"/>
      <c r="T177" s="259"/>
      <c r="U177" s="260"/>
    </row>
    <row r="178" spans="1:21" ht="15" customHeight="1">
      <c r="B178" s="1041"/>
      <c r="C178" s="1048"/>
      <c r="D178" s="1048"/>
      <c r="E178" s="1048"/>
      <c r="F178" s="417"/>
      <c r="G178" s="417"/>
      <c r="H178" s="984"/>
      <c r="I178" s="515"/>
      <c r="J178" s="515"/>
      <c r="K178" s="379"/>
      <c r="L178" s="1044"/>
      <c r="M178" s="1044"/>
      <c r="N178" s="277"/>
      <c r="O178" s="1049"/>
      <c r="P178" s="1049"/>
      <c r="Q178" s="515"/>
      <c r="R178" s="1049"/>
      <c r="S178" s="1044"/>
      <c r="T178" s="277"/>
      <c r="U178" s="277"/>
    </row>
    <row r="179" spans="1:21" ht="15" customHeight="1">
      <c r="A179" s="1050"/>
      <c r="B179" s="1280"/>
      <c r="C179" s="1048"/>
      <c r="D179" s="1048"/>
      <c r="E179" s="1048"/>
      <c r="F179" s="417"/>
      <c r="G179" s="417"/>
      <c r="H179" s="984"/>
      <c r="I179" s="516"/>
      <c r="J179" s="516"/>
      <c r="K179" s="516"/>
      <c r="L179" s="516"/>
      <c r="M179" s="515"/>
      <c r="N179" s="1051"/>
      <c r="O179" s="1049"/>
      <c r="P179" s="1049"/>
      <c r="Q179" s="1049"/>
      <c r="R179" s="1049"/>
      <c r="S179" s="1044"/>
      <c r="T179" s="277"/>
      <c r="U179" s="277"/>
    </row>
    <row r="180" spans="1:21" ht="15.75" customHeight="1">
      <c r="B180" s="1280"/>
      <c r="D180" s="1048"/>
      <c r="E180" s="1048"/>
      <c r="F180" s="1048"/>
      <c r="G180" s="417"/>
      <c r="H180" s="515"/>
      <c r="I180" s="515"/>
      <c r="J180" s="515"/>
      <c r="K180" s="515"/>
      <c r="L180" s="515"/>
      <c r="M180" s="1044"/>
      <c r="N180" s="265"/>
      <c r="O180" s="1044"/>
      <c r="P180" s="1044"/>
      <c r="Q180" s="1044"/>
      <c r="R180" s="1044"/>
      <c r="S180" s="1044"/>
      <c r="T180" s="417"/>
      <c r="U180" s="417"/>
    </row>
    <row r="181" spans="1:21" ht="21" customHeight="1">
      <c r="A181" s="1285"/>
      <c r="B181" s="1285"/>
      <c r="C181" s="1285"/>
      <c r="D181" s="1285"/>
      <c r="E181" s="1285"/>
      <c r="F181" s="1285"/>
      <c r="G181" s="1285"/>
      <c r="H181" s="1285"/>
      <c r="I181" s="1285"/>
      <c r="J181" s="1285"/>
      <c r="K181" s="1285"/>
      <c r="L181" s="1285"/>
      <c r="M181" s="1285"/>
      <c r="N181" s="1285"/>
      <c r="O181" s="1285"/>
      <c r="P181" s="1285"/>
      <c r="Q181" s="1285"/>
      <c r="R181" s="1285"/>
      <c r="S181" s="1285"/>
      <c r="T181" s="1285"/>
      <c r="U181" s="1285"/>
    </row>
    <row r="182" spans="1:21" ht="15" customHeight="1">
      <c r="A182" s="1286"/>
      <c r="C182" s="1286"/>
      <c r="D182" s="1286"/>
      <c r="E182" s="1286"/>
      <c r="F182" s="1286"/>
      <c r="G182" s="1286"/>
      <c r="H182" s="1286"/>
      <c r="I182" s="1287"/>
      <c r="J182" s="1287"/>
      <c r="K182" s="1287"/>
      <c r="L182" s="1287"/>
      <c r="M182" s="1288"/>
      <c r="N182" s="1288"/>
      <c r="O182" s="1287"/>
      <c r="P182" s="1287"/>
      <c r="Q182" s="1287"/>
      <c r="R182" s="1287"/>
      <c r="S182" s="1288"/>
      <c r="T182" s="1288"/>
      <c r="U182" s="1288"/>
    </row>
    <row r="183" spans="1:21" ht="15" customHeight="1">
      <c r="A183" s="1286"/>
      <c r="C183" s="984"/>
      <c r="D183" s="984"/>
      <c r="E183" s="984"/>
      <c r="F183" s="984"/>
      <c r="G183" s="984"/>
      <c r="H183" s="1286"/>
      <c r="I183" s="515"/>
      <c r="J183" s="515"/>
      <c r="K183" s="515"/>
      <c r="L183" s="515"/>
      <c r="M183" s="1288"/>
      <c r="N183" s="1288"/>
      <c r="O183" s="515"/>
      <c r="P183" s="515"/>
      <c r="Q183" s="515"/>
      <c r="R183" s="515"/>
      <c r="S183" s="1288"/>
      <c r="T183" s="1288"/>
      <c r="U183" s="1288"/>
    </row>
    <row r="184" spans="1:21" ht="15" customHeight="1">
      <c r="A184" s="1040"/>
      <c r="B184" s="1041"/>
      <c r="C184" s="1042"/>
      <c r="D184" s="1042"/>
      <c r="E184" s="1042"/>
      <c r="F184" s="1043"/>
      <c r="G184" s="1043"/>
      <c r="H184" s="984"/>
      <c r="I184" s="515"/>
      <c r="J184" s="515"/>
      <c r="K184" s="515"/>
      <c r="L184" s="515"/>
      <c r="M184" s="1044"/>
      <c r="N184" s="277"/>
      <c r="O184" s="1045"/>
      <c r="P184" s="1045"/>
      <c r="Q184" s="1045"/>
      <c r="R184" s="1045"/>
      <c r="S184" s="1013"/>
      <c r="T184" s="277"/>
      <c r="U184" s="417"/>
    </row>
    <row r="185" spans="1:21" ht="15" customHeight="1">
      <c r="A185" s="1046"/>
      <c r="B185" s="1041"/>
      <c r="C185" s="1042"/>
      <c r="D185" s="1042"/>
      <c r="E185" s="1042"/>
      <c r="F185" s="1043"/>
      <c r="G185" s="1043"/>
      <c r="H185" s="984"/>
      <c r="I185" s="515"/>
      <c r="J185" s="515"/>
      <c r="K185" s="515"/>
      <c r="L185" s="515"/>
      <c r="M185" s="1044"/>
      <c r="N185" s="277"/>
      <c r="O185" s="1045"/>
      <c r="P185" s="1045"/>
      <c r="Q185" s="1045"/>
      <c r="R185" s="1045"/>
      <c r="S185" s="1013"/>
      <c r="T185" s="277"/>
      <c r="U185" s="417"/>
    </row>
    <row r="186" spans="1:21" ht="15" customHeight="1">
      <c r="A186" s="1046"/>
      <c r="B186" s="1041"/>
      <c r="C186" s="1042"/>
      <c r="D186" s="1042"/>
      <c r="E186" s="1042"/>
      <c r="F186" s="1043"/>
      <c r="G186" s="1043"/>
      <c r="H186" s="984"/>
      <c r="I186" s="515"/>
      <c r="J186" s="515"/>
      <c r="K186" s="515"/>
      <c r="L186" s="515"/>
      <c r="M186" s="1044"/>
      <c r="N186" s="277"/>
      <c r="O186" s="1045"/>
      <c r="P186" s="1045"/>
      <c r="Q186" s="1045"/>
      <c r="R186" s="1045"/>
      <c r="S186" s="1013"/>
      <c r="T186" s="277"/>
      <c r="U186" s="417"/>
    </row>
    <row r="187" spans="1:21" ht="15" customHeight="1">
      <c r="A187" s="1046"/>
      <c r="B187" s="1041"/>
      <c r="C187" s="1042"/>
      <c r="D187" s="1042"/>
      <c r="E187" s="1042"/>
      <c r="F187" s="1043"/>
      <c r="G187" s="1043"/>
      <c r="H187" s="984"/>
      <c r="I187" s="515"/>
      <c r="J187" s="515"/>
      <c r="K187" s="515"/>
      <c r="L187" s="515"/>
      <c r="M187" s="1044"/>
      <c r="N187" s="277"/>
      <c r="O187" s="1045"/>
      <c r="P187" s="1045"/>
      <c r="Q187" s="1045"/>
      <c r="R187" s="1045"/>
      <c r="S187" s="1013"/>
      <c r="T187" s="277"/>
      <c r="U187" s="417"/>
    </row>
    <row r="188" spans="1:21" ht="15" customHeight="1">
      <c r="A188" s="1046"/>
      <c r="B188" s="1041"/>
      <c r="C188" s="1042"/>
      <c r="D188" s="1042"/>
      <c r="E188" s="1042"/>
      <c r="F188" s="1043"/>
      <c r="G188" s="1043"/>
      <c r="H188" s="984"/>
      <c r="I188" s="515"/>
      <c r="J188" s="515"/>
      <c r="K188" s="515"/>
      <c r="L188" s="515"/>
      <c r="M188" s="1044"/>
      <c r="N188" s="277"/>
      <c r="O188" s="1045"/>
      <c r="P188" s="1045"/>
      <c r="Q188" s="1045"/>
      <c r="R188" s="1045"/>
      <c r="S188" s="1013"/>
      <c r="T188" s="277"/>
      <c r="U188" s="417"/>
    </row>
    <row r="189" spans="1:21" ht="15" customHeight="1">
      <c r="A189" s="1046"/>
      <c r="B189" s="1041"/>
      <c r="C189" s="1042"/>
      <c r="D189" s="1042"/>
      <c r="E189" s="1042"/>
      <c r="F189" s="1043"/>
      <c r="G189" s="1043"/>
      <c r="H189" s="984"/>
      <c r="I189" s="515"/>
      <c r="J189" s="515"/>
      <c r="K189" s="515"/>
      <c r="L189" s="515"/>
      <c r="M189" s="1044"/>
      <c r="N189" s="277"/>
      <c r="O189" s="1045"/>
      <c r="P189" s="1045"/>
      <c r="Q189" s="1045"/>
      <c r="R189" s="1045"/>
      <c r="S189" s="1013"/>
      <c r="T189" s="277"/>
      <c r="U189" s="417"/>
    </row>
    <row r="190" spans="1:21" ht="15" customHeight="1">
      <c r="A190" s="1046"/>
      <c r="B190" s="1041"/>
      <c r="C190" s="1042"/>
      <c r="D190" s="1042"/>
      <c r="E190" s="1042"/>
      <c r="F190" s="1043"/>
      <c r="G190" s="1043"/>
      <c r="H190" s="984"/>
      <c r="I190" s="515"/>
      <c r="J190" s="515"/>
      <c r="K190" s="515"/>
      <c r="L190" s="515"/>
      <c r="M190" s="1044"/>
      <c r="N190" s="277"/>
      <c r="O190" s="1045"/>
      <c r="P190" s="1045"/>
      <c r="Q190" s="1045"/>
      <c r="R190" s="1045"/>
      <c r="S190" s="1013"/>
      <c r="T190" s="277"/>
      <c r="U190" s="417"/>
    </row>
    <row r="191" spans="1:21" ht="15" customHeight="1">
      <c r="A191" s="1046"/>
      <c r="B191" s="1041"/>
      <c r="C191" s="1042"/>
      <c r="D191" s="1042"/>
      <c r="E191" s="1042"/>
      <c r="F191" s="1043"/>
      <c r="G191" s="1043"/>
      <c r="H191" s="984"/>
      <c r="I191" s="515"/>
      <c r="J191" s="515"/>
      <c r="K191" s="515"/>
      <c r="L191" s="515"/>
      <c r="M191" s="1044"/>
      <c r="N191" s="277"/>
      <c r="O191" s="1045"/>
      <c r="P191" s="1045"/>
      <c r="Q191" s="1045"/>
      <c r="R191" s="1045"/>
      <c r="S191" s="1013"/>
      <c r="T191" s="277"/>
      <c r="U191" s="417"/>
    </row>
    <row r="192" spans="1:21" ht="15" customHeight="1">
      <c r="A192" s="1046"/>
      <c r="B192" s="1041"/>
      <c r="C192" s="1042"/>
      <c r="D192" s="1042"/>
      <c r="E192" s="1042"/>
      <c r="F192" s="1043"/>
      <c r="G192" s="1043"/>
      <c r="H192" s="984"/>
      <c r="I192" s="515"/>
      <c r="J192" s="515"/>
      <c r="K192" s="515"/>
      <c r="L192" s="515"/>
      <c r="M192" s="1044"/>
      <c r="N192" s="277"/>
      <c r="O192" s="1045"/>
      <c r="P192" s="1045"/>
      <c r="Q192" s="1045"/>
      <c r="R192" s="1045"/>
      <c r="S192" s="1013"/>
      <c r="T192" s="277"/>
      <c r="U192" s="417"/>
    </row>
    <row r="193" spans="1:21" ht="15" customHeight="1">
      <c r="A193" s="1046"/>
      <c r="B193" s="1041"/>
      <c r="C193" s="1042"/>
      <c r="D193" s="1042"/>
      <c r="E193" s="1042"/>
      <c r="F193" s="1043"/>
      <c r="G193" s="1043"/>
      <c r="H193" s="984"/>
      <c r="I193" s="515"/>
      <c r="J193" s="515"/>
      <c r="K193" s="515"/>
      <c r="L193" s="515"/>
      <c r="M193" s="1044"/>
      <c r="N193" s="277"/>
      <c r="O193" s="1045"/>
      <c r="P193" s="1045"/>
      <c r="Q193" s="1045"/>
      <c r="R193" s="1045"/>
      <c r="S193" s="1013"/>
      <c r="T193" s="277"/>
      <c r="U193" s="417"/>
    </row>
    <row r="194" spans="1:21" ht="15" customHeight="1">
      <c r="A194" s="250"/>
      <c r="B194" s="250"/>
      <c r="C194" s="251"/>
      <c r="D194" s="251"/>
      <c r="E194" s="251"/>
      <c r="F194" s="252"/>
      <c r="G194" s="252"/>
      <c r="H194" s="1047"/>
      <c r="I194" s="257"/>
      <c r="J194" s="257"/>
      <c r="K194" s="257"/>
      <c r="L194" s="257"/>
      <c r="M194" s="258"/>
      <c r="N194" s="259"/>
      <c r="O194" s="255"/>
      <c r="P194" s="255"/>
      <c r="Q194" s="255"/>
      <c r="R194" s="255"/>
      <c r="S194" s="191"/>
      <c r="T194" s="259"/>
      <c r="U194" s="260"/>
    </row>
    <row r="195" spans="1:21" ht="15" customHeight="1">
      <c r="A195" s="261"/>
      <c r="B195" s="250"/>
      <c r="C195" s="251"/>
      <c r="D195" s="251"/>
      <c r="E195" s="251"/>
      <c r="F195" s="252"/>
      <c r="G195" s="252"/>
      <c r="H195" s="1047"/>
      <c r="I195" s="257"/>
      <c r="J195" s="257"/>
      <c r="K195" s="257"/>
      <c r="L195" s="257"/>
      <c r="M195" s="258"/>
      <c r="N195" s="259"/>
      <c r="O195" s="255"/>
      <c r="P195" s="255"/>
      <c r="Q195" s="255"/>
      <c r="R195" s="255"/>
      <c r="S195" s="191"/>
      <c r="T195" s="259"/>
      <c r="U195" s="260"/>
    </row>
    <row r="196" spans="1:21" ht="15" customHeight="1">
      <c r="B196" s="1041"/>
      <c r="C196" s="1048"/>
      <c r="D196" s="1048"/>
      <c r="E196" s="1048"/>
      <c r="F196" s="417"/>
      <c r="G196" s="417"/>
      <c r="H196" s="984"/>
      <c r="I196" s="515"/>
      <c r="J196" s="515"/>
      <c r="K196" s="379"/>
      <c r="L196" s="1044"/>
      <c r="M196" s="1044"/>
      <c r="N196" s="277"/>
      <c r="O196" s="1049"/>
      <c r="P196" s="1049"/>
      <c r="Q196" s="515"/>
      <c r="R196" s="1049"/>
      <c r="S196" s="1044"/>
      <c r="T196" s="277"/>
      <c r="U196" s="277"/>
    </row>
    <row r="197" spans="1:21" ht="15" customHeight="1">
      <c r="A197" s="1050"/>
      <c r="B197" s="1280"/>
      <c r="C197" s="1048"/>
      <c r="D197" s="1048"/>
      <c r="E197" s="1048"/>
      <c r="F197" s="417"/>
      <c r="G197" s="417"/>
      <c r="H197" s="984"/>
      <c r="I197" s="516"/>
      <c r="J197" s="516"/>
      <c r="K197" s="516"/>
      <c r="L197" s="516"/>
      <c r="M197" s="515"/>
      <c r="N197" s="1051"/>
      <c r="O197" s="1049"/>
      <c r="P197" s="1049"/>
      <c r="Q197" s="1049"/>
      <c r="R197" s="1049"/>
      <c r="S197" s="1044"/>
      <c r="T197" s="277"/>
      <c r="U197" s="277"/>
    </row>
    <row r="198" spans="1:21" ht="15.75" customHeight="1">
      <c r="B198" s="1280"/>
      <c r="D198" s="1048"/>
      <c r="E198" s="1048"/>
      <c r="F198" s="1048"/>
      <c r="G198" s="417"/>
      <c r="H198" s="515"/>
      <c r="I198" s="515"/>
      <c r="J198" s="515"/>
      <c r="K198" s="515"/>
      <c r="L198" s="515"/>
      <c r="M198" s="1044"/>
      <c r="N198" s="265"/>
      <c r="O198" s="1044"/>
      <c r="P198" s="1044"/>
      <c r="Q198" s="1044"/>
      <c r="R198" s="1044"/>
      <c r="S198" s="1044"/>
      <c r="T198" s="417"/>
      <c r="U198" s="417"/>
    </row>
    <row r="199" spans="1:21" ht="21" customHeight="1">
      <c r="A199" s="1285"/>
      <c r="B199" s="1285"/>
      <c r="C199" s="1285"/>
      <c r="D199" s="1285"/>
      <c r="E199" s="1285"/>
      <c r="F199" s="1285"/>
      <c r="G199" s="1285"/>
      <c r="H199" s="1285"/>
      <c r="I199" s="1285"/>
      <c r="J199" s="1285"/>
      <c r="K199" s="1285"/>
      <c r="L199" s="1285"/>
      <c r="M199" s="1285"/>
      <c r="N199" s="1285"/>
      <c r="O199" s="1285"/>
      <c r="P199" s="1285"/>
      <c r="Q199" s="1285"/>
      <c r="R199" s="1285"/>
      <c r="S199" s="1285"/>
      <c r="T199" s="1285"/>
      <c r="U199" s="1285"/>
    </row>
    <row r="200" spans="1:21" ht="15" customHeight="1">
      <c r="A200" s="1286"/>
      <c r="C200" s="1286"/>
      <c r="D200" s="1286"/>
      <c r="E200" s="1286"/>
      <c r="F200" s="1286"/>
      <c r="G200" s="1286"/>
      <c r="H200" s="1286"/>
      <c r="I200" s="1287"/>
      <c r="J200" s="1287"/>
      <c r="K200" s="1287"/>
      <c r="L200" s="1287"/>
      <c r="M200" s="1288"/>
      <c r="N200" s="1288"/>
      <c r="O200" s="1287"/>
      <c r="P200" s="1287"/>
      <c r="Q200" s="1287"/>
      <c r="R200" s="1287"/>
      <c r="S200" s="1288"/>
      <c r="T200" s="1288"/>
      <c r="U200" s="1288"/>
    </row>
    <row r="201" spans="1:21" ht="15" customHeight="1">
      <c r="A201" s="1286"/>
      <c r="C201" s="984"/>
      <c r="D201" s="984"/>
      <c r="E201" s="984"/>
      <c r="F201" s="984"/>
      <c r="G201" s="984"/>
      <c r="H201" s="1286"/>
      <c r="I201" s="515"/>
      <c r="J201" s="515"/>
      <c r="K201" s="515"/>
      <c r="L201" s="515"/>
      <c r="M201" s="1288"/>
      <c r="N201" s="1288"/>
      <c r="O201" s="515"/>
      <c r="P201" s="515"/>
      <c r="Q201" s="515"/>
      <c r="R201" s="515"/>
      <c r="S201" s="1288"/>
      <c r="T201" s="1288"/>
      <c r="U201" s="1288"/>
    </row>
    <row r="202" spans="1:21" ht="15" customHeight="1">
      <c r="A202" s="1040"/>
      <c r="B202" s="1041"/>
      <c r="C202" s="1042"/>
      <c r="D202" s="1042"/>
      <c r="E202" s="1042"/>
      <c r="F202" s="1043"/>
      <c r="G202" s="1043"/>
      <c r="H202" s="984"/>
      <c r="I202" s="515"/>
      <c r="J202" s="515"/>
      <c r="K202" s="515"/>
      <c r="L202" s="515"/>
      <c r="M202" s="1044"/>
      <c r="N202" s="277"/>
      <c r="O202" s="1045"/>
      <c r="P202" s="1045"/>
      <c r="Q202" s="1045"/>
      <c r="R202" s="1045"/>
      <c r="S202" s="1013"/>
      <c r="T202" s="277"/>
      <c r="U202" s="417"/>
    </row>
    <row r="203" spans="1:21" ht="15" customHeight="1">
      <c r="A203" s="1046"/>
      <c r="B203" s="1041"/>
      <c r="C203" s="1042"/>
      <c r="D203" s="1042"/>
      <c r="E203" s="1042"/>
      <c r="F203" s="1043"/>
      <c r="G203" s="1043"/>
      <c r="H203" s="984"/>
      <c r="I203" s="515"/>
      <c r="J203" s="515"/>
      <c r="K203" s="515"/>
      <c r="L203" s="515"/>
      <c r="M203" s="1044"/>
      <c r="N203" s="277"/>
      <c r="O203" s="1045"/>
      <c r="P203" s="1045"/>
      <c r="Q203" s="1045"/>
      <c r="R203" s="1045"/>
      <c r="S203" s="1013"/>
      <c r="T203" s="277"/>
      <c r="U203" s="417"/>
    </row>
    <row r="204" spans="1:21" ht="15" customHeight="1">
      <c r="A204" s="1046"/>
      <c r="B204" s="1041"/>
      <c r="C204" s="1042"/>
      <c r="D204" s="1042"/>
      <c r="E204" s="1042"/>
      <c r="F204" s="1043"/>
      <c r="G204" s="1043"/>
      <c r="H204" s="984"/>
      <c r="I204" s="515"/>
      <c r="J204" s="515"/>
      <c r="K204" s="515"/>
      <c r="L204" s="515"/>
      <c r="M204" s="1044"/>
      <c r="N204" s="277"/>
      <c r="O204" s="1045"/>
      <c r="P204" s="1045"/>
      <c r="Q204" s="1045"/>
      <c r="R204" s="1045"/>
      <c r="S204" s="1013"/>
      <c r="T204" s="277"/>
      <c r="U204" s="417"/>
    </row>
    <row r="205" spans="1:21" ht="15" customHeight="1">
      <c r="A205" s="1046"/>
      <c r="B205" s="1041"/>
      <c r="C205" s="1042"/>
      <c r="D205" s="1042"/>
      <c r="E205" s="1042"/>
      <c r="F205" s="1043"/>
      <c r="G205" s="1043"/>
      <c r="H205" s="984"/>
      <c r="I205" s="515"/>
      <c r="J205" s="515"/>
      <c r="K205" s="515"/>
      <c r="L205" s="515"/>
      <c r="M205" s="1044"/>
      <c r="N205" s="277"/>
      <c r="O205" s="1045"/>
      <c r="P205" s="1045"/>
      <c r="Q205" s="1045"/>
      <c r="R205" s="1045"/>
      <c r="S205" s="1013"/>
      <c r="T205" s="277"/>
      <c r="U205" s="417"/>
    </row>
    <row r="206" spans="1:21" ht="15" customHeight="1">
      <c r="A206" s="1046"/>
      <c r="B206" s="1041"/>
      <c r="C206" s="1042"/>
      <c r="D206" s="1042"/>
      <c r="E206" s="1042"/>
      <c r="F206" s="1043"/>
      <c r="G206" s="1043"/>
      <c r="H206" s="984"/>
      <c r="I206" s="515"/>
      <c r="J206" s="515"/>
      <c r="K206" s="515"/>
      <c r="L206" s="515"/>
      <c r="M206" s="1044"/>
      <c r="N206" s="277"/>
      <c r="O206" s="1045"/>
      <c r="P206" s="1045"/>
      <c r="Q206" s="1045"/>
      <c r="R206" s="1045"/>
      <c r="S206" s="1013"/>
      <c r="T206" s="277"/>
      <c r="U206" s="417"/>
    </row>
    <row r="207" spans="1:21" ht="15" customHeight="1">
      <c r="A207" s="1046"/>
      <c r="B207" s="1041"/>
      <c r="C207" s="1042"/>
      <c r="D207" s="1042"/>
      <c r="E207" s="1042"/>
      <c r="F207" s="1043"/>
      <c r="G207" s="1043"/>
      <c r="H207" s="984"/>
      <c r="I207" s="515"/>
      <c r="J207" s="515"/>
      <c r="K207" s="515"/>
      <c r="L207" s="515"/>
      <c r="M207" s="1044"/>
      <c r="N207" s="277"/>
      <c r="O207" s="1045"/>
      <c r="P207" s="1045"/>
      <c r="Q207" s="1045"/>
      <c r="R207" s="1045"/>
      <c r="S207" s="1013"/>
      <c r="T207" s="277"/>
      <c r="U207" s="417"/>
    </row>
    <row r="208" spans="1:21" ht="15" customHeight="1">
      <c r="A208" s="1046"/>
      <c r="B208" s="1041"/>
      <c r="C208" s="1042"/>
      <c r="D208" s="1042"/>
      <c r="E208" s="1042"/>
      <c r="F208" s="1043"/>
      <c r="G208" s="1043"/>
      <c r="H208" s="984"/>
      <c r="I208" s="515"/>
      <c r="J208" s="515"/>
      <c r="K208" s="515"/>
      <c r="L208" s="515"/>
      <c r="M208" s="1044"/>
      <c r="N208" s="277"/>
      <c r="O208" s="1045"/>
      <c r="P208" s="1045"/>
      <c r="Q208" s="1045"/>
      <c r="R208" s="1045"/>
      <c r="S208" s="1013"/>
      <c r="T208" s="277"/>
      <c r="U208" s="417"/>
    </row>
    <row r="209" spans="1:21" ht="15" customHeight="1">
      <c r="A209" s="1046"/>
      <c r="B209" s="1041"/>
      <c r="C209" s="1042"/>
      <c r="D209" s="1042"/>
      <c r="E209" s="1042"/>
      <c r="F209" s="1043"/>
      <c r="G209" s="1043"/>
      <c r="H209" s="984"/>
      <c r="I209" s="515"/>
      <c r="J209" s="515"/>
      <c r="K209" s="515"/>
      <c r="L209" s="515"/>
      <c r="M209" s="1044"/>
      <c r="N209" s="277"/>
      <c r="O209" s="1045"/>
      <c r="P209" s="1045"/>
      <c r="Q209" s="1045"/>
      <c r="R209" s="1045"/>
      <c r="S209" s="1013"/>
      <c r="T209" s="277"/>
      <c r="U209" s="417"/>
    </row>
    <row r="210" spans="1:21" ht="15" customHeight="1">
      <c r="A210" s="1046"/>
      <c r="B210" s="1041"/>
      <c r="C210" s="1042"/>
      <c r="D210" s="1042"/>
      <c r="E210" s="1042"/>
      <c r="F210" s="1043"/>
      <c r="G210" s="1043"/>
      <c r="H210" s="984"/>
      <c r="I210" s="515"/>
      <c r="J210" s="515"/>
      <c r="K210" s="515"/>
      <c r="L210" s="515"/>
      <c r="M210" s="1044"/>
      <c r="N210" s="277"/>
      <c r="O210" s="1045"/>
      <c r="P210" s="1045"/>
      <c r="Q210" s="1045"/>
      <c r="R210" s="1045"/>
      <c r="S210" s="1013"/>
      <c r="T210" s="277"/>
      <c r="U210" s="417"/>
    </row>
    <row r="211" spans="1:21" ht="15" customHeight="1">
      <c r="A211" s="1046"/>
      <c r="B211" s="1041"/>
      <c r="C211" s="1042"/>
      <c r="D211" s="1042"/>
      <c r="E211" s="1042"/>
      <c r="F211" s="1043"/>
      <c r="G211" s="1043"/>
      <c r="H211" s="984"/>
      <c r="I211" s="515"/>
      <c r="J211" s="515"/>
      <c r="K211" s="515"/>
      <c r="L211" s="515"/>
      <c r="M211" s="1044"/>
      <c r="N211" s="277"/>
      <c r="O211" s="1045"/>
      <c r="P211" s="1045"/>
      <c r="Q211" s="1045"/>
      <c r="R211" s="1045"/>
      <c r="S211" s="1013"/>
      <c r="T211" s="277"/>
      <c r="U211" s="417"/>
    </row>
    <row r="212" spans="1:21" ht="15" customHeight="1">
      <c r="A212" s="250"/>
      <c r="B212" s="250"/>
      <c r="C212" s="251"/>
      <c r="D212" s="251"/>
      <c r="E212" s="251"/>
      <c r="F212" s="252"/>
      <c r="G212" s="252"/>
      <c r="H212" s="1047"/>
      <c r="I212" s="257"/>
      <c r="J212" s="257"/>
      <c r="K212" s="257"/>
      <c r="L212" s="257"/>
      <c r="M212" s="258"/>
      <c r="N212" s="259"/>
      <c r="O212" s="255"/>
      <c r="P212" s="255"/>
      <c r="Q212" s="255"/>
      <c r="R212" s="255"/>
      <c r="S212" s="191"/>
      <c r="T212" s="259"/>
      <c r="U212" s="260"/>
    </row>
    <row r="213" spans="1:21" ht="15" customHeight="1">
      <c r="A213" s="261"/>
      <c r="B213" s="250"/>
      <c r="C213" s="251"/>
      <c r="D213" s="251"/>
      <c r="E213" s="251"/>
      <c r="F213" s="252"/>
      <c r="G213" s="252"/>
      <c r="H213" s="1047"/>
      <c r="I213" s="257"/>
      <c r="J213" s="257"/>
      <c r="K213" s="257"/>
      <c r="L213" s="257"/>
      <c r="M213" s="258"/>
      <c r="N213" s="259"/>
      <c r="O213" s="255"/>
      <c r="P213" s="255"/>
      <c r="Q213" s="255"/>
      <c r="R213" s="255"/>
      <c r="S213" s="191"/>
      <c r="T213" s="259"/>
      <c r="U213" s="260"/>
    </row>
    <row r="214" spans="1:21" ht="15" customHeight="1">
      <c r="B214" s="1041"/>
      <c r="C214" s="1048"/>
      <c r="D214" s="1048"/>
      <c r="E214" s="1048"/>
      <c r="F214" s="417"/>
      <c r="G214" s="417"/>
      <c r="H214" s="984"/>
      <c r="I214" s="515"/>
      <c r="J214" s="515"/>
      <c r="K214" s="379"/>
      <c r="L214" s="1044"/>
      <c r="M214" s="1044"/>
      <c r="N214" s="277"/>
      <c r="O214" s="1049"/>
      <c r="P214" s="1049"/>
      <c r="Q214" s="515"/>
      <c r="R214" s="1049"/>
      <c r="S214" s="1044"/>
      <c r="T214" s="277"/>
      <c r="U214" s="277"/>
    </row>
    <row r="215" spans="1:21" ht="15" customHeight="1">
      <c r="A215" s="1050"/>
      <c r="B215" s="1280"/>
      <c r="C215" s="1048"/>
      <c r="D215" s="1048"/>
      <c r="E215" s="1048"/>
      <c r="F215" s="417"/>
      <c r="G215" s="417"/>
      <c r="H215" s="984"/>
      <c r="I215" s="516"/>
      <c r="J215" s="516"/>
      <c r="K215" s="516"/>
      <c r="L215" s="516"/>
      <c r="M215" s="515"/>
      <c r="N215" s="1051"/>
      <c r="O215" s="1049"/>
      <c r="P215" s="1049"/>
      <c r="Q215" s="1049"/>
      <c r="R215" s="1049"/>
      <c r="S215" s="1044"/>
      <c r="T215" s="277"/>
      <c r="U215" s="277"/>
    </row>
    <row r="216" spans="1:21" ht="15.75" customHeight="1">
      <c r="B216" s="1280"/>
      <c r="D216" s="1048"/>
      <c r="E216" s="1048"/>
      <c r="F216" s="1048"/>
      <c r="G216" s="417"/>
      <c r="H216" s="515"/>
      <c r="I216" s="515"/>
      <c r="J216" s="515"/>
      <c r="K216" s="515"/>
      <c r="L216" s="515"/>
      <c r="M216" s="1044"/>
      <c r="N216" s="265"/>
      <c r="O216" s="1044"/>
      <c r="P216" s="1044"/>
      <c r="Q216" s="1044"/>
      <c r="R216" s="1044"/>
      <c r="S216" s="1044"/>
      <c r="T216" s="417"/>
      <c r="U216" s="417"/>
    </row>
    <row r="217" spans="1:21" ht="21" customHeight="1">
      <c r="A217" s="1285"/>
      <c r="B217" s="1285"/>
      <c r="C217" s="1285"/>
      <c r="D217" s="1285"/>
      <c r="E217" s="1285"/>
      <c r="F217" s="1285"/>
      <c r="G217" s="1285"/>
      <c r="H217" s="1285"/>
      <c r="I217" s="1285"/>
      <c r="J217" s="1285"/>
      <c r="K217" s="1285"/>
      <c r="L217" s="1285"/>
      <c r="M217" s="1285"/>
      <c r="N217" s="1285"/>
      <c r="O217" s="1285"/>
      <c r="P217" s="1285"/>
      <c r="Q217" s="1285"/>
      <c r="R217" s="1285"/>
      <c r="S217" s="1285"/>
      <c r="T217" s="1285"/>
      <c r="U217" s="1285"/>
    </row>
    <row r="218" spans="1:21" ht="15" customHeight="1">
      <c r="A218" s="1286"/>
      <c r="C218" s="1286"/>
      <c r="D218" s="1286"/>
      <c r="E218" s="1286"/>
      <c r="F218" s="1286"/>
      <c r="G218" s="1286"/>
      <c r="H218" s="1286"/>
      <c r="I218" s="1287"/>
      <c r="J218" s="1287"/>
      <c r="K218" s="1287"/>
      <c r="L218" s="1287"/>
      <c r="M218" s="1288"/>
      <c r="N218" s="1288"/>
      <c r="O218" s="1287"/>
      <c r="P218" s="1287"/>
      <c r="Q218" s="1287"/>
      <c r="R218" s="1287"/>
      <c r="S218" s="1288"/>
      <c r="T218" s="1288"/>
      <c r="U218" s="1288"/>
    </row>
    <row r="219" spans="1:21" ht="15" customHeight="1">
      <c r="A219" s="1286"/>
      <c r="C219" s="984"/>
      <c r="D219" s="984"/>
      <c r="E219" s="984"/>
      <c r="F219" s="984"/>
      <c r="G219" s="984"/>
      <c r="H219" s="1286"/>
      <c r="I219" s="515"/>
      <c r="J219" s="515"/>
      <c r="K219" s="515"/>
      <c r="L219" s="515"/>
      <c r="M219" s="1288"/>
      <c r="N219" s="1288"/>
      <c r="O219" s="515"/>
      <c r="P219" s="515"/>
      <c r="Q219" s="515"/>
      <c r="R219" s="515"/>
      <c r="S219" s="1288"/>
      <c r="T219" s="1288"/>
      <c r="U219" s="1288"/>
    </row>
    <row r="220" spans="1:21" ht="15" customHeight="1">
      <c r="A220" s="1040"/>
      <c r="B220" s="1041"/>
      <c r="C220" s="1042"/>
      <c r="D220" s="1042"/>
      <c r="E220" s="1042"/>
      <c r="F220" s="1043"/>
      <c r="G220" s="1043"/>
      <c r="H220" s="984"/>
      <c r="I220" s="515"/>
      <c r="J220" s="515"/>
      <c r="K220" s="515"/>
      <c r="L220" s="515"/>
      <c r="M220" s="1044"/>
      <c r="N220" s="277"/>
      <c r="O220" s="1045"/>
      <c r="P220" s="1045"/>
      <c r="Q220" s="1045"/>
      <c r="R220" s="1045"/>
      <c r="S220" s="1013"/>
      <c r="T220" s="277"/>
      <c r="U220" s="417"/>
    </row>
    <row r="221" spans="1:21" ht="15" customHeight="1">
      <c r="A221" s="1046"/>
      <c r="B221" s="1041"/>
      <c r="C221" s="1042"/>
      <c r="D221" s="1042"/>
      <c r="E221" s="1042"/>
      <c r="F221" s="1043"/>
      <c r="G221" s="1043"/>
      <c r="H221" s="984"/>
      <c r="I221" s="515"/>
      <c r="J221" s="515"/>
      <c r="K221" s="515"/>
      <c r="L221" s="515"/>
      <c r="M221" s="1044"/>
      <c r="N221" s="277"/>
      <c r="O221" s="1045"/>
      <c r="P221" s="1045"/>
      <c r="Q221" s="1045"/>
      <c r="R221" s="1045"/>
      <c r="S221" s="1013"/>
      <c r="T221" s="277"/>
      <c r="U221" s="417"/>
    </row>
    <row r="222" spans="1:21" ht="15" customHeight="1">
      <c r="A222" s="1046"/>
      <c r="B222" s="1041"/>
      <c r="C222" s="1042"/>
      <c r="D222" s="1042"/>
      <c r="E222" s="1042"/>
      <c r="F222" s="1043"/>
      <c r="G222" s="1043"/>
      <c r="H222" s="984"/>
      <c r="I222" s="515"/>
      <c r="J222" s="515"/>
      <c r="K222" s="515"/>
      <c r="L222" s="515"/>
      <c r="M222" s="1044"/>
      <c r="N222" s="277"/>
      <c r="O222" s="1045"/>
      <c r="P222" s="1045"/>
      <c r="Q222" s="1045"/>
      <c r="R222" s="1045"/>
      <c r="S222" s="1013"/>
      <c r="T222" s="277"/>
      <c r="U222" s="417"/>
    </row>
    <row r="223" spans="1:21" ht="15" customHeight="1">
      <c r="A223" s="1046"/>
      <c r="B223" s="1041"/>
      <c r="C223" s="1042"/>
      <c r="D223" s="1042"/>
      <c r="E223" s="1042"/>
      <c r="F223" s="1043"/>
      <c r="G223" s="1043"/>
      <c r="H223" s="984"/>
      <c r="I223" s="515"/>
      <c r="J223" s="515"/>
      <c r="K223" s="515"/>
      <c r="L223" s="515"/>
      <c r="M223" s="1044"/>
      <c r="N223" s="277"/>
      <c r="O223" s="1045"/>
      <c r="P223" s="1045"/>
      <c r="Q223" s="1045"/>
      <c r="R223" s="1045"/>
      <c r="S223" s="1013"/>
      <c r="T223" s="277"/>
      <c r="U223" s="417"/>
    </row>
    <row r="224" spans="1:21" ht="15" customHeight="1">
      <c r="A224" s="1046"/>
      <c r="B224" s="1041"/>
      <c r="C224" s="1042"/>
      <c r="D224" s="1042"/>
      <c r="E224" s="1042"/>
      <c r="F224" s="1043"/>
      <c r="G224" s="1043"/>
      <c r="H224" s="984"/>
      <c r="I224" s="515"/>
      <c r="J224" s="515"/>
      <c r="K224" s="515"/>
      <c r="L224" s="515"/>
      <c r="M224" s="1044"/>
      <c r="N224" s="277"/>
      <c r="O224" s="1045"/>
      <c r="P224" s="1045"/>
      <c r="Q224" s="1045"/>
      <c r="R224" s="1045"/>
      <c r="S224" s="1013"/>
      <c r="T224" s="277"/>
      <c r="U224" s="417"/>
    </row>
    <row r="225" spans="1:21" ht="15" customHeight="1">
      <c r="A225" s="1046"/>
      <c r="B225" s="1041"/>
      <c r="C225" s="1042"/>
      <c r="D225" s="1042"/>
      <c r="E225" s="1042"/>
      <c r="F225" s="1043"/>
      <c r="G225" s="1043"/>
      <c r="H225" s="984"/>
      <c r="I225" s="515"/>
      <c r="J225" s="515"/>
      <c r="K225" s="515"/>
      <c r="L225" s="515"/>
      <c r="M225" s="1044"/>
      <c r="N225" s="277"/>
      <c r="O225" s="1045"/>
      <c r="P225" s="1045"/>
      <c r="Q225" s="1045"/>
      <c r="R225" s="1045"/>
      <c r="S225" s="1013"/>
      <c r="T225" s="277"/>
      <c r="U225" s="417"/>
    </row>
    <row r="226" spans="1:21" ht="15" customHeight="1">
      <c r="A226" s="1046"/>
      <c r="B226" s="1041"/>
      <c r="C226" s="1042"/>
      <c r="D226" s="1042"/>
      <c r="E226" s="1042"/>
      <c r="F226" s="1043"/>
      <c r="G226" s="1043"/>
      <c r="H226" s="984"/>
      <c r="I226" s="515"/>
      <c r="J226" s="515"/>
      <c r="K226" s="515"/>
      <c r="L226" s="515"/>
      <c r="M226" s="1044"/>
      <c r="N226" s="277"/>
      <c r="O226" s="1045"/>
      <c r="P226" s="1045"/>
      <c r="Q226" s="1045"/>
      <c r="R226" s="1045"/>
      <c r="S226" s="1013"/>
      <c r="T226" s="277"/>
      <c r="U226" s="417"/>
    </row>
    <row r="227" spans="1:21" ht="15" customHeight="1">
      <c r="A227" s="1046"/>
      <c r="B227" s="1041"/>
      <c r="C227" s="1042"/>
      <c r="D227" s="1042"/>
      <c r="E227" s="1042"/>
      <c r="F227" s="1043"/>
      <c r="G227" s="1043"/>
      <c r="H227" s="984"/>
      <c r="I227" s="515"/>
      <c r="J227" s="515"/>
      <c r="K227" s="515"/>
      <c r="L227" s="515"/>
      <c r="M227" s="1044"/>
      <c r="N227" s="277"/>
      <c r="O227" s="1045"/>
      <c r="P227" s="1045"/>
      <c r="Q227" s="1045"/>
      <c r="R227" s="1045"/>
      <c r="S227" s="1013"/>
      <c r="T227" s="277"/>
      <c r="U227" s="417"/>
    </row>
    <row r="228" spans="1:21" ht="15" customHeight="1">
      <c r="A228" s="1046"/>
      <c r="B228" s="1041"/>
      <c r="C228" s="1042"/>
      <c r="D228" s="1042"/>
      <c r="E228" s="1042"/>
      <c r="F228" s="1043"/>
      <c r="G228" s="1043"/>
      <c r="H228" s="984"/>
      <c r="I228" s="515"/>
      <c r="J228" s="515"/>
      <c r="K228" s="515"/>
      <c r="L228" s="515"/>
      <c r="M228" s="1044"/>
      <c r="N228" s="277"/>
      <c r="O228" s="1045"/>
      <c r="P228" s="1045"/>
      <c r="Q228" s="1045"/>
      <c r="R228" s="1045"/>
      <c r="S228" s="1013"/>
      <c r="T228" s="277"/>
      <c r="U228" s="417"/>
    </row>
    <row r="229" spans="1:21" ht="15" customHeight="1">
      <c r="A229" s="1046"/>
      <c r="B229" s="1041"/>
      <c r="C229" s="1042"/>
      <c r="D229" s="1042"/>
      <c r="E229" s="1042"/>
      <c r="F229" s="1043"/>
      <c r="G229" s="1043"/>
      <c r="H229" s="984"/>
      <c r="I229" s="515"/>
      <c r="J229" s="515"/>
      <c r="K229" s="515"/>
      <c r="L229" s="515"/>
      <c r="M229" s="1044"/>
      <c r="N229" s="277"/>
      <c r="O229" s="1045"/>
      <c r="P229" s="1045"/>
      <c r="Q229" s="1045"/>
      <c r="R229" s="1045"/>
      <c r="S229" s="1013"/>
      <c r="T229" s="277"/>
      <c r="U229" s="417"/>
    </row>
    <row r="230" spans="1:21" ht="15" customHeight="1">
      <c r="A230" s="250"/>
      <c r="B230" s="250"/>
      <c r="C230" s="251"/>
      <c r="D230" s="251"/>
      <c r="E230" s="251"/>
      <c r="F230" s="252"/>
      <c r="G230" s="252"/>
      <c r="H230" s="1047"/>
      <c r="I230" s="257"/>
      <c r="J230" s="257"/>
      <c r="K230" s="257"/>
      <c r="L230" s="257"/>
      <c r="M230" s="258"/>
      <c r="N230" s="259"/>
      <c r="O230" s="255"/>
      <c r="P230" s="255"/>
      <c r="Q230" s="255"/>
      <c r="R230" s="255"/>
      <c r="S230" s="191"/>
      <c r="T230" s="259"/>
      <c r="U230" s="260"/>
    </row>
    <row r="231" spans="1:21" ht="15" customHeight="1">
      <c r="A231" s="261"/>
      <c r="B231" s="250"/>
      <c r="C231" s="251"/>
      <c r="D231" s="251"/>
      <c r="E231" s="251"/>
      <c r="F231" s="252"/>
      <c r="G231" s="252"/>
      <c r="H231" s="1047"/>
      <c r="I231" s="257"/>
      <c r="J231" s="257"/>
      <c r="K231" s="257"/>
      <c r="L231" s="257"/>
      <c r="M231" s="258"/>
      <c r="N231" s="259"/>
      <c r="O231" s="255"/>
      <c r="P231" s="255"/>
      <c r="Q231" s="255"/>
      <c r="R231" s="255"/>
      <c r="S231" s="191"/>
      <c r="T231" s="259"/>
      <c r="U231" s="260"/>
    </row>
    <row r="232" spans="1:21" ht="15" customHeight="1">
      <c r="B232" s="1041"/>
      <c r="C232" s="1048"/>
      <c r="D232" s="1048"/>
      <c r="E232" s="1048"/>
      <c r="F232" s="417"/>
      <c r="G232" s="417"/>
      <c r="H232" s="984"/>
      <c r="I232" s="515"/>
      <c r="J232" s="515"/>
      <c r="K232" s="379"/>
      <c r="L232" s="1044"/>
      <c r="M232" s="1044"/>
      <c r="N232" s="277"/>
      <c r="O232" s="1049"/>
      <c r="P232" s="1049"/>
      <c r="Q232" s="515"/>
      <c r="R232" s="1049"/>
      <c r="S232" s="1044"/>
      <c r="T232" s="277"/>
      <c r="U232" s="277"/>
    </row>
    <row r="233" spans="1:21" ht="15" customHeight="1">
      <c r="A233" s="1050"/>
      <c r="B233" s="1280"/>
      <c r="C233" s="1048"/>
      <c r="D233" s="1048"/>
      <c r="E233" s="1048"/>
      <c r="F233" s="417"/>
      <c r="G233" s="417"/>
      <c r="H233" s="984"/>
      <c r="I233" s="516"/>
      <c r="J233" s="516"/>
      <c r="K233" s="516"/>
      <c r="L233" s="516"/>
      <c r="M233" s="515"/>
      <c r="N233" s="1051"/>
      <c r="O233" s="1049"/>
      <c r="P233" s="1049"/>
      <c r="Q233" s="1049"/>
      <c r="R233" s="1049"/>
      <c r="S233" s="1044"/>
      <c r="T233" s="277"/>
      <c r="U233" s="277"/>
    </row>
    <row r="234" spans="1:21" ht="15.75" customHeight="1">
      <c r="B234" s="1280"/>
      <c r="D234" s="1048"/>
      <c r="E234" s="1048"/>
      <c r="F234" s="1048"/>
      <c r="G234" s="417"/>
      <c r="H234" s="515"/>
      <c r="I234" s="515"/>
      <c r="J234" s="515"/>
      <c r="K234" s="515"/>
      <c r="L234" s="515"/>
      <c r="M234" s="1044"/>
      <c r="N234" s="265"/>
      <c r="O234" s="1044"/>
      <c r="P234" s="1044"/>
      <c r="Q234" s="1044"/>
      <c r="R234" s="1044"/>
      <c r="S234" s="1044"/>
      <c r="T234" s="417"/>
      <c r="U234" s="417"/>
    </row>
    <row r="235" spans="1:21" ht="21" customHeight="1">
      <c r="A235" s="1285"/>
      <c r="B235" s="1285"/>
      <c r="C235" s="1285"/>
      <c r="D235" s="1285"/>
      <c r="E235" s="1285"/>
      <c r="F235" s="1285"/>
      <c r="G235" s="1285"/>
      <c r="H235" s="1285"/>
      <c r="I235" s="1285"/>
      <c r="J235" s="1285"/>
      <c r="K235" s="1285"/>
      <c r="L235" s="1285"/>
      <c r="M235" s="1285"/>
      <c r="N235" s="1285"/>
      <c r="O235" s="1285"/>
      <c r="P235" s="1285"/>
      <c r="Q235" s="1285"/>
      <c r="R235" s="1285"/>
      <c r="S235" s="1285"/>
      <c r="T235" s="1285"/>
      <c r="U235" s="1285"/>
    </row>
    <row r="236" spans="1:21" ht="15" customHeight="1">
      <c r="A236" s="1286"/>
      <c r="C236" s="1286"/>
      <c r="D236" s="1286"/>
      <c r="E236" s="1286"/>
      <c r="F236" s="1286"/>
      <c r="G236" s="1286"/>
      <c r="H236" s="1286"/>
      <c r="I236" s="1287"/>
      <c r="J236" s="1287"/>
      <c r="K236" s="1287"/>
      <c r="L236" s="1287"/>
      <c r="M236" s="1288"/>
      <c r="N236" s="1288"/>
      <c r="O236" s="1287"/>
      <c r="P236" s="1287"/>
      <c r="Q236" s="1287"/>
      <c r="R236" s="1287"/>
      <c r="S236" s="1288"/>
      <c r="T236" s="1288"/>
      <c r="U236" s="1288"/>
    </row>
    <row r="237" spans="1:21" ht="15" customHeight="1">
      <c r="A237" s="1286"/>
      <c r="C237" s="984"/>
      <c r="D237" s="984"/>
      <c r="E237" s="984"/>
      <c r="F237" s="984"/>
      <c r="G237" s="984"/>
      <c r="H237" s="1286"/>
      <c r="I237" s="515"/>
      <c r="J237" s="515"/>
      <c r="K237" s="515"/>
      <c r="L237" s="515"/>
      <c r="M237" s="1288"/>
      <c r="N237" s="1288"/>
      <c r="O237" s="515"/>
      <c r="P237" s="515"/>
      <c r="Q237" s="515"/>
      <c r="R237" s="515"/>
      <c r="S237" s="1288"/>
      <c r="T237" s="1288"/>
      <c r="U237" s="1288"/>
    </row>
    <row r="238" spans="1:21" ht="15" customHeight="1">
      <c r="A238" s="1040"/>
      <c r="B238" s="1041"/>
      <c r="C238" s="1042"/>
      <c r="D238" s="1042"/>
      <c r="E238" s="1042"/>
      <c r="F238" s="1043"/>
      <c r="G238" s="1043"/>
      <c r="H238" s="984"/>
      <c r="I238" s="515"/>
      <c r="J238" s="515"/>
      <c r="K238" s="515"/>
      <c r="L238" s="515"/>
      <c r="M238" s="1044"/>
      <c r="N238" s="277"/>
      <c r="O238" s="1045"/>
      <c r="P238" s="1045"/>
      <c r="Q238" s="1045"/>
      <c r="R238" s="1045"/>
      <c r="S238" s="1013"/>
      <c r="T238" s="277"/>
      <c r="U238" s="417"/>
    </row>
    <row r="239" spans="1:21" ht="15" customHeight="1">
      <c r="A239" s="1046"/>
      <c r="B239" s="1041"/>
      <c r="C239" s="1042"/>
      <c r="D239" s="1042"/>
      <c r="E239" s="1042"/>
      <c r="F239" s="1043"/>
      <c r="G239" s="1043"/>
      <c r="H239" s="984"/>
      <c r="I239" s="515"/>
      <c r="J239" s="515"/>
      <c r="K239" s="515"/>
      <c r="L239" s="515"/>
      <c r="M239" s="1044"/>
      <c r="N239" s="277"/>
      <c r="O239" s="1045"/>
      <c r="P239" s="1045"/>
      <c r="Q239" s="1045"/>
      <c r="R239" s="1045"/>
      <c r="S239" s="1013"/>
      <c r="T239" s="277"/>
      <c r="U239" s="417"/>
    </row>
    <row r="240" spans="1:21" ht="15" customHeight="1">
      <c r="A240" s="1046"/>
      <c r="B240" s="1041"/>
      <c r="C240" s="1042"/>
      <c r="D240" s="1042"/>
      <c r="E240" s="1042"/>
      <c r="F240" s="1043"/>
      <c r="G240" s="1043"/>
      <c r="H240" s="984"/>
      <c r="I240" s="515"/>
      <c r="J240" s="515"/>
      <c r="K240" s="515"/>
      <c r="L240" s="515"/>
      <c r="M240" s="1044"/>
      <c r="N240" s="277"/>
      <c r="O240" s="1045"/>
      <c r="P240" s="1045"/>
      <c r="Q240" s="1045"/>
      <c r="R240" s="1045"/>
      <c r="S240" s="1013"/>
      <c r="T240" s="277"/>
      <c r="U240" s="417"/>
    </row>
    <row r="241" spans="1:21" ht="15" customHeight="1">
      <c r="A241" s="1046"/>
      <c r="B241" s="1041"/>
      <c r="C241" s="1042"/>
      <c r="D241" s="1042"/>
      <c r="E241" s="1042"/>
      <c r="F241" s="1043"/>
      <c r="G241" s="1043"/>
      <c r="H241" s="984"/>
      <c r="I241" s="515"/>
      <c r="J241" s="515"/>
      <c r="K241" s="515"/>
      <c r="L241" s="515"/>
      <c r="M241" s="1044"/>
      <c r="N241" s="277"/>
      <c r="O241" s="1045"/>
      <c r="P241" s="1045"/>
      <c r="Q241" s="1045"/>
      <c r="R241" s="1045"/>
      <c r="S241" s="1013"/>
      <c r="T241" s="277"/>
      <c r="U241" s="417"/>
    </row>
    <row r="242" spans="1:21" ht="15" customHeight="1">
      <c r="A242" s="1046"/>
      <c r="B242" s="1041"/>
      <c r="C242" s="1042"/>
      <c r="D242" s="1042"/>
      <c r="E242" s="1042"/>
      <c r="F242" s="1043"/>
      <c r="G242" s="1043"/>
      <c r="H242" s="984"/>
      <c r="I242" s="515"/>
      <c r="J242" s="515"/>
      <c r="K242" s="515"/>
      <c r="L242" s="515"/>
      <c r="M242" s="1044"/>
      <c r="N242" s="277"/>
      <c r="O242" s="1045"/>
      <c r="P242" s="1045"/>
      <c r="Q242" s="1045"/>
      <c r="R242" s="1045"/>
      <c r="S242" s="1013"/>
      <c r="T242" s="277"/>
      <c r="U242" s="417"/>
    </row>
    <row r="243" spans="1:21" ht="15" customHeight="1">
      <c r="A243" s="1046"/>
      <c r="B243" s="1041"/>
      <c r="C243" s="1042"/>
      <c r="D243" s="1042"/>
      <c r="E243" s="1042"/>
      <c r="F243" s="1043"/>
      <c r="G243" s="1043"/>
      <c r="H243" s="984"/>
      <c r="I243" s="515"/>
      <c r="J243" s="515"/>
      <c r="K243" s="515"/>
      <c r="L243" s="515"/>
      <c r="M243" s="1044"/>
      <c r="N243" s="277"/>
      <c r="O243" s="1045"/>
      <c r="P243" s="1045"/>
      <c r="Q243" s="1045"/>
      <c r="R243" s="1045"/>
      <c r="S243" s="1013"/>
      <c r="T243" s="277"/>
      <c r="U243" s="417"/>
    </row>
    <row r="244" spans="1:21" ht="15" customHeight="1">
      <c r="A244" s="1046"/>
      <c r="B244" s="1041"/>
      <c r="C244" s="1042"/>
      <c r="D244" s="1042"/>
      <c r="E244" s="1042"/>
      <c r="F244" s="1043"/>
      <c r="G244" s="1043"/>
      <c r="H244" s="984"/>
      <c r="I244" s="515"/>
      <c r="J244" s="515"/>
      <c r="K244" s="515"/>
      <c r="L244" s="515"/>
      <c r="M244" s="1044"/>
      <c r="N244" s="277"/>
      <c r="O244" s="1045"/>
      <c r="P244" s="1045"/>
      <c r="Q244" s="1045"/>
      <c r="R244" s="1045"/>
      <c r="S244" s="1013"/>
      <c r="T244" s="277"/>
      <c r="U244" s="417"/>
    </row>
    <row r="245" spans="1:21" ht="15" customHeight="1">
      <c r="A245" s="1046"/>
      <c r="B245" s="1041"/>
      <c r="C245" s="1042"/>
      <c r="D245" s="1042"/>
      <c r="E245" s="1042"/>
      <c r="F245" s="1043"/>
      <c r="G245" s="1043"/>
      <c r="H245" s="984"/>
      <c r="I245" s="515"/>
      <c r="J245" s="515"/>
      <c r="K245" s="515"/>
      <c r="L245" s="515"/>
      <c r="M245" s="1044"/>
      <c r="N245" s="277"/>
      <c r="O245" s="1045"/>
      <c r="P245" s="1045"/>
      <c r="Q245" s="1045"/>
      <c r="R245" s="1045"/>
      <c r="S245" s="1013"/>
      <c r="T245" s="277"/>
      <c r="U245" s="417"/>
    </row>
    <row r="246" spans="1:21" ht="15" customHeight="1">
      <c r="A246" s="1046"/>
      <c r="B246" s="1041"/>
      <c r="C246" s="1042"/>
      <c r="D246" s="1042"/>
      <c r="E246" s="1042"/>
      <c r="F246" s="1043"/>
      <c r="G246" s="1043"/>
      <c r="H246" s="984"/>
      <c r="I246" s="515"/>
      <c r="J246" s="515"/>
      <c r="K246" s="515"/>
      <c r="L246" s="515"/>
      <c r="M246" s="1044"/>
      <c r="N246" s="277"/>
      <c r="O246" s="1045"/>
      <c r="P246" s="1045"/>
      <c r="Q246" s="1045"/>
      <c r="R246" s="1045"/>
      <c r="S246" s="1013"/>
      <c r="T246" s="277"/>
      <c r="U246" s="417"/>
    </row>
    <row r="247" spans="1:21" ht="15" customHeight="1">
      <c r="A247" s="1046"/>
      <c r="B247" s="1041"/>
      <c r="C247" s="1042"/>
      <c r="D247" s="1042"/>
      <c r="E247" s="1042"/>
      <c r="F247" s="1043"/>
      <c r="G247" s="1043"/>
      <c r="H247" s="984"/>
      <c r="I247" s="515"/>
      <c r="J247" s="515"/>
      <c r="K247" s="515"/>
      <c r="L247" s="515"/>
      <c r="M247" s="1044"/>
      <c r="N247" s="277"/>
      <c r="O247" s="1045"/>
      <c r="P247" s="1045"/>
      <c r="Q247" s="1045"/>
      <c r="R247" s="1045"/>
      <c r="S247" s="1013"/>
      <c r="T247" s="277"/>
      <c r="U247" s="417"/>
    </row>
    <row r="248" spans="1:21" ht="15" customHeight="1">
      <c r="A248" s="250"/>
      <c r="B248" s="250"/>
      <c r="C248" s="251"/>
      <c r="D248" s="251"/>
      <c r="E248" s="251"/>
      <c r="F248" s="252"/>
      <c r="G248" s="252"/>
      <c r="H248" s="1047"/>
      <c r="I248" s="257"/>
      <c r="J248" s="257"/>
      <c r="K248" s="257"/>
      <c r="L248" s="257"/>
      <c r="M248" s="258"/>
      <c r="N248" s="259"/>
      <c r="O248" s="255"/>
      <c r="P248" s="255"/>
      <c r="Q248" s="255"/>
      <c r="R248" s="255"/>
      <c r="S248" s="191"/>
      <c r="T248" s="259"/>
      <c r="U248" s="260"/>
    </row>
    <row r="249" spans="1:21" ht="15" customHeight="1">
      <c r="A249" s="261"/>
      <c r="B249" s="250"/>
      <c r="C249" s="251"/>
      <c r="D249" s="251"/>
      <c r="E249" s="251"/>
      <c r="F249" s="252"/>
      <c r="G249" s="252"/>
      <c r="H249" s="1047"/>
      <c r="I249" s="257"/>
      <c r="J249" s="257"/>
      <c r="K249" s="257"/>
      <c r="L249" s="257"/>
      <c r="M249" s="258"/>
      <c r="N249" s="259"/>
      <c r="O249" s="255"/>
      <c r="P249" s="255"/>
      <c r="Q249" s="255"/>
      <c r="R249" s="255"/>
      <c r="S249" s="191"/>
      <c r="T249" s="259"/>
      <c r="U249" s="260"/>
    </row>
    <row r="250" spans="1:21" ht="15" customHeight="1">
      <c r="B250" s="1041"/>
      <c r="C250" s="1048"/>
      <c r="D250" s="1048"/>
      <c r="E250" s="1048"/>
      <c r="F250" s="417"/>
      <c r="G250" s="417"/>
      <c r="H250" s="984"/>
      <c r="I250" s="515"/>
      <c r="J250" s="515"/>
      <c r="K250" s="379"/>
      <c r="L250" s="1044"/>
      <c r="M250" s="1044"/>
      <c r="N250" s="277"/>
      <c r="O250" s="1049"/>
      <c r="P250" s="1049"/>
      <c r="Q250" s="515"/>
      <c r="R250" s="1049"/>
      <c r="S250" s="1044"/>
      <c r="T250" s="277"/>
      <c r="U250" s="277"/>
    </row>
    <row r="251" spans="1:21" ht="15" customHeight="1">
      <c r="A251" s="1050"/>
      <c r="B251" s="1280"/>
      <c r="C251" s="1048"/>
      <c r="D251" s="1048"/>
      <c r="E251" s="1048"/>
      <c r="F251" s="417"/>
      <c r="G251" s="417"/>
      <c r="H251" s="984"/>
      <c r="I251" s="516"/>
      <c r="J251" s="516"/>
      <c r="K251" s="516"/>
      <c r="L251" s="516"/>
      <c r="M251" s="515"/>
      <c r="N251" s="1051"/>
      <c r="O251" s="1049"/>
      <c r="P251" s="1049"/>
      <c r="Q251" s="1049"/>
      <c r="R251" s="1049"/>
      <c r="S251" s="1044"/>
      <c r="T251" s="277"/>
      <c r="U251" s="277"/>
    </row>
    <row r="252" spans="1:21" ht="15.75" customHeight="1">
      <c r="B252" s="1280"/>
      <c r="D252" s="1048"/>
      <c r="E252" s="1048"/>
      <c r="F252" s="1048"/>
      <c r="G252" s="417"/>
      <c r="H252" s="515"/>
      <c r="I252" s="515"/>
      <c r="J252" s="515"/>
      <c r="K252" s="515"/>
      <c r="L252" s="515"/>
      <c r="M252" s="1044"/>
      <c r="N252" s="265"/>
      <c r="O252" s="1044"/>
      <c r="P252" s="1044"/>
      <c r="Q252" s="1044"/>
      <c r="R252" s="1044"/>
      <c r="S252" s="1044"/>
      <c r="T252" s="417"/>
      <c r="U252" s="417"/>
    </row>
    <row r="253" spans="1:21" ht="21" customHeight="1">
      <c r="A253" s="1285"/>
      <c r="B253" s="1285"/>
      <c r="C253" s="1285"/>
      <c r="D253" s="1285"/>
      <c r="E253" s="1285"/>
      <c r="F253" s="1285"/>
      <c r="G253" s="1285"/>
      <c r="H253" s="1285"/>
      <c r="I253" s="1285"/>
      <c r="J253" s="1285"/>
      <c r="K253" s="1285"/>
      <c r="L253" s="1285"/>
      <c r="M253" s="1285"/>
      <c r="N253" s="1285"/>
      <c r="O253" s="1285"/>
      <c r="P253" s="1285"/>
      <c r="Q253" s="1285"/>
      <c r="R253" s="1285"/>
      <c r="S253" s="1285"/>
      <c r="T253" s="1285"/>
      <c r="U253" s="1285"/>
    </row>
    <row r="254" spans="1:21" ht="15" customHeight="1">
      <c r="A254" s="1286"/>
      <c r="C254" s="1286"/>
      <c r="D254" s="1286"/>
      <c r="E254" s="1286"/>
      <c r="F254" s="1286"/>
      <c r="G254" s="1286"/>
      <c r="H254" s="1286"/>
      <c r="I254" s="1287"/>
      <c r="J254" s="1287"/>
      <c r="K254" s="1287"/>
      <c r="L254" s="1287"/>
      <c r="M254" s="1288"/>
      <c r="N254" s="1288"/>
      <c r="O254" s="1287"/>
      <c r="P254" s="1287"/>
      <c r="Q254" s="1287"/>
      <c r="R254" s="1287"/>
      <c r="S254" s="1288"/>
      <c r="T254" s="1288"/>
      <c r="U254" s="1288"/>
    </row>
    <row r="255" spans="1:21" ht="15" customHeight="1">
      <c r="A255" s="1286"/>
      <c r="C255" s="984"/>
      <c r="D255" s="984"/>
      <c r="E255" s="984"/>
      <c r="F255" s="984"/>
      <c r="G255" s="984"/>
      <c r="H255" s="1286"/>
      <c r="I255" s="515"/>
      <c r="J255" s="515"/>
      <c r="K255" s="515"/>
      <c r="L255" s="515"/>
      <c r="M255" s="1288"/>
      <c r="N255" s="1288"/>
      <c r="O255" s="515"/>
      <c r="P255" s="515"/>
      <c r="Q255" s="515"/>
      <c r="R255" s="515"/>
      <c r="S255" s="1288"/>
      <c r="T255" s="1288"/>
      <c r="U255" s="1288"/>
    </row>
    <row r="256" spans="1:21" ht="15" customHeight="1">
      <c r="A256" s="1040"/>
      <c r="B256" s="1041"/>
      <c r="C256" s="1042"/>
      <c r="D256" s="1042"/>
      <c r="E256" s="1042"/>
      <c r="F256" s="1043"/>
      <c r="G256" s="1043"/>
      <c r="H256" s="984"/>
      <c r="I256" s="515"/>
      <c r="J256" s="515"/>
      <c r="K256" s="515"/>
      <c r="L256" s="515"/>
      <c r="M256" s="1044"/>
      <c r="N256" s="277"/>
      <c r="O256" s="1045"/>
      <c r="P256" s="1045"/>
      <c r="Q256" s="1045"/>
      <c r="R256" s="1045"/>
      <c r="S256" s="1013"/>
      <c r="T256" s="277"/>
      <c r="U256" s="417"/>
    </row>
    <row r="257" spans="1:21" ht="15" customHeight="1">
      <c r="A257" s="1046"/>
      <c r="B257" s="1041"/>
      <c r="C257" s="1042"/>
      <c r="D257" s="1042"/>
      <c r="E257" s="1042"/>
      <c r="F257" s="1043"/>
      <c r="G257" s="1043"/>
      <c r="H257" s="984"/>
      <c r="I257" s="515"/>
      <c r="J257" s="515"/>
      <c r="K257" s="515"/>
      <c r="L257" s="515"/>
      <c r="M257" s="1044"/>
      <c r="N257" s="277"/>
      <c r="O257" s="1045"/>
      <c r="P257" s="1045"/>
      <c r="Q257" s="1045"/>
      <c r="R257" s="1045"/>
      <c r="S257" s="1013"/>
      <c r="T257" s="277"/>
      <c r="U257" s="417"/>
    </row>
    <row r="258" spans="1:21" ht="15" customHeight="1">
      <c r="A258" s="1046"/>
      <c r="B258" s="1041"/>
      <c r="C258" s="1042"/>
      <c r="D258" s="1042"/>
      <c r="E258" s="1042"/>
      <c r="F258" s="1043"/>
      <c r="G258" s="1043"/>
      <c r="H258" s="984"/>
      <c r="I258" s="515"/>
      <c r="J258" s="515"/>
      <c r="K258" s="515"/>
      <c r="L258" s="515"/>
      <c r="M258" s="1044"/>
      <c r="N258" s="277"/>
      <c r="O258" s="1045"/>
      <c r="P258" s="1045"/>
      <c r="Q258" s="1045"/>
      <c r="R258" s="1045"/>
      <c r="S258" s="1013"/>
      <c r="T258" s="277"/>
      <c r="U258" s="417"/>
    </row>
    <row r="259" spans="1:21" ht="15" customHeight="1">
      <c r="A259" s="1046"/>
      <c r="B259" s="1041"/>
      <c r="C259" s="1042"/>
      <c r="D259" s="1042"/>
      <c r="E259" s="1042"/>
      <c r="F259" s="1043"/>
      <c r="G259" s="1043"/>
      <c r="H259" s="984"/>
      <c r="I259" s="515"/>
      <c r="J259" s="515"/>
      <c r="K259" s="515"/>
      <c r="L259" s="515"/>
      <c r="M259" s="1044"/>
      <c r="N259" s="277"/>
      <c r="O259" s="1045"/>
      <c r="P259" s="1045"/>
      <c r="Q259" s="1045"/>
      <c r="R259" s="1045"/>
      <c r="S259" s="1013"/>
      <c r="T259" s="277"/>
      <c r="U259" s="417"/>
    </row>
    <row r="260" spans="1:21" ht="15" customHeight="1">
      <c r="A260" s="1046"/>
      <c r="B260" s="1041"/>
      <c r="C260" s="1042"/>
      <c r="D260" s="1042"/>
      <c r="E260" s="1042"/>
      <c r="F260" s="1043"/>
      <c r="G260" s="1043"/>
      <c r="H260" s="984"/>
      <c r="I260" s="515"/>
      <c r="J260" s="515"/>
      <c r="K260" s="515"/>
      <c r="L260" s="515"/>
      <c r="M260" s="1044"/>
      <c r="N260" s="277"/>
      <c r="O260" s="1045"/>
      <c r="P260" s="1045"/>
      <c r="Q260" s="1045"/>
      <c r="R260" s="1045"/>
      <c r="S260" s="1013"/>
      <c r="T260" s="277"/>
      <c r="U260" s="417"/>
    </row>
    <row r="261" spans="1:21" ht="15" customHeight="1">
      <c r="A261" s="1046"/>
      <c r="B261" s="1041"/>
      <c r="C261" s="1042"/>
      <c r="D261" s="1042"/>
      <c r="E261" s="1042"/>
      <c r="F261" s="1043"/>
      <c r="G261" s="1043"/>
      <c r="H261" s="984"/>
      <c r="I261" s="515"/>
      <c r="J261" s="515"/>
      <c r="K261" s="515"/>
      <c r="L261" s="515"/>
      <c r="M261" s="1044"/>
      <c r="N261" s="277"/>
      <c r="O261" s="1045"/>
      <c r="P261" s="1045"/>
      <c r="Q261" s="1045"/>
      <c r="R261" s="1045"/>
      <c r="S261" s="1013"/>
      <c r="T261" s="277"/>
      <c r="U261" s="417"/>
    </row>
    <row r="262" spans="1:21" ht="15" customHeight="1">
      <c r="A262" s="1046"/>
      <c r="B262" s="1041"/>
      <c r="C262" s="1042"/>
      <c r="D262" s="1042"/>
      <c r="E262" s="1042"/>
      <c r="F262" s="1043"/>
      <c r="G262" s="1043"/>
      <c r="H262" s="984"/>
      <c r="I262" s="515"/>
      <c r="J262" s="515"/>
      <c r="K262" s="515"/>
      <c r="L262" s="515"/>
      <c r="M262" s="1044"/>
      <c r="N262" s="277"/>
      <c r="O262" s="1045"/>
      <c r="P262" s="1045"/>
      <c r="Q262" s="1045"/>
      <c r="R262" s="1045"/>
      <c r="S262" s="1013"/>
      <c r="T262" s="277"/>
      <c r="U262" s="417"/>
    </row>
    <row r="263" spans="1:21" ht="15" customHeight="1">
      <c r="A263" s="1046"/>
      <c r="B263" s="1041"/>
      <c r="C263" s="1042"/>
      <c r="D263" s="1042"/>
      <c r="E263" s="1042"/>
      <c r="F263" s="1043"/>
      <c r="G263" s="1043"/>
      <c r="H263" s="984"/>
      <c r="I263" s="515"/>
      <c r="J263" s="515"/>
      <c r="K263" s="515"/>
      <c r="L263" s="515"/>
      <c r="M263" s="1044"/>
      <c r="N263" s="277"/>
      <c r="O263" s="1045"/>
      <c r="P263" s="1045"/>
      <c r="Q263" s="1045"/>
      <c r="R263" s="1045"/>
      <c r="S263" s="1013"/>
      <c r="T263" s="277"/>
      <c r="U263" s="417"/>
    </row>
    <row r="264" spans="1:21" ht="15" customHeight="1">
      <c r="A264" s="1046"/>
      <c r="B264" s="1041"/>
      <c r="C264" s="1042"/>
      <c r="D264" s="1042"/>
      <c r="E264" s="1042"/>
      <c r="F264" s="1043"/>
      <c r="G264" s="1043"/>
      <c r="H264" s="984"/>
      <c r="I264" s="515"/>
      <c r="J264" s="515"/>
      <c r="K264" s="515"/>
      <c r="L264" s="515"/>
      <c r="M264" s="1044"/>
      <c r="N264" s="277"/>
      <c r="O264" s="1045"/>
      <c r="P264" s="1045"/>
      <c r="Q264" s="1045"/>
      <c r="R264" s="1045"/>
      <c r="S264" s="1013"/>
      <c r="T264" s="277"/>
      <c r="U264" s="417"/>
    </row>
    <row r="265" spans="1:21" ht="15" customHeight="1">
      <c r="A265" s="1046"/>
      <c r="B265" s="1041"/>
      <c r="C265" s="1042"/>
      <c r="D265" s="1042"/>
      <c r="E265" s="1042"/>
      <c r="F265" s="1043"/>
      <c r="G265" s="1043"/>
      <c r="H265" s="984"/>
      <c r="I265" s="515"/>
      <c r="J265" s="515"/>
      <c r="K265" s="515"/>
      <c r="L265" s="515"/>
      <c r="M265" s="1044"/>
      <c r="N265" s="277"/>
      <c r="O265" s="1045"/>
      <c r="P265" s="1045"/>
      <c r="Q265" s="1045"/>
      <c r="R265" s="1045"/>
      <c r="S265" s="1013"/>
      <c r="T265" s="277"/>
      <c r="U265" s="417"/>
    </row>
    <row r="266" spans="1:21" ht="15" customHeight="1">
      <c r="A266" s="250"/>
      <c r="B266" s="250"/>
      <c r="C266" s="251"/>
      <c r="D266" s="251"/>
      <c r="E266" s="251"/>
      <c r="F266" s="252"/>
      <c r="G266" s="252"/>
      <c r="H266" s="1047"/>
      <c r="I266" s="257"/>
      <c r="J266" s="257"/>
      <c r="K266" s="257"/>
      <c r="L266" s="257"/>
      <c r="M266" s="258"/>
      <c r="N266" s="259"/>
      <c r="O266" s="255"/>
      <c r="P266" s="255"/>
      <c r="Q266" s="255"/>
      <c r="R266" s="255"/>
      <c r="S266" s="191"/>
      <c r="T266" s="259"/>
      <c r="U266" s="260"/>
    </row>
    <row r="267" spans="1:21" ht="15" customHeight="1">
      <c r="A267" s="261"/>
      <c r="B267" s="250"/>
      <c r="C267" s="251"/>
      <c r="D267" s="251"/>
      <c r="E267" s="251"/>
      <c r="F267" s="252"/>
      <c r="G267" s="252"/>
      <c r="H267" s="1047"/>
      <c r="I267" s="257"/>
      <c r="J267" s="257"/>
      <c r="K267" s="257"/>
      <c r="L267" s="257"/>
      <c r="M267" s="258"/>
      <c r="N267" s="259"/>
      <c r="O267" s="255"/>
      <c r="P267" s="255"/>
      <c r="Q267" s="255"/>
      <c r="R267" s="255"/>
      <c r="S267" s="191"/>
      <c r="T267" s="259"/>
      <c r="U267" s="260"/>
    </row>
    <row r="268" spans="1:21" ht="15" customHeight="1">
      <c r="B268" s="1041"/>
      <c r="C268" s="1048"/>
      <c r="D268" s="1048"/>
      <c r="E268" s="1048"/>
      <c r="F268" s="417"/>
      <c r="G268" s="417"/>
      <c r="H268" s="984"/>
      <c r="I268" s="515"/>
      <c r="J268" s="515"/>
      <c r="K268" s="379"/>
      <c r="L268" s="1044"/>
      <c r="M268" s="1044"/>
      <c r="N268" s="277"/>
      <c r="O268" s="1049"/>
      <c r="P268" s="1049"/>
      <c r="Q268" s="515"/>
      <c r="R268" s="1049"/>
      <c r="S268" s="1044"/>
      <c r="T268" s="277"/>
      <c r="U268" s="277"/>
    </row>
    <row r="269" spans="1:21" ht="15" customHeight="1">
      <c r="A269" s="1050"/>
      <c r="B269" s="1280"/>
      <c r="C269" s="1048"/>
      <c r="D269" s="1048"/>
      <c r="E269" s="1048"/>
      <c r="F269" s="417"/>
      <c r="G269" s="417"/>
      <c r="H269" s="984"/>
      <c r="I269" s="516"/>
      <c r="J269" s="516"/>
      <c r="K269" s="516"/>
      <c r="L269" s="516"/>
      <c r="M269" s="515"/>
      <c r="N269" s="1051"/>
      <c r="O269" s="1049"/>
      <c r="P269" s="1049"/>
      <c r="Q269" s="1049"/>
      <c r="R269" s="1049"/>
      <c r="S269" s="1044"/>
      <c r="T269" s="277"/>
      <c r="U269" s="277"/>
    </row>
    <row r="270" spans="1:21" ht="15.75" customHeight="1">
      <c r="B270" s="1280"/>
      <c r="D270" s="1048"/>
      <c r="E270" s="1048"/>
      <c r="F270" s="1048"/>
      <c r="G270" s="417"/>
      <c r="H270" s="515"/>
      <c r="I270" s="515"/>
      <c r="J270" s="515"/>
      <c r="K270" s="515"/>
      <c r="L270" s="515"/>
      <c r="M270" s="1044"/>
      <c r="N270" s="265"/>
      <c r="O270" s="1044"/>
      <c r="P270" s="1044"/>
      <c r="Q270" s="1044"/>
      <c r="R270" s="1044"/>
      <c r="S270" s="1044"/>
      <c r="T270" s="417"/>
      <c r="U270" s="417"/>
    </row>
    <row r="271" spans="1:21" ht="21" customHeight="1">
      <c r="A271" s="1285"/>
      <c r="B271" s="1285"/>
      <c r="C271" s="1285"/>
      <c r="D271" s="1285"/>
      <c r="E271" s="1285"/>
      <c r="F271" s="1285"/>
      <c r="G271" s="1285"/>
      <c r="H271" s="1285"/>
      <c r="I271" s="1285"/>
      <c r="J271" s="1285"/>
      <c r="K271" s="1285"/>
      <c r="L271" s="1285"/>
      <c r="M271" s="1285"/>
      <c r="N271" s="1285"/>
      <c r="O271" s="1285"/>
      <c r="P271" s="1285"/>
      <c r="Q271" s="1285"/>
      <c r="R271" s="1285"/>
      <c r="S271" s="1285"/>
      <c r="T271" s="1285"/>
      <c r="U271" s="1285"/>
    </row>
    <row r="272" spans="1:21" ht="15" customHeight="1">
      <c r="A272" s="1286"/>
      <c r="C272" s="1286"/>
      <c r="D272" s="1286"/>
      <c r="E272" s="1286"/>
      <c r="F272" s="1286"/>
      <c r="G272" s="1286"/>
      <c r="H272" s="1286"/>
      <c r="I272" s="1287"/>
      <c r="J272" s="1287"/>
      <c r="K272" s="1287"/>
      <c r="L272" s="1287"/>
      <c r="M272" s="1288"/>
      <c r="N272" s="1288"/>
      <c r="O272" s="1287"/>
      <c r="P272" s="1287"/>
      <c r="Q272" s="1287"/>
      <c r="R272" s="1287"/>
      <c r="S272" s="1288"/>
      <c r="T272" s="1288"/>
      <c r="U272" s="1288"/>
    </row>
    <row r="273" spans="1:21" ht="15" customHeight="1">
      <c r="A273" s="1286"/>
      <c r="C273" s="984"/>
      <c r="D273" s="984"/>
      <c r="E273" s="984"/>
      <c r="F273" s="984"/>
      <c r="G273" s="984"/>
      <c r="H273" s="1286"/>
      <c r="I273" s="515"/>
      <c r="J273" s="515"/>
      <c r="K273" s="515"/>
      <c r="L273" s="515"/>
      <c r="M273" s="1288"/>
      <c r="N273" s="1288"/>
      <c r="O273" s="515"/>
      <c r="P273" s="515"/>
      <c r="Q273" s="515"/>
      <c r="R273" s="515"/>
      <c r="S273" s="1288"/>
      <c r="T273" s="1288"/>
      <c r="U273" s="1288"/>
    </row>
    <row r="274" spans="1:21" ht="15" customHeight="1">
      <c r="A274" s="1040"/>
      <c r="B274" s="1041"/>
      <c r="C274" s="1042"/>
      <c r="D274" s="1042"/>
      <c r="E274" s="1042"/>
      <c r="F274" s="1043"/>
      <c r="G274" s="1043"/>
      <c r="H274" s="984"/>
      <c r="I274" s="515"/>
      <c r="J274" s="515"/>
      <c r="K274" s="515"/>
      <c r="L274" s="515"/>
      <c r="M274" s="1044"/>
      <c r="N274" s="277"/>
      <c r="O274" s="1045"/>
      <c r="P274" s="1045"/>
      <c r="Q274" s="1045"/>
      <c r="R274" s="1045"/>
      <c r="S274" s="1013"/>
      <c r="T274" s="277"/>
      <c r="U274" s="417"/>
    </row>
    <row r="275" spans="1:21" ht="15" customHeight="1">
      <c r="A275" s="1046"/>
      <c r="B275" s="1041"/>
      <c r="C275" s="1042"/>
      <c r="D275" s="1042"/>
      <c r="E275" s="1042"/>
      <c r="F275" s="1043"/>
      <c r="G275" s="1043"/>
      <c r="H275" s="984"/>
      <c r="I275" s="515"/>
      <c r="J275" s="515"/>
      <c r="K275" s="515"/>
      <c r="L275" s="515"/>
      <c r="M275" s="1044"/>
      <c r="N275" s="277"/>
      <c r="O275" s="1045"/>
      <c r="P275" s="1045"/>
      <c r="Q275" s="1045"/>
      <c r="R275" s="1045"/>
      <c r="S275" s="1013"/>
      <c r="T275" s="277"/>
      <c r="U275" s="417"/>
    </row>
    <row r="276" spans="1:21" ht="15" customHeight="1">
      <c r="A276" s="1046"/>
      <c r="B276" s="1041"/>
      <c r="C276" s="1042"/>
      <c r="D276" s="1042"/>
      <c r="E276" s="1042"/>
      <c r="F276" s="1043"/>
      <c r="G276" s="1043"/>
      <c r="H276" s="984"/>
      <c r="I276" s="515"/>
      <c r="J276" s="515"/>
      <c r="K276" s="515"/>
      <c r="L276" s="515"/>
      <c r="M276" s="1044"/>
      <c r="N276" s="277"/>
      <c r="O276" s="1045"/>
      <c r="P276" s="1045"/>
      <c r="Q276" s="1045"/>
      <c r="R276" s="1045"/>
      <c r="S276" s="1013"/>
      <c r="T276" s="277"/>
      <c r="U276" s="417"/>
    </row>
    <row r="277" spans="1:21" ht="15" customHeight="1">
      <c r="A277" s="1046"/>
      <c r="B277" s="1041"/>
      <c r="C277" s="1042"/>
      <c r="D277" s="1042"/>
      <c r="E277" s="1042"/>
      <c r="F277" s="1043"/>
      <c r="G277" s="1043"/>
      <c r="H277" s="984"/>
      <c r="I277" s="515"/>
      <c r="J277" s="515"/>
      <c r="K277" s="515"/>
      <c r="L277" s="515"/>
      <c r="M277" s="1044"/>
      <c r="N277" s="277"/>
      <c r="O277" s="1045"/>
      <c r="P277" s="1045"/>
      <c r="Q277" s="1045"/>
      <c r="R277" s="1045"/>
      <c r="S277" s="1013"/>
      <c r="T277" s="277"/>
      <c r="U277" s="417"/>
    </row>
    <row r="278" spans="1:21" ht="15" customHeight="1">
      <c r="A278" s="1046"/>
      <c r="B278" s="1041"/>
      <c r="C278" s="1042"/>
      <c r="D278" s="1042"/>
      <c r="E278" s="1042"/>
      <c r="F278" s="1043"/>
      <c r="G278" s="1043"/>
      <c r="H278" s="984"/>
      <c r="I278" s="515"/>
      <c r="J278" s="515"/>
      <c r="K278" s="515"/>
      <c r="L278" s="515"/>
      <c r="M278" s="1044"/>
      <c r="N278" s="277"/>
      <c r="O278" s="1045"/>
      <c r="P278" s="1045"/>
      <c r="Q278" s="1045"/>
      <c r="R278" s="1045"/>
      <c r="S278" s="1013"/>
      <c r="T278" s="277"/>
      <c r="U278" s="417"/>
    </row>
    <row r="279" spans="1:21" ht="15" customHeight="1">
      <c r="A279" s="1046"/>
      <c r="B279" s="1041"/>
      <c r="C279" s="1042"/>
      <c r="D279" s="1042"/>
      <c r="E279" s="1042"/>
      <c r="F279" s="1043"/>
      <c r="G279" s="1043"/>
      <c r="H279" s="984"/>
      <c r="I279" s="515"/>
      <c r="J279" s="515"/>
      <c r="K279" s="515"/>
      <c r="L279" s="515"/>
      <c r="M279" s="1044"/>
      <c r="N279" s="277"/>
      <c r="O279" s="1045"/>
      <c r="P279" s="1045"/>
      <c r="Q279" s="1045"/>
      <c r="R279" s="1045"/>
      <c r="S279" s="1013"/>
      <c r="T279" s="277"/>
      <c r="U279" s="417"/>
    </row>
    <row r="280" spans="1:21" ht="15" customHeight="1">
      <c r="A280" s="1046"/>
      <c r="B280" s="1041"/>
      <c r="C280" s="1042"/>
      <c r="D280" s="1042"/>
      <c r="E280" s="1042"/>
      <c r="F280" s="1043"/>
      <c r="G280" s="1043"/>
      <c r="H280" s="984"/>
      <c r="I280" s="515"/>
      <c r="J280" s="515"/>
      <c r="K280" s="515"/>
      <c r="L280" s="515"/>
      <c r="M280" s="1044"/>
      <c r="N280" s="277"/>
      <c r="O280" s="1045"/>
      <c r="P280" s="1045"/>
      <c r="Q280" s="1045"/>
      <c r="R280" s="1045"/>
      <c r="S280" s="1013"/>
      <c r="T280" s="277"/>
      <c r="U280" s="417"/>
    </row>
    <row r="281" spans="1:21" ht="15" customHeight="1">
      <c r="A281" s="1046"/>
      <c r="B281" s="1041"/>
      <c r="C281" s="1042"/>
      <c r="D281" s="1042"/>
      <c r="E281" s="1042"/>
      <c r="F281" s="1043"/>
      <c r="G281" s="1043"/>
      <c r="H281" s="984"/>
      <c r="I281" s="515"/>
      <c r="J281" s="515"/>
      <c r="K281" s="515"/>
      <c r="L281" s="515"/>
      <c r="M281" s="1044"/>
      <c r="N281" s="277"/>
      <c r="O281" s="1045"/>
      <c r="P281" s="1045"/>
      <c r="Q281" s="1045"/>
      <c r="R281" s="1045"/>
      <c r="S281" s="1013"/>
      <c r="T281" s="277"/>
      <c r="U281" s="417"/>
    </row>
    <row r="282" spans="1:21" ht="15" customHeight="1">
      <c r="A282" s="1046"/>
      <c r="B282" s="1041"/>
      <c r="C282" s="1042"/>
      <c r="D282" s="1042"/>
      <c r="E282" s="1042"/>
      <c r="F282" s="1043"/>
      <c r="G282" s="1043"/>
      <c r="H282" s="984"/>
      <c r="I282" s="515"/>
      <c r="J282" s="515"/>
      <c r="K282" s="515"/>
      <c r="L282" s="515"/>
      <c r="M282" s="1044"/>
      <c r="N282" s="277"/>
      <c r="O282" s="1045"/>
      <c r="P282" s="1045"/>
      <c r="Q282" s="1045"/>
      <c r="R282" s="1045"/>
      <c r="S282" s="1013"/>
      <c r="T282" s="277"/>
      <c r="U282" s="417"/>
    </row>
    <row r="283" spans="1:21" ht="15" customHeight="1">
      <c r="A283" s="1046"/>
      <c r="B283" s="1041"/>
      <c r="C283" s="1042"/>
      <c r="D283" s="1042"/>
      <c r="E283" s="1042"/>
      <c r="F283" s="1043"/>
      <c r="G283" s="1043"/>
      <c r="H283" s="984"/>
      <c r="I283" s="515"/>
      <c r="J283" s="515"/>
      <c r="K283" s="515"/>
      <c r="L283" s="515"/>
      <c r="M283" s="1044"/>
      <c r="N283" s="277"/>
      <c r="O283" s="1045"/>
      <c r="P283" s="1045"/>
      <c r="Q283" s="1045"/>
      <c r="R283" s="1045"/>
      <c r="S283" s="1013"/>
      <c r="T283" s="277"/>
      <c r="U283" s="417"/>
    </row>
    <row r="284" spans="1:21" ht="15" customHeight="1">
      <c r="A284" s="250"/>
      <c r="B284" s="250"/>
      <c r="C284" s="251"/>
      <c r="D284" s="251"/>
      <c r="E284" s="251"/>
      <c r="F284" s="252"/>
      <c r="G284" s="252"/>
      <c r="H284" s="1047"/>
      <c r="I284" s="257"/>
      <c r="J284" s="257"/>
      <c r="K284" s="257"/>
      <c r="L284" s="257"/>
      <c r="M284" s="258"/>
      <c r="N284" s="259"/>
      <c r="O284" s="255"/>
      <c r="P284" s="255"/>
      <c r="Q284" s="255"/>
      <c r="R284" s="255"/>
      <c r="S284" s="191"/>
      <c r="T284" s="259"/>
      <c r="U284" s="260"/>
    </row>
    <row r="285" spans="1:21" ht="15" customHeight="1">
      <c r="A285" s="261"/>
      <c r="B285" s="250"/>
      <c r="C285" s="251"/>
      <c r="D285" s="251"/>
      <c r="E285" s="251"/>
      <c r="F285" s="252"/>
      <c r="G285" s="252"/>
      <c r="H285" s="1047"/>
      <c r="I285" s="257"/>
      <c r="J285" s="257"/>
      <c r="K285" s="257"/>
      <c r="L285" s="257"/>
      <c r="M285" s="258"/>
      <c r="N285" s="259"/>
      <c r="O285" s="255"/>
      <c r="P285" s="255"/>
      <c r="Q285" s="255"/>
      <c r="R285" s="255"/>
      <c r="S285" s="191"/>
      <c r="T285" s="259"/>
      <c r="U285" s="260"/>
    </row>
    <row r="286" spans="1:21" ht="15" customHeight="1">
      <c r="B286" s="1041"/>
      <c r="C286" s="1048"/>
      <c r="D286" s="1048"/>
      <c r="E286" s="1048"/>
      <c r="F286" s="417"/>
      <c r="G286" s="417"/>
      <c r="H286" s="984"/>
      <c r="I286" s="515"/>
      <c r="J286" s="515"/>
      <c r="K286" s="379"/>
      <c r="L286" s="1044"/>
      <c r="M286" s="1044"/>
      <c r="N286" s="277"/>
      <c r="O286" s="1049"/>
      <c r="P286" s="1049"/>
      <c r="Q286" s="515"/>
      <c r="R286" s="1049"/>
      <c r="S286" s="1044"/>
      <c r="T286" s="277"/>
      <c r="U286" s="277"/>
    </row>
    <row r="287" spans="1:21" ht="15" customHeight="1">
      <c r="A287" s="1050"/>
      <c r="B287" s="1280"/>
      <c r="C287" s="1048"/>
      <c r="D287" s="1048"/>
      <c r="E287" s="1048"/>
      <c r="F287" s="417"/>
      <c r="G287" s="417"/>
      <c r="H287" s="984"/>
      <c r="I287" s="516"/>
      <c r="J287" s="516"/>
      <c r="K287" s="516"/>
      <c r="L287" s="516"/>
      <c r="M287" s="515"/>
      <c r="N287" s="1051"/>
      <c r="O287" s="1049"/>
      <c r="P287" s="1049"/>
      <c r="Q287" s="1049"/>
      <c r="R287" s="1049"/>
      <c r="S287" s="1044"/>
      <c r="T287" s="277"/>
      <c r="U287" s="277"/>
    </row>
    <row r="288" spans="1:21" ht="15.75" customHeight="1">
      <c r="B288" s="1280"/>
      <c r="D288" s="1048"/>
      <c r="E288" s="1048"/>
      <c r="F288" s="1048"/>
      <c r="G288" s="417"/>
      <c r="H288" s="515"/>
      <c r="I288" s="515"/>
      <c r="J288" s="515"/>
      <c r="K288" s="515"/>
      <c r="L288" s="515"/>
      <c r="M288" s="1044"/>
      <c r="N288" s="265"/>
      <c r="O288" s="1044"/>
      <c r="P288" s="1044"/>
      <c r="Q288" s="1044"/>
      <c r="R288" s="1044"/>
      <c r="S288" s="1044"/>
      <c r="T288" s="417"/>
      <c r="U288" s="417"/>
    </row>
    <row r="289" spans="1:21" ht="21" customHeight="1">
      <c r="A289" s="1285"/>
      <c r="B289" s="1285"/>
      <c r="C289" s="1285"/>
      <c r="D289" s="1285"/>
      <c r="E289" s="1285"/>
      <c r="F289" s="1285"/>
      <c r="G289" s="1285"/>
      <c r="H289" s="1285"/>
      <c r="I289" s="1285"/>
      <c r="J289" s="1285"/>
      <c r="K289" s="1285"/>
      <c r="L289" s="1285"/>
      <c r="M289" s="1285"/>
      <c r="N289" s="1285"/>
      <c r="O289" s="1285"/>
      <c r="P289" s="1285"/>
      <c r="Q289" s="1285"/>
      <c r="R289" s="1285"/>
      <c r="S289" s="1285"/>
      <c r="T289" s="1285"/>
      <c r="U289" s="1285"/>
    </row>
    <row r="290" spans="1:21" ht="15" customHeight="1">
      <c r="A290" s="1286"/>
      <c r="C290" s="1286"/>
      <c r="D290" s="1286"/>
      <c r="E290" s="1286"/>
      <c r="F290" s="1286"/>
      <c r="G290" s="1286"/>
      <c r="H290" s="1286"/>
      <c r="I290" s="1287"/>
      <c r="J290" s="1287"/>
      <c r="K290" s="1287"/>
      <c r="L290" s="1287"/>
      <c r="M290" s="1288"/>
      <c r="N290" s="1288"/>
      <c r="O290" s="1287"/>
      <c r="P290" s="1287"/>
      <c r="Q290" s="1287"/>
      <c r="R290" s="1287"/>
      <c r="S290" s="1288"/>
      <c r="T290" s="1288"/>
      <c r="U290" s="1288"/>
    </row>
    <row r="291" spans="1:21" ht="15" customHeight="1">
      <c r="A291" s="1286"/>
      <c r="C291" s="984"/>
      <c r="D291" s="984"/>
      <c r="E291" s="984"/>
      <c r="F291" s="984"/>
      <c r="G291" s="984"/>
      <c r="H291" s="1286"/>
      <c r="I291" s="515"/>
      <c r="J291" s="515"/>
      <c r="K291" s="515"/>
      <c r="L291" s="515"/>
      <c r="M291" s="1288"/>
      <c r="N291" s="1288"/>
      <c r="O291" s="515"/>
      <c r="P291" s="515"/>
      <c r="Q291" s="515"/>
      <c r="R291" s="515"/>
      <c r="S291" s="1288"/>
      <c r="T291" s="1288"/>
      <c r="U291" s="1288"/>
    </row>
    <row r="292" spans="1:21" ht="15" customHeight="1">
      <c r="A292" s="1040"/>
      <c r="B292" s="1041"/>
      <c r="C292" s="1042"/>
      <c r="D292" s="1042"/>
      <c r="E292" s="1042"/>
      <c r="F292" s="1043"/>
      <c r="G292" s="1043"/>
      <c r="H292" s="984"/>
      <c r="I292" s="515"/>
      <c r="J292" s="515"/>
      <c r="K292" s="515"/>
      <c r="L292" s="515"/>
      <c r="M292" s="1044"/>
      <c r="N292" s="277"/>
      <c r="O292" s="1045"/>
      <c r="P292" s="1045"/>
      <c r="Q292" s="1045"/>
      <c r="R292" s="1045"/>
      <c r="S292" s="1013"/>
      <c r="T292" s="277"/>
      <c r="U292" s="417"/>
    </row>
    <row r="293" spans="1:21" ht="15" customHeight="1">
      <c r="A293" s="1046"/>
      <c r="B293" s="1041"/>
      <c r="C293" s="1042"/>
      <c r="D293" s="1042"/>
      <c r="E293" s="1042"/>
      <c r="F293" s="1043"/>
      <c r="G293" s="1043"/>
      <c r="H293" s="984"/>
      <c r="I293" s="515"/>
      <c r="J293" s="515"/>
      <c r="K293" s="515"/>
      <c r="L293" s="515"/>
      <c r="M293" s="1044"/>
      <c r="N293" s="277"/>
      <c r="O293" s="1045"/>
      <c r="P293" s="1045"/>
      <c r="Q293" s="1045"/>
      <c r="R293" s="1045"/>
      <c r="S293" s="1013"/>
      <c r="T293" s="277"/>
      <c r="U293" s="417"/>
    </row>
    <row r="294" spans="1:21" ht="15" customHeight="1">
      <c r="A294" s="1046"/>
      <c r="B294" s="1041"/>
      <c r="C294" s="1042"/>
      <c r="D294" s="1042"/>
      <c r="E294" s="1042"/>
      <c r="F294" s="1043"/>
      <c r="G294" s="1043"/>
      <c r="H294" s="984"/>
      <c r="I294" s="515"/>
      <c r="J294" s="515"/>
      <c r="K294" s="515"/>
      <c r="L294" s="515"/>
      <c r="M294" s="1044"/>
      <c r="N294" s="277"/>
      <c r="O294" s="1045"/>
      <c r="P294" s="1045"/>
      <c r="Q294" s="1045"/>
      <c r="R294" s="1045"/>
      <c r="S294" s="1013"/>
      <c r="T294" s="277"/>
      <c r="U294" s="417"/>
    </row>
    <row r="295" spans="1:21" ht="15" customHeight="1">
      <c r="A295" s="1046"/>
      <c r="B295" s="1041"/>
      <c r="C295" s="1042"/>
      <c r="D295" s="1042"/>
      <c r="E295" s="1042"/>
      <c r="F295" s="1043"/>
      <c r="G295" s="1043"/>
      <c r="H295" s="984"/>
      <c r="I295" s="515"/>
      <c r="J295" s="515"/>
      <c r="K295" s="515"/>
      <c r="L295" s="515"/>
      <c r="M295" s="1044"/>
      <c r="N295" s="277"/>
      <c r="O295" s="1045"/>
      <c r="P295" s="1045"/>
      <c r="Q295" s="1045"/>
      <c r="R295" s="1045"/>
      <c r="S295" s="1013"/>
      <c r="T295" s="277"/>
      <c r="U295" s="417"/>
    </row>
    <row r="296" spans="1:21" ht="15" customHeight="1">
      <c r="A296" s="1046"/>
      <c r="B296" s="1041"/>
      <c r="C296" s="1042"/>
      <c r="D296" s="1042"/>
      <c r="E296" s="1042"/>
      <c r="F296" s="1043"/>
      <c r="G296" s="1043"/>
      <c r="H296" s="984"/>
      <c r="I296" s="515"/>
      <c r="J296" s="515"/>
      <c r="K296" s="515"/>
      <c r="L296" s="515"/>
      <c r="M296" s="1044"/>
      <c r="N296" s="277"/>
      <c r="O296" s="1045"/>
      <c r="P296" s="1045"/>
      <c r="Q296" s="1045"/>
      <c r="R296" s="1045"/>
      <c r="S296" s="1013"/>
      <c r="T296" s="277"/>
      <c r="U296" s="417"/>
    </row>
    <row r="297" spans="1:21" ht="15" customHeight="1">
      <c r="A297" s="1046"/>
      <c r="B297" s="1041"/>
      <c r="C297" s="1042"/>
      <c r="D297" s="1042"/>
      <c r="E297" s="1042"/>
      <c r="F297" s="1043"/>
      <c r="G297" s="1043"/>
      <c r="H297" s="984"/>
      <c r="I297" s="515"/>
      <c r="J297" s="515"/>
      <c r="K297" s="515"/>
      <c r="L297" s="515"/>
      <c r="M297" s="1044"/>
      <c r="N297" s="277"/>
      <c r="O297" s="1045"/>
      <c r="P297" s="1045"/>
      <c r="Q297" s="1045"/>
      <c r="R297" s="1045"/>
      <c r="S297" s="1013"/>
      <c r="T297" s="277"/>
      <c r="U297" s="417"/>
    </row>
    <row r="298" spans="1:21" ht="15" customHeight="1">
      <c r="A298" s="1046"/>
      <c r="B298" s="1041"/>
      <c r="C298" s="1042"/>
      <c r="D298" s="1042"/>
      <c r="E298" s="1042"/>
      <c r="F298" s="1043"/>
      <c r="G298" s="1043"/>
      <c r="H298" s="984"/>
      <c r="I298" s="515"/>
      <c r="J298" s="515"/>
      <c r="K298" s="515"/>
      <c r="L298" s="515"/>
      <c r="M298" s="1044"/>
      <c r="N298" s="277"/>
      <c r="O298" s="1045"/>
      <c r="P298" s="1045"/>
      <c r="Q298" s="1045"/>
      <c r="R298" s="1045"/>
      <c r="S298" s="1013"/>
      <c r="T298" s="277"/>
      <c r="U298" s="417"/>
    </row>
    <row r="299" spans="1:21" ht="15" customHeight="1">
      <c r="A299" s="1046"/>
      <c r="B299" s="1041"/>
      <c r="C299" s="1042"/>
      <c r="D299" s="1042"/>
      <c r="E299" s="1042"/>
      <c r="F299" s="1043"/>
      <c r="G299" s="1043"/>
      <c r="H299" s="984"/>
      <c r="I299" s="515"/>
      <c r="J299" s="515"/>
      <c r="K299" s="515"/>
      <c r="L299" s="515"/>
      <c r="M299" s="1044"/>
      <c r="N299" s="277"/>
      <c r="O299" s="1045"/>
      <c r="P299" s="1045"/>
      <c r="Q299" s="1045"/>
      <c r="R299" s="1045"/>
      <c r="S299" s="1013"/>
      <c r="T299" s="277"/>
      <c r="U299" s="417"/>
    </row>
    <row r="300" spans="1:21" ht="15" customHeight="1">
      <c r="A300" s="1046"/>
      <c r="B300" s="1041"/>
      <c r="C300" s="1042"/>
      <c r="D300" s="1042"/>
      <c r="E300" s="1042"/>
      <c r="F300" s="1043"/>
      <c r="G300" s="1043"/>
      <c r="H300" s="984"/>
      <c r="I300" s="515"/>
      <c r="J300" s="515"/>
      <c r="K300" s="515"/>
      <c r="L300" s="515"/>
      <c r="M300" s="1044"/>
      <c r="N300" s="277"/>
      <c r="O300" s="1045"/>
      <c r="P300" s="1045"/>
      <c r="Q300" s="1045"/>
      <c r="R300" s="1045"/>
      <c r="S300" s="1013"/>
      <c r="T300" s="277"/>
      <c r="U300" s="417"/>
    </row>
    <row r="301" spans="1:21" ht="15" customHeight="1">
      <c r="A301" s="1046"/>
      <c r="B301" s="1041"/>
      <c r="C301" s="1042"/>
      <c r="D301" s="1042"/>
      <c r="E301" s="1042"/>
      <c r="F301" s="1043"/>
      <c r="G301" s="1043"/>
      <c r="H301" s="984"/>
      <c r="I301" s="515"/>
      <c r="J301" s="515"/>
      <c r="K301" s="515"/>
      <c r="L301" s="515"/>
      <c r="M301" s="1044"/>
      <c r="N301" s="277"/>
      <c r="O301" s="1045"/>
      <c r="P301" s="1045"/>
      <c r="Q301" s="1045"/>
      <c r="R301" s="1045"/>
      <c r="S301" s="1013"/>
      <c r="T301" s="277"/>
      <c r="U301" s="417"/>
    </row>
    <row r="302" spans="1:21" ht="15" customHeight="1">
      <c r="A302" s="250"/>
      <c r="B302" s="250"/>
      <c r="C302" s="251"/>
      <c r="D302" s="251"/>
      <c r="E302" s="251"/>
      <c r="F302" s="252"/>
      <c r="G302" s="252"/>
      <c r="H302" s="1047"/>
      <c r="I302" s="257"/>
      <c r="J302" s="257"/>
      <c r="K302" s="257"/>
      <c r="L302" s="257"/>
      <c r="M302" s="258"/>
      <c r="N302" s="259"/>
      <c r="O302" s="255"/>
      <c r="P302" s="255"/>
      <c r="Q302" s="255"/>
      <c r="R302" s="255"/>
      <c r="S302" s="191"/>
      <c r="T302" s="259"/>
      <c r="U302" s="260"/>
    </row>
    <row r="303" spans="1:21" ht="15" customHeight="1">
      <c r="A303" s="261"/>
      <c r="B303" s="250"/>
      <c r="C303" s="251"/>
      <c r="D303" s="251"/>
      <c r="E303" s="251"/>
      <c r="F303" s="252"/>
      <c r="G303" s="252"/>
      <c r="H303" s="1047"/>
      <c r="I303" s="257"/>
      <c r="J303" s="257"/>
      <c r="K303" s="257"/>
      <c r="L303" s="257"/>
      <c r="M303" s="258"/>
      <c r="N303" s="259"/>
      <c r="O303" s="255"/>
      <c r="P303" s="255"/>
      <c r="Q303" s="255"/>
      <c r="R303" s="255"/>
      <c r="S303" s="191"/>
      <c r="T303" s="259"/>
      <c r="U303" s="260"/>
    </row>
    <row r="304" spans="1:21" ht="15" customHeight="1">
      <c r="B304" s="1041"/>
      <c r="C304" s="1048"/>
      <c r="D304" s="1048"/>
      <c r="E304" s="1048"/>
      <c r="F304" s="417"/>
      <c r="G304" s="417"/>
      <c r="H304" s="984"/>
      <c r="I304" s="515"/>
      <c r="J304" s="515"/>
      <c r="K304" s="379"/>
      <c r="L304" s="1044"/>
      <c r="M304" s="1044"/>
      <c r="N304" s="277"/>
      <c r="O304" s="1049"/>
      <c r="P304" s="1049"/>
      <c r="Q304" s="515"/>
      <c r="R304" s="1049"/>
      <c r="S304" s="1044"/>
      <c r="T304" s="277"/>
      <c r="U304" s="277"/>
    </row>
    <row r="305" spans="1:21" ht="15" customHeight="1">
      <c r="A305" s="1050"/>
      <c r="B305" s="1280"/>
      <c r="C305" s="1048"/>
      <c r="D305" s="1048"/>
      <c r="E305" s="1048"/>
      <c r="F305" s="417"/>
      <c r="G305" s="417"/>
      <c r="H305" s="984"/>
      <c r="I305" s="516"/>
      <c r="J305" s="516"/>
      <c r="K305" s="516"/>
      <c r="L305" s="516"/>
      <c r="M305" s="515"/>
      <c r="N305" s="1051"/>
      <c r="O305" s="1049"/>
      <c r="P305" s="1049"/>
      <c r="Q305" s="1049"/>
      <c r="R305" s="1049"/>
      <c r="S305" s="1044"/>
      <c r="T305" s="277"/>
      <c r="U305" s="277"/>
    </row>
    <row r="306" spans="1:21" ht="15.75" customHeight="1">
      <c r="B306" s="1280"/>
      <c r="D306" s="1048"/>
      <c r="E306" s="1048"/>
      <c r="F306" s="1048"/>
      <c r="G306" s="417"/>
      <c r="H306" s="515"/>
      <c r="I306" s="515"/>
      <c r="J306" s="515"/>
      <c r="K306" s="515"/>
      <c r="L306" s="515"/>
      <c r="M306" s="1044"/>
      <c r="N306" s="265"/>
      <c r="O306" s="1044"/>
      <c r="P306" s="1044"/>
      <c r="Q306" s="1044"/>
      <c r="R306" s="1044"/>
      <c r="S306" s="1044"/>
      <c r="T306" s="417"/>
      <c r="U306" s="417"/>
    </row>
    <row r="307" spans="1:21" ht="21" customHeight="1">
      <c r="A307" s="1285"/>
      <c r="B307" s="1285"/>
      <c r="C307" s="1285"/>
      <c r="D307" s="1285"/>
      <c r="E307" s="1285"/>
      <c r="F307" s="1285"/>
      <c r="G307" s="1285"/>
      <c r="H307" s="1285"/>
      <c r="I307" s="1285"/>
      <c r="J307" s="1285"/>
      <c r="K307" s="1285"/>
      <c r="L307" s="1285"/>
      <c r="M307" s="1285"/>
      <c r="N307" s="1285"/>
      <c r="O307" s="1285"/>
      <c r="P307" s="1285"/>
      <c r="Q307" s="1285"/>
      <c r="R307" s="1285"/>
      <c r="S307" s="1285"/>
      <c r="T307" s="1285"/>
      <c r="U307" s="1285"/>
    </row>
    <row r="308" spans="1:21" ht="15" customHeight="1">
      <c r="A308" s="1286"/>
      <c r="C308" s="1286"/>
      <c r="D308" s="1286"/>
      <c r="E308" s="1286"/>
      <c r="F308" s="1286"/>
      <c r="G308" s="1286"/>
      <c r="H308" s="1286"/>
      <c r="I308" s="1287"/>
      <c r="J308" s="1287"/>
      <c r="K308" s="1287"/>
      <c r="L308" s="1287"/>
      <c r="M308" s="1288"/>
      <c r="N308" s="1288"/>
      <c r="O308" s="1287"/>
      <c r="P308" s="1287"/>
      <c r="Q308" s="1287"/>
      <c r="R308" s="1287"/>
      <c r="S308" s="1288"/>
      <c r="T308" s="1288"/>
      <c r="U308" s="1288"/>
    </row>
    <row r="309" spans="1:21" ht="15" customHeight="1">
      <c r="A309" s="1286"/>
      <c r="C309" s="984"/>
      <c r="D309" s="984"/>
      <c r="E309" s="984"/>
      <c r="F309" s="984"/>
      <c r="G309" s="984"/>
      <c r="H309" s="1286"/>
      <c r="I309" s="515"/>
      <c r="J309" s="515"/>
      <c r="K309" s="515"/>
      <c r="L309" s="515"/>
      <c r="M309" s="1288"/>
      <c r="N309" s="1288"/>
      <c r="O309" s="515"/>
      <c r="P309" s="515"/>
      <c r="Q309" s="515"/>
      <c r="R309" s="515"/>
      <c r="S309" s="1288"/>
      <c r="T309" s="1288"/>
      <c r="U309" s="1288"/>
    </row>
    <row r="310" spans="1:21" ht="15" customHeight="1">
      <c r="A310" s="1040"/>
      <c r="B310" s="1041"/>
      <c r="C310" s="1042"/>
      <c r="D310" s="1042"/>
      <c r="E310" s="1042"/>
      <c r="F310" s="1043"/>
      <c r="G310" s="1043"/>
      <c r="H310" s="984"/>
      <c r="I310" s="515"/>
      <c r="J310" s="515"/>
      <c r="K310" s="515"/>
      <c r="L310" s="515"/>
      <c r="M310" s="1044"/>
      <c r="N310" s="277"/>
      <c r="O310" s="1045"/>
      <c r="P310" s="1045"/>
      <c r="Q310" s="1045"/>
      <c r="R310" s="1045"/>
      <c r="S310" s="1013"/>
      <c r="T310" s="277"/>
      <c r="U310" s="417"/>
    </row>
    <row r="311" spans="1:21" ht="15" customHeight="1">
      <c r="A311" s="1046"/>
      <c r="B311" s="1041"/>
      <c r="C311" s="1042"/>
      <c r="D311" s="1042"/>
      <c r="E311" s="1042"/>
      <c r="F311" s="1043"/>
      <c r="G311" s="1043"/>
      <c r="H311" s="984"/>
      <c r="I311" s="515"/>
      <c r="J311" s="515"/>
      <c r="K311" s="515"/>
      <c r="L311" s="515"/>
      <c r="M311" s="1044"/>
      <c r="N311" s="277"/>
      <c r="O311" s="1045"/>
      <c r="P311" s="1045"/>
      <c r="Q311" s="1045"/>
      <c r="R311" s="1045"/>
      <c r="S311" s="1013"/>
      <c r="T311" s="277"/>
      <c r="U311" s="417"/>
    </row>
    <row r="312" spans="1:21" ht="15" customHeight="1">
      <c r="A312" s="1046"/>
      <c r="B312" s="1041"/>
      <c r="C312" s="1042"/>
      <c r="D312" s="1042"/>
      <c r="E312" s="1042"/>
      <c r="F312" s="1043"/>
      <c r="G312" s="1043"/>
      <c r="H312" s="984"/>
      <c r="I312" s="515"/>
      <c r="J312" s="515"/>
      <c r="K312" s="515"/>
      <c r="L312" s="515"/>
      <c r="M312" s="1044"/>
      <c r="N312" s="277"/>
      <c r="O312" s="1045"/>
      <c r="P312" s="1045"/>
      <c r="Q312" s="1045"/>
      <c r="R312" s="1045"/>
      <c r="S312" s="1013"/>
      <c r="T312" s="277"/>
      <c r="U312" s="417"/>
    </row>
    <row r="313" spans="1:21" ht="15" customHeight="1">
      <c r="A313" s="1046"/>
      <c r="B313" s="1041"/>
      <c r="C313" s="1042"/>
      <c r="D313" s="1042"/>
      <c r="E313" s="1042"/>
      <c r="F313" s="1043"/>
      <c r="G313" s="1043"/>
      <c r="H313" s="984"/>
      <c r="I313" s="515"/>
      <c r="J313" s="515"/>
      <c r="K313" s="515"/>
      <c r="L313" s="515"/>
      <c r="M313" s="1044"/>
      <c r="N313" s="277"/>
      <c r="O313" s="1045"/>
      <c r="P313" s="1045"/>
      <c r="Q313" s="1045"/>
      <c r="R313" s="1045"/>
      <c r="S313" s="1013"/>
      <c r="T313" s="277"/>
      <c r="U313" s="417"/>
    </row>
    <row r="314" spans="1:21" ht="15" customHeight="1">
      <c r="A314" s="1046"/>
      <c r="B314" s="1041"/>
      <c r="C314" s="1042"/>
      <c r="D314" s="1042"/>
      <c r="E314" s="1042"/>
      <c r="F314" s="1043"/>
      <c r="G314" s="1043"/>
      <c r="H314" s="984"/>
      <c r="I314" s="515"/>
      <c r="J314" s="515"/>
      <c r="K314" s="515"/>
      <c r="L314" s="515"/>
      <c r="M314" s="1044"/>
      <c r="N314" s="277"/>
      <c r="O314" s="1045"/>
      <c r="P314" s="1045"/>
      <c r="Q314" s="1045"/>
      <c r="R314" s="1045"/>
      <c r="S314" s="1013"/>
      <c r="T314" s="277"/>
      <c r="U314" s="417"/>
    </row>
    <row r="315" spans="1:21" ht="15" customHeight="1">
      <c r="A315" s="1046"/>
      <c r="B315" s="1041"/>
      <c r="C315" s="1042"/>
      <c r="D315" s="1042"/>
      <c r="E315" s="1042"/>
      <c r="F315" s="1043"/>
      <c r="G315" s="1043"/>
      <c r="H315" s="984"/>
      <c r="I315" s="515"/>
      <c r="J315" s="515"/>
      <c r="K315" s="515"/>
      <c r="L315" s="515"/>
      <c r="M315" s="1044"/>
      <c r="N315" s="277"/>
      <c r="O315" s="1045"/>
      <c r="P315" s="1045"/>
      <c r="Q315" s="1045"/>
      <c r="R315" s="1045"/>
      <c r="S315" s="1013"/>
      <c r="T315" s="277"/>
      <c r="U315" s="417"/>
    </row>
    <row r="316" spans="1:21" ht="15" customHeight="1">
      <c r="A316" s="1046"/>
      <c r="B316" s="1041"/>
      <c r="C316" s="1042"/>
      <c r="D316" s="1042"/>
      <c r="E316" s="1042"/>
      <c r="F316" s="1043"/>
      <c r="G316" s="1043"/>
      <c r="H316" s="984"/>
      <c r="I316" s="515"/>
      <c r="J316" s="515"/>
      <c r="K316" s="515"/>
      <c r="L316" s="515"/>
      <c r="M316" s="1044"/>
      <c r="N316" s="277"/>
      <c r="O316" s="1045"/>
      <c r="P316" s="1045"/>
      <c r="Q316" s="1045"/>
      <c r="R316" s="1045"/>
      <c r="S316" s="1013"/>
      <c r="T316" s="277"/>
      <c r="U316" s="417"/>
    </row>
    <row r="317" spans="1:21" ht="15" customHeight="1">
      <c r="A317" s="1046"/>
      <c r="B317" s="1041"/>
      <c r="C317" s="1042"/>
      <c r="D317" s="1042"/>
      <c r="E317" s="1042"/>
      <c r="F317" s="1043"/>
      <c r="G317" s="1043"/>
      <c r="H317" s="984"/>
      <c r="I317" s="515"/>
      <c r="J317" s="515"/>
      <c r="K317" s="515"/>
      <c r="L317" s="515"/>
      <c r="M317" s="1044"/>
      <c r="N317" s="277"/>
      <c r="O317" s="1045"/>
      <c r="P317" s="1045"/>
      <c r="Q317" s="1045"/>
      <c r="R317" s="1045"/>
      <c r="S317" s="1013"/>
      <c r="T317" s="277"/>
      <c r="U317" s="417"/>
    </row>
    <row r="318" spans="1:21" ht="15" customHeight="1">
      <c r="A318" s="1046"/>
      <c r="B318" s="1041"/>
      <c r="C318" s="1042"/>
      <c r="D318" s="1042"/>
      <c r="E318" s="1042"/>
      <c r="F318" s="1043"/>
      <c r="G318" s="1043"/>
      <c r="H318" s="984"/>
      <c r="I318" s="515"/>
      <c r="J318" s="515"/>
      <c r="K318" s="515"/>
      <c r="L318" s="515"/>
      <c r="M318" s="1044"/>
      <c r="N318" s="277"/>
      <c r="O318" s="1045"/>
      <c r="P318" s="1045"/>
      <c r="Q318" s="1045"/>
      <c r="R318" s="1045"/>
      <c r="S318" s="1013"/>
      <c r="T318" s="277"/>
      <c r="U318" s="417"/>
    </row>
    <row r="319" spans="1:21" ht="15" customHeight="1">
      <c r="A319" s="1046"/>
      <c r="B319" s="1041"/>
      <c r="C319" s="1042"/>
      <c r="D319" s="1042"/>
      <c r="E319" s="1042"/>
      <c r="F319" s="1043"/>
      <c r="G319" s="1043"/>
      <c r="H319" s="984"/>
      <c r="I319" s="515"/>
      <c r="J319" s="515"/>
      <c r="K319" s="515"/>
      <c r="L319" s="515"/>
      <c r="M319" s="1044"/>
      <c r="N319" s="277"/>
      <c r="O319" s="1045"/>
      <c r="P319" s="1045"/>
      <c r="Q319" s="1045"/>
      <c r="R319" s="1045"/>
      <c r="S319" s="1013"/>
      <c r="T319" s="277"/>
      <c r="U319" s="417"/>
    </row>
    <row r="320" spans="1:21" ht="15" customHeight="1">
      <c r="A320" s="250"/>
      <c r="B320" s="250"/>
      <c r="C320" s="251"/>
      <c r="D320" s="251"/>
      <c r="E320" s="251"/>
      <c r="F320" s="252"/>
      <c r="G320" s="252"/>
      <c r="H320" s="1047"/>
      <c r="I320" s="257"/>
      <c r="J320" s="257"/>
      <c r="K320" s="257"/>
      <c r="L320" s="257"/>
      <c r="M320" s="258"/>
      <c r="N320" s="259"/>
      <c r="O320" s="255"/>
      <c r="P320" s="255"/>
      <c r="Q320" s="255"/>
      <c r="R320" s="255"/>
      <c r="S320" s="191"/>
      <c r="T320" s="259"/>
      <c r="U320" s="260"/>
    </row>
    <row r="321" spans="1:21" ht="15" customHeight="1">
      <c r="A321" s="261"/>
      <c r="B321" s="250"/>
      <c r="C321" s="251"/>
      <c r="D321" s="251"/>
      <c r="E321" s="251"/>
      <c r="F321" s="252"/>
      <c r="G321" s="252"/>
      <c r="H321" s="1047"/>
      <c r="I321" s="257"/>
      <c r="J321" s="257"/>
      <c r="K321" s="257"/>
      <c r="L321" s="257"/>
      <c r="M321" s="258"/>
      <c r="N321" s="259"/>
      <c r="O321" s="255"/>
      <c r="P321" s="255"/>
      <c r="Q321" s="255"/>
      <c r="R321" s="255"/>
      <c r="S321" s="191"/>
      <c r="T321" s="259"/>
      <c r="U321" s="260"/>
    </row>
    <row r="322" spans="1:21" ht="15" customHeight="1">
      <c r="B322" s="1041"/>
      <c r="C322" s="1048"/>
      <c r="D322" s="1048"/>
      <c r="E322" s="1048"/>
      <c r="F322" s="417"/>
      <c r="G322" s="417"/>
      <c r="H322" s="984"/>
      <c r="I322" s="515"/>
      <c r="J322" s="515"/>
      <c r="K322" s="379"/>
      <c r="L322" s="1044"/>
      <c r="M322" s="1044"/>
      <c r="N322" s="277"/>
      <c r="O322" s="1049"/>
      <c r="P322" s="1049"/>
      <c r="Q322" s="515"/>
      <c r="R322" s="1049"/>
      <c r="S322" s="1044"/>
      <c r="T322" s="277"/>
      <c r="U322" s="277"/>
    </row>
    <row r="323" spans="1:21" ht="15" customHeight="1">
      <c r="A323" s="1050"/>
      <c r="B323" s="1280"/>
      <c r="C323" s="1048"/>
      <c r="D323" s="1048"/>
      <c r="E323" s="1048"/>
      <c r="F323" s="417"/>
      <c r="G323" s="417"/>
      <c r="H323" s="984"/>
      <c r="I323" s="516"/>
      <c r="J323" s="516"/>
      <c r="K323" s="516"/>
      <c r="L323" s="516"/>
      <c r="M323" s="515"/>
      <c r="N323" s="1051"/>
      <c r="O323" s="1049"/>
      <c r="P323" s="1049"/>
      <c r="Q323" s="1049"/>
      <c r="R323" s="1049"/>
      <c r="S323" s="1044"/>
      <c r="T323" s="277"/>
      <c r="U323" s="277"/>
    </row>
    <row r="324" spans="1:21" ht="15.75" customHeight="1">
      <c r="B324" s="1280"/>
      <c r="D324" s="1048"/>
      <c r="E324" s="1048"/>
      <c r="F324" s="1048"/>
      <c r="G324" s="417"/>
      <c r="H324" s="515"/>
      <c r="I324" s="515"/>
      <c r="J324" s="515"/>
      <c r="K324" s="515"/>
      <c r="L324" s="515"/>
      <c r="M324" s="1044"/>
      <c r="N324" s="265"/>
      <c r="O324" s="1044"/>
      <c r="P324" s="1044"/>
      <c r="Q324" s="1044"/>
      <c r="R324" s="1044"/>
      <c r="S324" s="1044"/>
      <c r="T324" s="417"/>
      <c r="U324" s="417"/>
    </row>
    <row r="325" spans="1:21" ht="21" customHeight="1">
      <c r="A325" s="1285"/>
      <c r="B325" s="1285"/>
      <c r="C325" s="1285"/>
      <c r="D325" s="1285"/>
      <c r="E325" s="1285"/>
      <c r="F325" s="1285"/>
      <c r="G325" s="1285"/>
      <c r="H325" s="1285"/>
      <c r="I325" s="1285"/>
      <c r="J325" s="1285"/>
      <c r="K325" s="1285"/>
      <c r="L325" s="1285"/>
      <c r="M325" s="1285"/>
      <c r="N325" s="1285"/>
      <c r="O325" s="1285"/>
      <c r="P325" s="1285"/>
      <c r="Q325" s="1285"/>
      <c r="R325" s="1285"/>
      <c r="S325" s="1285"/>
      <c r="T325" s="1285"/>
      <c r="U325" s="1285"/>
    </row>
    <row r="326" spans="1:21" ht="15" customHeight="1">
      <c r="A326" s="1286"/>
      <c r="C326" s="1286"/>
      <c r="D326" s="1286"/>
      <c r="E326" s="1286"/>
      <c r="F326" s="1286"/>
      <c r="G326" s="1286"/>
      <c r="H326" s="1286"/>
      <c r="I326" s="1287"/>
      <c r="J326" s="1287"/>
      <c r="K326" s="1287"/>
      <c r="L326" s="1287"/>
      <c r="M326" s="1288"/>
      <c r="N326" s="1288"/>
      <c r="O326" s="1287"/>
      <c r="P326" s="1287"/>
      <c r="Q326" s="1287"/>
      <c r="R326" s="1287"/>
      <c r="S326" s="1288"/>
      <c r="T326" s="1288"/>
      <c r="U326" s="1288"/>
    </row>
    <row r="327" spans="1:21" ht="15" customHeight="1">
      <c r="A327" s="1286"/>
      <c r="C327" s="984"/>
      <c r="D327" s="984"/>
      <c r="E327" s="984"/>
      <c r="F327" s="984"/>
      <c r="G327" s="984"/>
      <c r="H327" s="1286"/>
      <c r="I327" s="515"/>
      <c r="J327" s="515"/>
      <c r="K327" s="515"/>
      <c r="L327" s="515"/>
      <c r="M327" s="1288"/>
      <c r="N327" s="1288"/>
      <c r="O327" s="515"/>
      <c r="P327" s="515"/>
      <c r="Q327" s="515"/>
      <c r="R327" s="515"/>
      <c r="S327" s="1288"/>
      <c r="T327" s="1288"/>
      <c r="U327" s="1288"/>
    </row>
    <row r="328" spans="1:21" ht="15" customHeight="1">
      <c r="A328" s="1040"/>
      <c r="B328" s="1041"/>
      <c r="C328" s="1042"/>
      <c r="D328" s="1042"/>
      <c r="E328" s="1042"/>
      <c r="F328" s="1043"/>
      <c r="G328" s="1043"/>
      <c r="H328" s="984"/>
      <c r="I328" s="515"/>
      <c r="J328" s="515"/>
      <c r="K328" s="515"/>
      <c r="L328" s="515"/>
      <c r="M328" s="1044"/>
      <c r="N328" s="277"/>
      <c r="O328" s="1045"/>
      <c r="P328" s="1045"/>
      <c r="Q328" s="1045"/>
      <c r="R328" s="1045"/>
      <c r="S328" s="1013"/>
      <c r="T328" s="277"/>
      <c r="U328" s="417"/>
    </row>
    <row r="329" spans="1:21" ht="15" customHeight="1">
      <c r="A329" s="1046"/>
      <c r="B329" s="1041"/>
      <c r="C329" s="1042"/>
      <c r="D329" s="1042"/>
      <c r="E329" s="1042"/>
      <c r="F329" s="1043"/>
      <c r="G329" s="1043"/>
      <c r="H329" s="984"/>
      <c r="I329" s="515"/>
      <c r="J329" s="515"/>
      <c r="K329" s="515"/>
      <c r="L329" s="515"/>
      <c r="M329" s="1044"/>
      <c r="N329" s="277"/>
      <c r="O329" s="1045"/>
      <c r="P329" s="1045"/>
      <c r="Q329" s="1045"/>
      <c r="R329" s="1045"/>
      <c r="S329" s="1013"/>
      <c r="T329" s="277"/>
      <c r="U329" s="417"/>
    </row>
    <row r="330" spans="1:21" ht="15" customHeight="1">
      <c r="A330" s="1046"/>
      <c r="B330" s="1041"/>
      <c r="C330" s="1042"/>
      <c r="D330" s="1042"/>
      <c r="E330" s="1042"/>
      <c r="F330" s="1043"/>
      <c r="G330" s="1043"/>
      <c r="H330" s="984"/>
      <c r="I330" s="515"/>
      <c r="J330" s="515"/>
      <c r="K330" s="515"/>
      <c r="L330" s="515"/>
      <c r="M330" s="1044"/>
      <c r="N330" s="277"/>
      <c r="O330" s="1045"/>
      <c r="P330" s="1045"/>
      <c r="Q330" s="1045"/>
      <c r="R330" s="1045"/>
      <c r="S330" s="1013"/>
      <c r="T330" s="277"/>
      <c r="U330" s="417"/>
    </row>
    <row r="331" spans="1:21" ht="15" customHeight="1">
      <c r="A331" s="1046"/>
      <c r="B331" s="1041"/>
      <c r="C331" s="1042"/>
      <c r="D331" s="1042"/>
      <c r="E331" s="1042"/>
      <c r="F331" s="1043"/>
      <c r="G331" s="1043"/>
      <c r="H331" s="984"/>
      <c r="I331" s="515"/>
      <c r="J331" s="515"/>
      <c r="K331" s="515"/>
      <c r="L331" s="515"/>
      <c r="M331" s="1044"/>
      <c r="N331" s="277"/>
      <c r="O331" s="1045"/>
      <c r="P331" s="1045"/>
      <c r="Q331" s="1045"/>
      <c r="R331" s="1045"/>
      <c r="S331" s="1013"/>
      <c r="T331" s="277"/>
      <c r="U331" s="417"/>
    </row>
    <row r="332" spans="1:21" ht="15" customHeight="1">
      <c r="A332" s="1046"/>
      <c r="B332" s="1041"/>
      <c r="C332" s="1042"/>
      <c r="D332" s="1042"/>
      <c r="E332" s="1042"/>
      <c r="F332" s="1043"/>
      <c r="G332" s="1043"/>
      <c r="H332" s="984"/>
      <c r="I332" s="515"/>
      <c r="J332" s="515"/>
      <c r="K332" s="515"/>
      <c r="L332" s="515"/>
      <c r="M332" s="1044"/>
      <c r="N332" s="277"/>
      <c r="O332" s="1045"/>
      <c r="P332" s="1045"/>
      <c r="Q332" s="1045"/>
      <c r="R332" s="1045"/>
      <c r="S332" s="1013"/>
      <c r="T332" s="277"/>
      <c r="U332" s="417"/>
    </row>
    <row r="333" spans="1:21" ht="15" customHeight="1">
      <c r="A333" s="1046"/>
      <c r="B333" s="1041"/>
      <c r="C333" s="1042"/>
      <c r="D333" s="1042"/>
      <c r="E333" s="1042"/>
      <c r="F333" s="1043"/>
      <c r="G333" s="1043"/>
      <c r="H333" s="984"/>
      <c r="I333" s="515"/>
      <c r="J333" s="515"/>
      <c r="K333" s="515"/>
      <c r="L333" s="515"/>
      <c r="M333" s="1044"/>
      <c r="N333" s="277"/>
      <c r="O333" s="1045"/>
      <c r="P333" s="1045"/>
      <c r="Q333" s="1045"/>
      <c r="R333" s="1045"/>
      <c r="S333" s="1013"/>
      <c r="T333" s="277"/>
      <c r="U333" s="417"/>
    </row>
    <row r="334" spans="1:21" ht="15" customHeight="1">
      <c r="A334" s="1046"/>
      <c r="B334" s="1041"/>
      <c r="C334" s="1042"/>
      <c r="D334" s="1042"/>
      <c r="E334" s="1042"/>
      <c r="F334" s="1043"/>
      <c r="G334" s="1043"/>
      <c r="H334" s="984"/>
      <c r="I334" s="515"/>
      <c r="J334" s="515"/>
      <c r="K334" s="515"/>
      <c r="L334" s="515"/>
      <c r="M334" s="1044"/>
      <c r="N334" s="277"/>
      <c r="O334" s="1045"/>
      <c r="P334" s="1045"/>
      <c r="Q334" s="1045"/>
      <c r="R334" s="1045"/>
      <c r="S334" s="1013"/>
      <c r="T334" s="277"/>
      <c r="U334" s="417"/>
    </row>
    <row r="335" spans="1:21" ht="15" customHeight="1">
      <c r="A335" s="1046"/>
      <c r="B335" s="1041"/>
      <c r="C335" s="1042"/>
      <c r="D335" s="1042"/>
      <c r="E335" s="1042"/>
      <c r="F335" s="1043"/>
      <c r="G335" s="1043"/>
      <c r="H335" s="984"/>
      <c r="I335" s="515"/>
      <c r="J335" s="515"/>
      <c r="K335" s="515"/>
      <c r="L335" s="515"/>
      <c r="M335" s="1044"/>
      <c r="N335" s="277"/>
      <c r="O335" s="1045"/>
      <c r="P335" s="1045"/>
      <c r="Q335" s="1045"/>
      <c r="R335" s="1045"/>
      <c r="S335" s="1013"/>
      <c r="T335" s="277"/>
      <c r="U335" s="417"/>
    </row>
    <row r="336" spans="1:21" ht="15" customHeight="1">
      <c r="A336" s="1046"/>
      <c r="B336" s="1041"/>
      <c r="C336" s="1042"/>
      <c r="D336" s="1042"/>
      <c r="E336" s="1042"/>
      <c r="F336" s="1043"/>
      <c r="G336" s="1043"/>
      <c r="H336" s="984"/>
      <c r="I336" s="515"/>
      <c r="J336" s="515"/>
      <c r="K336" s="515"/>
      <c r="L336" s="515"/>
      <c r="M336" s="1044"/>
      <c r="N336" s="277"/>
      <c r="O336" s="1045"/>
      <c r="P336" s="1045"/>
      <c r="Q336" s="1045"/>
      <c r="R336" s="1045"/>
      <c r="S336" s="1013"/>
      <c r="T336" s="277"/>
      <c r="U336" s="417"/>
    </row>
    <row r="337" spans="1:21" ht="15" customHeight="1">
      <c r="A337" s="1046"/>
      <c r="B337" s="1041"/>
      <c r="C337" s="1042"/>
      <c r="D337" s="1042"/>
      <c r="E337" s="1042"/>
      <c r="F337" s="1043"/>
      <c r="G337" s="1043"/>
      <c r="H337" s="984"/>
      <c r="I337" s="515"/>
      <c r="J337" s="515"/>
      <c r="K337" s="515"/>
      <c r="L337" s="515"/>
      <c r="M337" s="1044"/>
      <c r="N337" s="277"/>
      <c r="O337" s="1045"/>
      <c r="P337" s="1045"/>
      <c r="Q337" s="1045"/>
      <c r="R337" s="1045"/>
      <c r="S337" s="1013"/>
      <c r="T337" s="277"/>
      <c r="U337" s="417"/>
    </row>
    <row r="338" spans="1:21" ht="15" customHeight="1">
      <c r="A338" s="250"/>
      <c r="B338" s="250"/>
      <c r="C338" s="251"/>
      <c r="D338" s="251"/>
      <c r="E338" s="251"/>
      <c r="F338" s="252"/>
      <c r="G338" s="252"/>
      <c r="H338" s="1047"/>
      <c r="I338" s="257"/>
      <c r="J338" s="257"/>
      <c r="K338" s="257"/>
      <c r="L338" s="257"/>
      <c r="M338" s="258"/>
      <c r="N338" s="259"/>
      <c r="O338" s="255"/>
      <c r="P338" s="255"/>
      <c r="Q338" s="255"/>
      <c r="R338" s="255"/>
      <c r="S338" s="191"/>
      <c r="T338" s="259"/>
      <c r="U338" s="260"/>
    </row>
    <row r="339" spans="1:21" ht="15" customHeight="1">
      <c r="A339" s="261"/>
      <c r="B339" s="250"/>
      <c r="C339" s="251"/>
      <c r="D339" s="251"/>
      <c r="E339" s="251"/>
      <c r="F339" s="252"/>
      <c r="G339" s="252"/>
      <c r="H339" s="1047"/>
      <c r="I339" s="257"/>
      <c r="J339" s="257"/>
      <c r="K339" s="257"/>
      <c r="L339" s="257"/>
      <c r="M339" s="258"/>
      <c r="N339" s="259"/>
      <c r="O339" s="255"/>
      <c r="P339" s="255"/>
      <c r="Q339" s="255"/>
      <c r="R339" s="255"/>
      <c r="S339" s="191"/>
      <c r="T339" s="259"/>
      <c r="U339" s="260"/>
    </row>
    <row r="340" spans="1:21" ht="15" customHeight="1">
      <c r="B340" s="1041"/>
      <c r="C340" s="1048"/>
      <c r="D340" s="1048"/>
      <c r="E340" s="1048"/>
      <c r="F340" s="417"/>
      <c r="G340" s="417"/>
      <c r="H340" s="984"/>
      <c r="I340" s="515"/>
      <c r="J340" s="515"/>
      <c r="K340" s="379"/>
      <c r="L340" s="1044"/>
      <c r="M340" s="1044"/>
      <c r="N340" s="277"/>
      <c r="O340" s="1049"/>
      <c r="P340" s="1049"/>
      <c r="Q340" s="515"/>
      <c r="R340" s="1049"/>
      <c r="S340" s="1044"/>
      <c r="T340" s="277"/>
      <c r="U340" s="277"/>
    </row>
    <row r="341" spans="1:21" ht="15" customHeight="1">
      <c r="A341" s="1050"/>
      <c r="B341" s="1280"/>
      <c r="C341" s="1048"/>
      <c r="D341" s="1048"/>
      <c r="E341" s="1048"/>
      <c r="F341" s="417"/>
      <c r="G341" s="417"/>
      <c r="H341" s="984"/>
      <c r="I341" s="515"/>
      <c r="J341" s="515"/>
      <c r="K341" s="515"/>
      <c r="L341" s="515"/>
      <c r="M341" s="515"/>
      <c r="N341" s="1051"/>
      <c r="O341" s="1049"/>
      <c r="P341" s="1049"/>
      <c r="Q341" s="1049"/>
      <c r="R341" s="1049"/>
      <c r="S341" s="1044"/>
      <c r="T341" s="277"/>
      <c r="U341" s="277"/>
    </row>
    <row r="342" spans="1:21" ht="15" customHeight="1">
      <c r="B342" s="1280"/>
      <c r="D342" s="1048"/>
      <c r="E342" s="1048"/>
      <c r="F342" s="1048"/>
      <c r="G342" s="417"/>
      <c r="H342" s="515"/>
      <c r="I342" s="515"/>
      <c r="J342" s="515"/>
      <c r="K342" s="515"/>
      <c r="L342" s="515"/>
      <c r="M342" s="1044"/>
      <c r="N342" s="265"/>
      <c r="O342" s="1044"/>
      <c r="P342" s="1044"/>
      <c r="Q342" s="1044"/>
      <c r="R342" s="1044"/>
      <c r="S342" s="1044"/>
      <c r="T342" s="417"/>
      <c r="U342" s="417"/>
    </row>
    <row r="343" spans="1:21" ht="21" customHeight="1">
      <c r="A343" s="1285"/>
      <c r="B343" s="1285"/>
      <c r="C343" s="1285"/>
      <c r="D343" s="1285"/>
      <c r="E343" s="1285"/>
      <c r="F343" s="1285"/>
      <c r="G343" s="1285"/>
      <c r="H343" s="1285"/>
      <c r="I343" s="1285"/>
      <c r="J343" s="1285"/>
      <c r="K343" s="1285"/>
      <c r="L343" s="1285"/>
      <c r="M343" s="1285"/>
      <c r="N343" s="1285"/>
      <c r="O343" s="1285"/>
      <c r="P343" s="1285"/>
      <c r="Q343" s="1285"/>
      <c r="R343" s="1285"/>
      <c r="S343" s="1285"/>
      <c r="T343" s="1285"/>
      <c r="U343" s="1285"/>
    </row>
    <row r="344" spans="1:21" ht="15" customHeight="1">
      <c r="A344" s="1286"/>
      <c r="C344" s="1286"/>
      <c r="D344" s="1286"/>
      <c r="E344" s="1286"/>
      <c r="F344" s="1286"/>
      <c r="G344" s="1286"/>
      <c r="H344" s="1286"/>
      <c r="I344" s="1287"/>
      <c r="J344" s="1287"/>
      <c r="K344" s="1287"/>
      <c r="L344" s="1287"/>
      <c r="M344" s="1288"/>
      <c r="N344" s="1288"/>
      <c r="O344" s="1287"/>
      <c r="P344" s="1287"/>
      <c r="Q344" s="1287"/>
      <c r="R344" s="1287"/>
      <c r="S344" s="1288"/>
      <c r="T344" s="1288"/>
      <c r="U344" s="1288"/>
    </row>
    <row r="345" spans="1:21" ht="15" customHeight="1">
      <c r="A345" s="1286"/>
      <c r="C345" s="984"/>
      <c r="D345" s="984"/>
      <c r="E345" s="984"/>
      <c r="F345" s="984"/>
      <c r="G345" s="984"/>
      <c r="H345" s="1286"/>
      <c r="I345" s="515"/>
      <c r="J345" s="515"/>
      <c r="K345" s="515"/>
      <c r="L345" s="515"/>
      <c r="M345" s="1288"/>
      <c r="N345" s="1288"/>
      <c r="O345" s="515"/>
      <c r="P345" s="515"/>
      <c r="Q345" s="515"/>
      <c r="R345" s="515"/>
      <c r="S345" s="1288"/>
      <c r="T345" s="1288"/>
      <c r="U345" s="1288"/>
    </row>
    <row r="346" spans="1:21" ht="15" customHeight="1">
      <c r="A346" s="1040"/>
      <c r="B346" s="1041"/>
      <c r="C346" s="1042"/>
      <c r="D346" s="1042"/>
      <c r="E346" s="1042"/>
      <c r="F346" s="1043"/>
      <c r="G346" s="1043"/>
      <c r="H346" s="984"/>
      <c r="I346" s="515"/>
      <c r="J346" s="515"/>
      <c r="K346" s="515"/>
      <c r="L346" s="515"/>
      <c r="M346" s="1044"/>
      <c r="N346" s="277"/>
      <c r="O346" s="1045"/>
      <c r="P346" s="1045"/>
      <c r="Q346" s="1045"/>
      <c r="R346" s="1045"/>
      <c r="S346" s="1013"/>
      <c r="T346" s="277"/>
      <c r="U346" s="417"/>
    </row>
    <row r="347" spans="1:21" ht="15" customHeight="1">
      <c r="A347" s="1046"/>
      <c r="B347" s="1041"/>
      <c r="C347" s="1042"/>
      <c r="D347" s="1042"/>
      <c r="E347" s="1042"/>
      <c r="F347" s="1043"/>
      <c r="G347" s="1043"/>
      <c r="H347" s="984"/>
      <c r="I347" s="515"/>
      <c r="J347" s="515"/>
      <c r="K347" s="515"/>
      <c r="L347" s="515"/>
      <c r="M347" s="1044"/>
      <c r="N347" s="277"/>
      <c r="O347" s="1045"/>
      <c r="P347" s="1045"/>
      <c r="Q347" s="1045"/>
      <c r="R347" s="1045"/>
      <c r="S347" s="1013"/>
      <c r="T347" s="277"/>
      <c r="U347" s="417"/>
    </row>
    <row r="348" spans="1:21" ht="15" customHeight="1">
      <c r="A348" s="1046"/>
      <c r="B348" s="1041"/>
      <c r="C348" s="1042"/>
      <c r="D348" s="1042"/>
      <c r="E348" s="1042"/>
      <c r="F348" s="1043"/>
      <c r="G348" s="1043"/>
      <c r="H348" s="984"/>
      <c r="I348" s="515"/>
      <c r="J348" s="515"/>
      <c r="K348" s="515"/>
      <c r="L348" s="515"/>
      <c r="M348" s="1044"/>
      <c r="N348" s="277"/>
      <c r="O348" s="1045"/>
      <c r="P348" s="1045"/>
      <c r="Q348" s="1045"/>
      <c r="R348" s="1045"/>
      <c r="S348" s="1013"/>
      <c r="T348" s="277"/>
      <c r="U348" s="417"/>
    </row>
    <row r="349" spans="1:21" ht="15" customHeight="1">
      <c r="A349" s="1046"/>
      <c r="B349" s="1041"/>
      <c r="C349" s="1042"/>
      <c r="D349" s="1042"/>
      <c r="E349" s="1042"/>
      <c r="F349" s="1043"/>
      <c r="G349" s="1043"/>
      <c r="H349" s="984"/>
      <c r="I349" s="515"/>
      <c r="J349" s="515"/>
      <c r="K349" s="515"/>
      <c r="L349" s="515"/>
      <c r="M349" s="1044"/>
      <c r="N349" s="277"/>
      <c r="O349" s="1045"/>
      <c r="P349" s="1045"/>
      <c r="Q349" s="1045"/>
      <c r="R349" s="1045"/>
      <c r="S349" s="1013"/>
      <c r="T349" s="277"/>
      <c r="U349" s="417"/>
    </row>
    <row r="350" spans="1:21" ht="15" customHeight="1">
      <c r="A350" s="1046"/>
      <c r="B350" s="1041"/>
      <c r="C350" s="1042"/>
      <c r="D350" s="1042"/>
      <c r="E350" s="1042"/>
      <c r="F350" s="1043"/>
      <c r="G350" s="1043"/>
      <c r="H350" s="984"/>
      <c r="I350" s="515"/>
      <c r="J350" s="515"/>
      <c r="K350" s="515"/>
      <c r="L350" s="515"/>
      <c r="M350" s="1044"/>
      <c r="N350" s="277"/>
      <c r="O350" s="1045"/>
      <c r="P350" s="1045"/>
      <c r="Q350" s="1045"/>
      <c r="R350" s="1045"/>
      <c r="S350" s="1013"/>
      <c r="T350" s="277"/>
      <c r="U350" s="417"/>
    </row>
    <row r="351" spans="1:21" ht="15" customHeight="1">
      <c r="A351" s="1046"/>
      <c r="B351" s="1041"/>
      <c r="C351" s="1042"/>
      <c r="D351" s="1042"/>
      <c r="E351" s="1042"/>
      <c r="F351" s="1043"/>
      <c r="G351" s="1043"/>
      <c r="H351" s="984"/>
      <c r="I351" s="515"/>
      <c r="J351" s="515"/>
      <c r="K351" s="515"/>
      <c r="L351" s="515"/>
      <c r="M351" s="1044"/>
      <c r="N351" s="277"/>
      <c r="O351" s="1045"/>
      <c r="P351" s="1045"/>
      <c r="Q351" s="1045"/>
      <c r="R351" s="1045"/>
      <c r="S351" s="1013"/>
      <c r="T351" s="277"/>
      <c r="U351" s="417"/>
    </row>
    <row r="352" spans="1:21" ht="15" customHeight="1">
      <c r="A352" s="1046"/>
      <c r="B352" s="1041"/>
      <c r="C352" s="1042"/>
      <c r="D352" s="1042"/>
      <c r="E352" s="1042"/>
      <c r="F352" s="1043"/>
      <c r="G352" s="1043"/>
      <c r="H352" s="984"/>
      <c r="I352" s="515"/>
      <c r="J352" s="515"/>
      <c r="K352" s="515"/>
      <c r="L352" s="515"/>
      <c r="M352" s="1044"/>
      <c r="N352" s="277"/>
      <c r="O352" s="1045"/>
      <c r="P352" s="1045"/>
      <c r="Q352" s="1045"/>
      <c r="R352" s="1045"/>
      <c r="S352" s="1013"/>
      <c r="T352" s="277"/>
      <c r="U352" s="417"/>
    </row>
    <row r="353" spans="1:21" ht="15" customHeight="1">
      <c r="A353" s="1046"/>
      <c r="B353" s="1041"/>
      <c r="C353" s="1042"/>
      <c r="D353" s="1042"/>
      <c r="E353" s="1042"/>
      <c r="F353" s="1043"/>
      <c r="G353" s="1043"/>
      <c r="H353" s="984"/>
      <c r="I353" s="515"/>
      <c r="J353" s="515"/>
      <c r="K353" s="515"/>
      <c r="L353" s="515"/>
      <c r="M353" s="1044"/>
      <c r="N353" s="277"/>
      <c r="O353" s="1045"/>
      <c r="P353" s="1045"/>
      <c r="Q353" s="1045"/>
      <c r="R353" s="1045"/>
      <c r="S353" s="1013"/>
      <c r="T353" s="277"/>
      <c r="U353" s="417"/>
    </row>
    <row r="354" spans="1:21" ht="15" customHeight="1">
      <c r="A354" s="1046"/>
      <c r="B354" s="1041"/>
      <c r="C354" s="1042"/>
      <c r="D354" s="1042"/>
      <c r="E354" s="1042"/>
      <c r="F354" s="1043"/>
      <c r="G354" s="1043"/>
      <c r="H354" s="984"/>
      <c r="I354" s="515"/>
      <c r="J354" s="515"/>
      <c r="K354" s="515"/>
      <c r="L354" s="515"/>
      <c r="M354" s="1044"/>
      <c r="N354" s="277"/>
      <c r="O354" s="1045"/>
      <c r="P354" s="1045"/>
      <c r="Q354" s="1045"/>
      <c r="R354" s="1045"/>
      <c r="S354" s="1013"/>
      <c r="T354" s="277"/>
      <c r="U354" s="417"/>
    </row>
    <row r="355" spans="1:21" ht="15" customHeight="1">
      <c r="A355" s="1046"/>
      <c r="B355" s="1041"/>
      <c r="C355" s="1042"/>
      <c r="D355" s="1042"/>
      <c r="E355" s="1042"/>
      <c r="F355" s="1043"/>
      <c r="G355" s="1043"/>
      <c r="H355" s="984"/>
      <c r="I355" s="515"/>
      <c r="J355" s="515"/>
      <c r="K355" s="515"/>
      <c r="L355" s="515"/>
      <c r="M355" s="1044"/>
      <c r="N355" s="277"/>
      <c r="O355" s="1045"/>
      <c r="P355" s="1045"/>
      <c r="Q355" s="1045"/>
      <c r="R355" s="1045"/>
      <c r="S355" s="1013"/>
      <c r="T355" s="277"/>
      <c r="U355" s="417"/>
    </row>
    <row r="356" spans="1:21" ht="15" customHeight="1">
      <c r="A356" s="250"/>
      <c r="B356" s="250"/>
      <c r="C356" s="251"/>
      <c r="D356" s="251"/>
      <c r="E356" s="251"/>
      <c r="F356" s="252"/>
      <c r="G356" s="252"/>
      <c r="H356" s="1047"/>
      <c r="I356" s="257"/>
      <c r="J356" s="257"/>
      <c r="K356" s="257"/>
      <c r="L356" s="257"/>
      <c r="M356" s="258"/>
      <c r="N356" s="259"/>
      <c r="O356" s="255"/>
      <c r="P356" s="255"/>
      <c r="Q356" s="255"/>
      <c r="R356" s="255"/>
      <c r="S356" s="191"/>
      <c r="T356" s="259"/>
      <c r="U356" s="260"/>
    </row>
    <row r="357" spans="1:21" ht="15" customHeight="1">
      <c r="A357" s="261"/>
      <c r="B357" s="250"/>
      <c r="C357" s="251"/>
      <c r="D357" s="251"/>
      <c r="E357" s="251"/>
      <c r="F357" s="252"/>
      <c r="G357" s="252"/>
      <c r="H357" s="1047"/>
      <c r="I357" s="257"/>
      <c r="J357" s="257"/>
      <c r="K357" s="257"/>
      <c r="L357" s="257"/>
      <c r="M357" s="258"/>
      <c r="N357" s="259"/>
      <c r="O357" s="255"/>
      <c r="P357" s="255"/>
      <c r="Q357" s="255"/>
      <c r="R357" s="255"/>
      <c r="S357" s="191"/>
      <c r="T357" s="259"/>
      <c r="U357" s="260"/>
    </row>
    <row r="358" spans="1:21" ht="15" customHeight="1">
      <c r="B358" s="1041"/>
      <c r="C358" s="1048"/>
      <c r="D358" s="1048"/>
      <c r="E358" s="1048"/>
      <c r="F358" s="417"/>
      <c r="G358" s="417"/>
      <c r="H358" s="984"/>
      <c r="I358" s="515"/>
      <c r="J358" s="515"/>
      <c r="K358" s="379"/>
      <c r="L358" s="1044"/>
      <c r="M358" s="1044"/>
      <c r="N358" s="277"/>
      <c r="O358" s="1049"/>
      <c r="P358" s="1049"/>
      <c r="Q358" s="515"/>
      <c r="R358" s="1049"/>
      <c r="S358" s="1044"/>
      <c r="T358" s="277"/>
      <c r="U358" s="277"/>
    </row>
    <row r="359" spans="1:21" ht="15" customHeight="1">
      <c r="A359" s="1050"/>
      <c r="B359" s="1280"/>
      <c r="C359" s="1048"/>
      <c r="D359" s="1048"/>
      <c r="E359" s="1048"/>
      <c r="F359" s="417"/>
      <c r="G359" s="417"/>
      <c r="H359" s="984"/>
      <c r="I359" s="515"/>
      <c r="J359" s="515"/>
      <c r="K359" s="515"/>
      <c r="L359" s="515"/>
      <c r="M359" s="515"/>
      <c r="N359" s="1051"/>
      <c r="O359" s="1049"/>
      <c r="P359" s="1049"/>
      <c r="Q359" s="1049"/>
      <c r="R359" s="1049"/>
      <c r="S359" s="1044"/>
      <c r="T359" s="277"/>
      <c r="U359" s="277"/>
    </row>
    <row r="360" spans="1:21" ht="15" customHeight="1">
      <c r="B360" s="1280"/>
      <c r="D360" s="1048"/>
      <c r="E360" s="1048"/>
      <c r="F360" s="1048"/>
      <c r="G360" s="417"/>
      <c r="H360" s="515"/>
      <c r="I360" s="515"/>
      <c r="J360" s="515"/>
      <c r="K360" s="515"/>
      <c r="L360" s="515"/>
      <c r="M360" s="1044"/>
      <c r="N360" s="265"/>
      <c r="O360" s="1044"/>
      <c r="P360" s="1044"/>
      <c r="Q360" s="1044"/>
      <c r="R360" s="1044"/>
      <c r="S360" s="1044"/>
      <c r="T360" s="417"/>
      <c r="U360" s="417"/>
    </row>
    <row r="361" spans="1:21" ht="21" customHeight="1">
      <c r="A361" s="1285"/>
      <c r="B361" s="1285"/>
      <c r="C361" s="1285"/>
      <c r="D361" s="1285"/>
      <c r="E361" s="1285"/>
      <c r="F361" s="1285"/>
      <c r="G361" s="1285"/>
      <c r="H361" s="1285"/>
      <c r="I361" s="1285"/>
      <c r="J361" s="1285"/>
      <c r="K361" s="1285"/>
      <c r="L361" s="1285"/>
      <c r="M361" s="1285"/>
      <c r="N361" s="1285"/>
      <c r="O361" s="1285"/>
      <c r="P361" s="1285"/>
      <c r="Q361" s="1285"/>
      <c r="R361" s="1285"/>
      <c r="S361" s="1285"/>
      <c r="T361" s="1285"/>
      <c r="U361" s="1285"/>
    </row>
    <row r="362" spans="1:21" ht="15" customHeight="1">
      <c r="A362" s="1286"/>
      <c r="C362" s="1286"/>
      <c r="D362" s="1286"/>
      <c r="E362" s="1286"/>
      <c r="F362" s="1286"/>
      <c r="G362" s="1286"/>
      <c r="H362" s="1286"/>
      <c r="I362" s="1287"/>
      <c r="J362" s="1287"/>
      <c r="K362" s="1287"/>
      <c r="L362" s="1287"/>
      <c r="M362" s="1288"/>
      <c r="N362" s="1288"/>
      <c r="O362" s="1287"/>
      <c r="P362" s="1287"/>
      <c r="Q362" s="1287"/>
      <c r="R362" s="1287"/>
      <c r="S362" s="1288"/>
      <c r="T362" s="1288"/>
      <c r="U362" s="1288"/>
    </row>
    <row r="363" spans="1:21" ht="15" customHeight="1">
      <c r="A363" s="1286"/>
      <c r="C363" s="984"/>
      <c r="D363" s="984"/>
      <c r="E363" s="984"/>
      <c r="F363" s="984"/>
      <c r="G363" s="984"/>
      <c r="H363" s="1286"/>
      <c r="I363" s="515"/>
      <c r="J363" s="515"/>
      <c r="K363" s="515"/>
      <c r="L363" s="515"/>
      <c r="M363" s="1288"/>
      <c r="N363" s="1288"/>
      <c r="O363" s="515"/>
      <c r="P363" s="515"/>
      <c r="Q363" s="515"/>
      <c r="R363" s="515"/>
      <c r="S363" s="1288"/>
      <c r="T363" s="1288"/>
      <c r="U363" s="1288"/>
    </row>
    <row r="364" spans="1:21" ht="15" customHeight="1">
      <c r="A364" s="1040"/>
      <c r="B364" s="1041"/>
      <c r="C364" s="1042"/>
      <c r="D364" s="1042"/>
      <c r="E364" s="1042"/>
      <c r="F364" s="1043"/>
      <c r="G364" s="1043"/>
      <c r="H364" s="984"/>
      <c r="I364" s="515"/>
      <c r="J364" s="515"/>
      <c r="K364" s="515"/>
      <c r="L364" s="515"/>
      <c r="M364" s="1044"/>
      <c r="N364" s="277"/>
      <c r="O364" s="1045"/>
      <c r="P364" s="1045"/>
      <c r="Q364" s="1045"/>
      <c r="R364" s="1045"/>
      <c r="S364" s="1013"/>
      <c r="T364" s="277"/>
      <c r="U364" s="417"/>
    </row>
    <row r="365" spans="1:21" ht="15" customHeight="1">
      <c r="A365" s="1046"/>
      <c r="B365" s="1041"/>
      <c r="C365" s="1042"/>
      <c r="D365" s="1042"/>
      <c r="E365" s="1042"/>
      <c r="F365" s="1043"/>
      <c r="G365" s="1043"/>
      <c r="H365" s="984"/>
      <c r="I365" s="515"/>
      <c r="J365" s="515"/>
      <c r="K365" s="515"/>
      <c r="L365" s="515"/>
      <c r="M365" s="1044"/>
      <c r="N365" s="277"/>
      <c r="O365" s="1045"/>
      <c r="P365" s="1045"/>
      <c r="Q365" s="1045"/>
      <c r="R365" s="1045"/>
      <c r="S365" s="1013"/>
      <c r="T365" s="277"/>
      <c r="U365" s="417"/>
    </row>
    <row r="366" spans="1:21" ht="15" customHeight="1">
      <c r="A366" s="1046"/>
      <c r="B366" s="1041"/>
      <c r="C366" s="1042"/>
      <c r="D366" s="1042"/>
      <c r="E366" s="1042"/>
      <c r="F366" s="1043"/>
      <c r="G366" s="1043"/>
      <c r="H366" s="984"/>
      <c r="I366" s="515"/>
      <c r="J366" s="515"/>
      <c r="K366" s="515"/>
      <c r="L366" s="515"/>
      <c r="M366" s="1044"/>
      <c r="N366" s="277"/>
      <c r="O366" s="1045"/>
      <c r="P366" s="1045"/>
      <c r="Q366" s="1045"/>
      <c r="R366" s="1045"/>
      <c r="S366" s="1013"/>
      <c r="T366" s="277"/>
      <c r="U366" s="417"/>
    </row>
    <row r="367" spans="1:21" ht="15" customHeight="1">
      <c r="A367" s="1046"/>
      <c r="B367" s="1041"/>
      <c r="C367" s="1042"/>
      <c r="D367" s="1042"/>
      <c r="E367" s="1042"/>
      <c r="F367" s="1043"/>
      <c r="G367" s="1043"/>
      <c r="H367" s="984"/>
      <c r="I367" s="515"/>
      <c r="J367" s="515"/>
      <c r="K367" s="515"/>
      <c r="L367" s="515"/>
      <c r="M367" s="1044"/>
      <c r="N367" s="277"/>
      <c r="O367" s="1045"/>
      <c r="P367" s="1045"/>
      <c r="Q367" s="1045"/>
      <c r="R367" s="1045"/>
      <c r="S367" s="1013"/>
      <c r="T367" s="277"/>
      <c r="U367" s="417"/>
    </row>
    <row r="368" spans="1:21" ht="15" customHeight="1">
      <c r="A368" s="1046"/>
      <c r="B368" s="1041"/>
      <c r="C368" s="1042"/>
      <c r="D368" s="1042"/>
      <c r="E368" s="1042"/>
      <c r="F368" s="1043"/>
      <c r="G368" s="1043"/>
      <c r="H368" s="984"/>
      <c r="I368" s="515"/>
      <c r="J368" s="515"/>
      <c r="K368" s="515"/>
      <c r="L368" s="515"/>
      <c r="M368" s="1044"/>
      <c r="N368" s="277"/>
      <c r="O368" s="1045"/>
      <c r="P368" s="1045"/>
      <c r="Q368" s="1045"/>
      <c r="R368" s="1045"/>
      <c r="S368" s="1013"/>
      <c r="T368" s="277"/>
      <c r="U368" s="417"/>
    </row>
    <row r="369" spans="1:21" ht="15" customHeight="1">
      <c r="A369" s="1046"/>
      <c r="B369" s="1041"/>
      <c r="C369" s="1042"/>
      <c r="D369" s="1042"/>
      <c r="E369" s="1042"/>
      <c r="F369" s="1043"/>
      <c r="G369" s="1043"/>
      <c r="H369" s="984"/>
      <c r="I369" s="515"/>
      <c r="J369" s="515"/>
      <c r="K369" s="515"/>
      <c r="L369" s="515"/>
      <c r="M369" s="1044"/>
      <c r="N369" s="277"/>
      <c r="O369" s="1045"/>
      <c r="P369" s="1045"/>
      <c r="Q369" s="1045"/>
      <c r="R369" s="1045"/>
      <c r="S369" s="1013"/>
      <c r="T369" s="277"/>
      <c r="U369" s="417"/>
    </row>
    <row r="370" spans="1:21" ht="15" customHeight="1">
      <c r="A370" s="1046"/>
      <c r="B370" s="1041"/>
      <c r="C370" s="1042"/>
      <c r="D370" s="1042"/>
      <c r="E370" s="1042"/>
      <c r="F370" s="1043"/>
      <c r="G370" s="1043"/>
      <c r="H370" s="1052"/>
      <c r="I370" s="515"/>
      <c r="J370" s="515"/>
      <c r="K370" s="515"/>
      <c r="L370" s="515"/>
      <c r="M370" s="1044"/>
      <c r="N370" s="277"/>
      <c r="O370" s="1045"/>
      <c r="P370" s="1045"/>
      <c r="Q370" s="1045"/>
      <c r="R370" s="1045"/>
      <c r="S370" s="1013"/>
      <c r="T370" s="277"/>
      <c r="U370" s="417"/>
    </row>
    <row r="371" spans="1:21" ht="15" customHeight="1">
      <c r="A371" s="1046"/>
      <c r="B371" s="1041"/>
      <c r="C371" s="1042"/>
      <c r="D371" s="1042"/>
      <c r="E371" s="1042"/>
      <c r="F371" s="1043"/>
      <c r="G371" s="1043"/>
      <c r="H371" s="1052"/>
      <c r="I371" s="515"/>
      <c r="J371" s="515"/>
      <c r="K371" s="515"/>
      <c r="L371" s="515"/>
      <c r="M371" s="1044"/>
      <c r="N371" s="277"/>
      <c r="O371" s="1045"/>
      <c r="P371" s="1045"/>
      <c r="Q371" s="1045"/>
      <c r="R371" s="1045"/>
      <c r="S371" s="1013"/>
      <c r="T371" s="277"/>
      <c r="U371" s="417"/>
    </row>
    <row r="372" spans="1:21" ht="15" customHeight="1">
      <c r="A372" s="1046"/>
      <c r="B372" s="1041"/>
      <c r="C372" s="1042"/>
      <c r="D372" s="1042"/>
      <c r="E372" s="1042"/>
      <c r="F372" s="1043"/>
      <c r="G372" s="1043"/>
      <c r="H372" s="1052"/>
      <c r="I372" s="515"/>
      <c r="J372" s="515"/>
      <c r="K372" s="515"/>
      <c r="L372" s="515"/>
      <c r="M372" s="1044"/>
      <c r="N372" s="277"/>
      <c r="O372" s="1045"/>
      <c r="P372" s="1045"/>
      <c r="Q372" s="1045"/>
      <c r="R372" s="1045"/>
      <c r="S372" s="1013"/>
      <c r="T372" s="277"/>
      <c r="U372" s="417"/>
    </row>
    <row r="373" spans="1:21" ht="15" customHeight="1">
      <c r="A373" s="1046"/>
      <c r="B373" s="1041"/>
      <c r="C373" s="1042"/>
      <c r="D373" s="1042"/>
      <c r="E373" s="1042"/>
      <c r="F373" s="1043"/>
      <c r="G373" s="1043"/>
      <c r="H373" s="1052"/>
      <c r="I373" s="515"/>
      <c r="J373" s="515"/>
      <c r="K373" s="515"/>
      <c r="L373" s="515"/>
      <c r="M373" s="1044"/>
      <c r="N373" s="277"/>
      <c r="O373" s="1045"/>
      <c r="P373" s="1045"/>
      <c r="Q373" s="1045"/>
      <c r="R373" s="1045"/>
      <c r="S373" s="1013"/>
      <c r="T373" s="277"/>
      <c r="U373" s="417"/>
    </row>
    <row r="374" spans="1:21" ht="15" customHeight="1">
      <c r="A374" s="250"/>
      <c r="B374" s="250"/>
      <c r="C374" s="251"/>
      <c r="D374" s="251"/>
      <c r="E374" s="251"/>
      <c r="F374" s="252"/>
      <c r="G374" s="252"/>
      <c r="H374" s="1053"/>
      <c r="I374" s="257"/>
      <c r="J374" s="257"/>
      <c r="K374" s="257"/>
      <c r="L374" s="257"/>
      <c r="M374" s="258"/>
      <c r="N374" s="259"/>
      <c r="O374" s="255"/>
      <c r="P374" s="255"/>
      <c r="Q374" s="255"/>
      <c r="R374" s="255"/>
      <c r="S374" s="191"/>
      <c r="T374" s="259"/>
      <c r="U374" s="260"/>
    </row>
    <row r="375" spans="1:21" ht="15" customHeight="1">
      <c r="A375" s="261"/>
      <c r="B375" s="250"/>
      <c r="C375" s="251"/>
      <c r="D375" s="251"/>
      <c r="E375" s="251"/>
      <c r="F375" s="252"/>
      <c r="G375" s="252"/>
      <c r="H375" s="1053"/>
      <c r="I375" s="257"/>
      <c r="J375" s="257"/>
      <c r="K375" s="257"/>
      <c r="L375" s="257"/>
      <c r="M375" s="258"/>
      <c r="N375" s="259"/>
      <c r="O375" s="255"/>
      <c r="P375" s="255"/>
      <c r="Q375" s="255"/>
      <c r="R375" s="255"/>
      <c r="S375" s="191"/>
      <c r="T375" s="259"/>
      <c r="U375" s="260"/>
    </row>
    <row r="376" spans="1:21" ht="15" customHeight="1">
      <c r="B376" s="1041"/>
      <c r="C376" s="1048"/>
      <c r="D376" s="1048"/>
      <c r="E376" s="1048"/>
      <c r="F376" s="417"/>
      <c r="G376" s="417"/>
      <c r="H376" s="984"/>
      <c r="I376" s="515"/>
      <c r="J376" s="515"/>
      <c r="K376" s="379"/>
      <c r="L376" s="1044"/>
      <c r="M376" s="1044"/>
      <c r="N376" s="277"/>
      <c r="O376" s="1049"/>
      <c r="P376" s="1049"/>
      <c r="Q376" s="515"/>
      <c r="R376" s="1049"/>
      <c r="S376" s="1044"/>
      <c r="T376" s="277"/>
      <c r="U376" s="277"/>
    </row>
    <row r="377" spans="1:21" ht="15" customHeight="1">
      <c r="A377" s="1050"/>
      <c r="B377" s="1280"/>
      <c r="C377" s="1048"/>
      <c r="D377" s="1048"/>
      <c r="E377" s="1048"/>
      <c r="F377" s="417"/>
      <c r="G377" s="417"/>
      <c r="H377" s="984"/>
      <c r="I377" s="515"/>
      <c r="J377" s="515"/>
      <c r="K377" s="515"/>
      <c r="L377" s="515"/>
      <c r="M377" s="515"/>
      <c r="N377" s="1051"/>
      <c r="O377" s="1049"/>
      <c r="P377" s="1049"/>
      <c r="Q377" s="1049"/>
      <c r="R377" s="1049"/>
      <c r="S377" s="1044"/>
      <c r="T377" s="277"/>
      <c r="U377" s="277"/>
    </row>
    <row r="378" spans="1:21" ht="15" customHeight="1">
      <c r="B378" s="1280"/>
      <c r="D378" s="1048"/>
      <c r="E378" s="1048"/>
      <c r="F378" s="1048"/>
      <c r="G378" s="417"/>
      <c r="H378" s="515"/>
      <c r="I378" s="515"/>
      <c r="J378" s="515"/>
      <c r="K378" s="515"/>
      <c r="L378" s="515"/>
      <c r="M378" s="1044"/>
      <c r="N378" s="265"/>
      <c r="O378" s="1044"/>
      <c r="P378" s="1044"/>
      <c r="Q378" s="1044"/>
      <c r="R378" s="1044"/>
      <c r="S378" s="1044"/>
      <c r="T378" s="417"/>
      <c r="U378" s="417"/>
    </row>
    <row r="379" spans="1:21" ht="21" customHeight="1">
      <c r="A379" s="1285"/>
      <c r="B379" s="1285"/>
      <c r="C379" s="1285"/>
      <c r="D379" s="1285"/>
      <c r="E379" s="1285"/>
      <c r="F379" s="1285"/>
      <c r="G379" s="1285"/>
      <c r="H379" s="1285"/>
      <c r="I379" s="1285"/>
      <c r="J379" s="1285"/>
      <c r="K379" s="1285"/>
      <c r="L379" s="1285"/>
      <c r="M379" s="1285"/>
      <c r="N379" s="1285"/>
      <c r="O379" s="1285"/>
      <c r="P379" s="1285"/>
      <c r="Q379" s="1285"/>
      <c r="R379" s="1285"/>
      <c r="S379" s="1285"/>
      <c r="T379" s="1285"/>
      <c r="U379" s="1285"/>
    </row>
    <row r="380" spans="1:21" ht="15" customHeight="1">
      <c r="A380" s="1286"/>
      <c r="C380" s="1286"/>
      <c r="D380" s="1286"/>
      <c r="E380" s="1286"/>
      <c r="F380" s="1286"/>
      <c r="G380" s="1286"/>
      <c r="H380" s="1286"/>
      <c r="I380" s="1287"/>
      <c r="J380" s="1287"/>
      <c r="K380" s="1287"/>
      <c r="L380" s="1287"/>
      <c r="M380" s="1288"/>
      <c r="N380" s="1288"/>
      <c r="O380" s="1287"/>
      <c r="P380" s="1287"/>
      <c r="Q380" s="1287"/>
      <c r="R380" s="1287"/>
      <c r="S380" s="1288"/>
      <c r="T380" s="1288"/>
      <c r="U380" s="1288"/>
    </row>
    <row r="381" spans="1:21" ht="15" customHeight="1">
      <c r="A381" s="1286"/>
      <c r="C381" s="984"/>
      <c r="D381" s="984"/>
      <c r="E381" s="984"/>
      <c r="F381" s="984"/>
      <c r="G381" s="984"/>
      <c r="H381" s="1286"/>
      <c r="I381" s="515"/>
      <c r="J381" s="515"/>
      <c r="K381" s="515"/>
      <c r="L381" s="515"/>
      <c r="M381" s="1288"/>
      <c r="N381" s="1288"/>
      <c r="O381" s="515"/>
      <c r="P381" s="515"/>
      <c r="Q381" s="515"/>
      <c r="R381" s="515"/>
      <c r="S381" s="1288"/>
      <c r="T381" s="1288"/>
      <c r="U381" s="1288"/>
    </row>
    <row r="382" spans="1:21" ht="15" customHeight="1">
      <c r="A382" s="1040"/>
      <c r="B382" s="1041"/>
      <c r="C382" s="1042"/>
      <c r="D382" s="1042"/>
      <c r="E382" s="1042"/>
      <c r="F382" s="1043"/>
      <c r="G382" s="1043"/>
      <c r="H382" s="984"/>
      <c r="I382" s="515"/>
      <c r="J382" s="515"/>
      <c r="K382" s="515"/>
      <c r="L382" s="515"/>
      <c r="M382" s="1044"/>
      <c r="N382" s="277"/>
      <c r="O382" s="1045"/>
      <c r="P382" s="1045"/>
      <c r="Q382" s="1045"/>
      <c r="R382" s="1045"/>
      <c r="S382" s="1013"/>
      <c r="T382" s="277"/>
      <c r="U382" s="417"/>
    </row>
    <row r="383" spans="1:21" ht="15" customHeight="1">
      <c r="A383" s="1046"/>
      <c r="B383" s="1041"/>
      <c r="C383" s="1042"/>
      <c r="D383" s="1042"/>
      <c r="E383" s="1042"/>
      <c r="F383" s="1043"/>
      <c r="G383" s="1043"/>
      <c r="H383" s="984"/>
      <c r="I383" s="515"/>
      <c r="J383" s="515"/>
      <c r="K383" s="515"/>
      <c r="L383" s="515"/>
      <c r="M383" s="1044"/>
      <c r="N383" s="277"/>
      <c r="O383" s="1045"/>
      <c r="P383" s="1045"/>
      <c r="Q383" s="1045"/>
      <c r="R383" s="1045"/>
      <c r="S383" s="1013"/>
      <c r="T383" s="277"/>
      <c r="U383" s="417"/>
    </row>
    <row r="384" spans="1:21" ht="15" customHeight="1">
      <c r="A384" s="1046"/>
      <c r="B384" s="1041"/>
      <c r="C384" s="1042"/>
      <c r="D384" s="1042"/>
      <c r="E384" s="1042"/>
      <c r="F384" s="1043"/>
      <c r="G384" s="1043"/>
      <c r="H384" s="984"/>
      <c r="I384" s="515"/>
      <c r="J384" s="515"/>
      <c r="K384" s="515"/>
      <c r="L384" s="515"/>
      <c r="M384" s="1044"/>
      <c r="N384" s="277"/>
      <c r="O384" s="1045"/>
      <c r="P384" s="1045"/>
      <c r="Q384" s="1045"/>
      <c r="R384" s="1045"/>
      <c r="S384" s="1013"/>
      <c r="T384" s="277"/>
      <c r="U384" s="417"/>
    </row>
    <row r="385" spans="1:21" ht="15" customHeight="1">
      <c r="A385" s="1046"/>
      <c r="B385" s="1041"/>
      <c r="C385" s="1042"/>
      <c r="D385" s="1042"/>
      <c r="E385" s="1042"/>
      <c r="F385" s="1043"/>
      <c r="G385" s="1043"/>
      <c r="H385" s="984"/>
      <c r="I385" s="515"/>
      <c r="J385" s="515"/>
      <c r="K385" s="515"/>
      <c r="L385" s="515"/>
      <c r="M385" s="1044"/>
      <c r="N385" s="277"/>
      <c r="O385" s="1045"/>
      <c r="P385" s="1045"/>
      <c r="Q385" s="1045"/>
      <c r="R385" s="1045"/>
      <c r="S385" s="1013"/>
      <c r="T385" s="277"/>
      <c r="U385" s="417"/>
    </row>
    <row r="386" spans="1:21" ht="15" customHeight="1">
      <c r="A386" s="1046"/>
      <c r="B386" s="1041"/>
      <c r="C386" s="1042"/>
      <c r="D386" s="1042"/>
      <c r="E386" s="1042"/>
      <c r="F386" s="1043"/>
      <c r="G386" s="1043"/>
      <c r="H386" s="984"/>
      <c r="I386" s="515"/>
      <c r="J386" s="515"/>
      <c r="K386" s="515"/>
      <c r="L386" s="515"/>
      <c r="M386" s="1044"/>
      <c r="N386" s="277"/>
      <c r="O386" s="1045"/>
      <c r="P386" s="1045"/>
      <c r="Q386" s="1045"/>
      <c r="R386" s="1045"/>
      <c r="S386" s="1013"/>
      <c r="T386" s="277"/>
      <c r="U386" s="417"/>
    </row>
    <row r="387" spans="1:21" ht="15" customHeight="1">
      <c r="A387" s="1046"/>
      <c r="B387" s="1041"/>
      <c r="C387" s="1042"/>
      <c r="D387" s="1042"/>
      <c r="E387" s="1042"/>
      <c r="F387" s="1043"/>
      <c r="G387" s="1043"/>
      <c r="H387" s="984"/>
      <c r="I387" s="515"/>
      <c r="J387" s="515"/>
      <c r="K387" s="515"/>
      <c r="L387" s="515"/>
      <c r="M387" s="1044"/>
      <c r="N387" s="277"/>
      <c r="O387" s="1045"/>
      <c r="P387" s="1045"/>
      <c r="Q387" s="1045"/>
      <c r="R387" s="1045"/>
      <c r="S387" s="1013"/>
      <c r="T387" s="277"/>
      <c r="U387" s="417"/>
    </row>
    <row r="388" spans="1:21" ht="15" customHeight="1">
      <c r="A388" s="1046"/>
      <c r="B388" s="1041"/>
      <c r="C388" s="1042"/>
      <c r="D388" s="1042"/>
      <c r="E388" s="1042"/>
      <c r="F388" s="1043"/>
      <c r="G388" s="1043"/>
      <c r="H388" s="247"/>
      <c r="I388" s="515"/>
      <c r="J388" s="515"/>
      <c r="K388" s="515"/>
      <c r="L388" s="515"/>
      <c r="M388" s="1044"/>
      <c r="N388" s="277"/>
      <c r="O388" s="1045"/>
      <c r="P388" s="1045"/>
      <c r="Q388" s="1045"/>
      <c r="R388" s="1045"/>
      <c r="S388" s="1013"/>
      <c r="T388" s="277"/>
      <c r="U388" s="417"/>
    </row>
    <row r="389" spans="1:21" ht="15" customHeight="1">
      <c r="A389" s="1046"/>
      <c r="B389" s="1041"/>
      <c r="C389" s="1042"/>
      <c r="D389" s="1042"/>
      <c r="E389" s="1042"/>
      <c r="F389" s="1043"/>
      <c r="G389" s="1043"/>
      <c r="H389" s="247"/>
      <c r="I389" s="515"/>
      <c r="J389" s="515"/>
      <c r="K389" s="515"/>
      <c r="L389" s="515"/>
      <c r="M389" s="1044"/>
      <c r="N389" s="277"/>
      <c r="O389" s="1045"/>
      <c r="P389" s="1045"/>
      <c r="Q389" s="1045"/>
      <c r="R389" s="1045"/>
      <c r="S389" s="1013"/>
      <c r="T389" s="277"/>
      <c r="U389" s="417"/>
    </row>
    <row r="390" spans="1:21" ht="15" customHeight="1">
      <c r="A390" s="1046"/>
      <c r="B390" s="1041"/>
      <c r="C390" s="1042"/>
      <c r="D390" s="1042"/>
      <c r="E390" s="1042"/>
      <c r="F390" s="1043"/>
      <c r="G390" s="1043"/>
      <c r="H390" s="247"/>
      <c r="I390" s="515"/>
      <c r="J390" s="515"/>
      <c r="K390" s="515"/>
      <c r="L390" s="515"/>
      <c r="M390" s="1044"/>
      <c r="N390" s="277"/>
      <c r="O390" s="1045"/>
      <c r="P390" s="1045"/>
      <c r="Q390" s="1045"/>
      <c r="R390" s="1045"/>
      <c r="S390" s="1013"/>
      <c r="T390" s="277"/>
      <c r="U390" s="417"/>
    </row>
    <row r="391" spans="1:21" ht="15" customHeight="1">
      <c r="A391" s="1046"/>
      <c r="B391" s="1041"/>
      <c r="C391" s="1042"/>
      <c r="D391" s="1042"/>
      <c r="E391" s="1042"/>
      <c r="F391" s="1043"/>
      <c r="G391" s="1043"/>
      <c r="H391" s="247"/>
      <c r="I391" s="515"/>
      <c r="J391" s="515"/>
      <c r="K391" s="515"/>
      <c r="L391" s="515"/>
      <c r="M391" s="1044"/>
      <c r="N391" s="277"/>
      <c r="O391" s="1045"/>
      <c r="P391" s="1045"/>
      <c r="Q391" s="1045"/>
      <c r="R391" s="1045"/>
      <c r="S391" s="1013"/>
      <c r="T391" s="277"/>
      <c r="U391" s="417"/>
    </row>
    <row r="392" spans="1:21" ht="15" customHeight="1">
      <c r="A392" s="250"/>
      <c r="B392" s="250"/>
      <c r="C392" s="251"/>
      <c r="D392" s="251"/>
      <c r="E392" s="251"/>
      <c r="F392" s="252"/>
      <c r="G392" s="252"/>
      <c r="H392" s="1047"/>
      <c r="I392" s="257"/>
      <c r="J392" s="257"/>
      <c r="K392" s="257"/>
      <c r="L392" s="257"/>
      <c r="M392" s="258"/>
      <c r="N392" s="259"/>
      <c r="O392" s="255"/>
      <c r="P392" s="255"/>
      <c r="Q392" s="255"/>
      <c r="R392" s="255"/>
      <c r="S392" s="191"/>
      <c r="T392" s="259"/>
      <c r="U392" s="260"/>
    </row>
    <row r="393" spans="1:21" ht="15" customHeight="1">
      <c r="A393" s="261"/>
      <c r="B393" s="250"/>
      <c r="C393" s="251"/>
      <c r="D393" s="251"/>
      <c r="E393" s="251"/>
      <c r="F393" s="252"/>
      <c r="G393" s="252"/>
      <c r="H393" s="1047"/>
      <c r="I393" s="257"/>
      <c r="J393" s="257"/>
      <c r="K393" s="257"/>
      <c r="L393" s="257"/>
      <c r="M393" s="258"/>
      <c r="N393" s="259"/>
      <c r="O393" s="255"/>
      <c r="P393" s="255"/>
      <c r="Q393" s="255"/>
      <c r="R393" s="255"/>
      <c r="S393" s="191"/>
      <c r="T393" s="259"/>
      <c r="U393" s="260"/>
    </row>
    <row r="394" spans="1:21" ht="15" customHeight="1">
      <c r="B394" s="1041"/>
      <c r="C394" s="1048"/>
      <c r="D394" s="1048"/>
      <c r="E394" s="1048"/>
      <c r="F394" s="417"/>
      <c r="G394" s="417"/>
      <c r="H394" s="984"/>
      <c r="I394" s="515"/>
      <c r="J394" s="515"/>
      <c r="K394" s="379"/>
      <c r="L394" s="1044"/>
      <c r="M394" s="1044"/>
      <c r="N394" s="277"/>
      <c r="O394" s="1049"/>
      <c r="P394" s="1049"/>
      <c r="Q394" s="515"/>
      <c r="R394" s="1049"/>
      <c r="S394" s="1044"/>
      <c r="T394" s="277"/>
      <c r="U394" s="277"/>
    </row>
    <row r="395" spans="1:21" ht="15" customHeight="1">
      <c r="A395" s="1050"/>
      <c r="B395" s="1280"/>
      <c r="C395" s="1048"/>
      <c r="D395" s="1048"/>
      <c r="E395" s="1048"/>
      <c r="F395" s="417"/>
      <c r="G395" s="417"/>
      <c r="H395" s="984"/>
      <c r="I395" s="515"/>
      <c r="J395" s="515"/>
      <c r="K395" s="515"/>
      <c r="L395" s="515"/>
      <c r="M395" s="515"/>
      <c r="N395" s="1051"/>
      <c r="O395" s="1049"/>
      <c r="P395" s="1049"/>
      <c r="Q395" s="1049"/>
      <c r="R395" s="1049"/>
      <c r="S395" s="1044"/>
      <c r="T395" s="277"/>
      <c r="U395" s="277"/>
    </row>
    <row r="396" spans="1:21" ht="15" customHeight="1">
      <c r="B396" s="1280"/>
      <c r="D396" s="1048"/>
      <c r="E396" s="1048"/>
      <c r="F396" s="1048"/>
      <c r="G396" s="417"/>
      <c r="H396" s="515"/>
      <c r="I396" s="515"/>
      <c r="J396" s="515"/>
      <c r="K396" s="515"/>
      <c r="L396" s="515"/>
      <c r="M396" s="1044"/>
      <c r="N396" s="265"/>
      <c r="O396" s="1044"/>
      <c r="P396" s="1044"/>
      <c r="Q396" s="1044"/>
      <c r="R396" s="1044"/>
      <c r="S396" s="1044"/>
      <c r="T396" s="417"/>
      <c r="U396" s="417"/>
    </row>
    <row r="397" spans="1:21" ht="21" customHeight="1">
      <c r="A397" s="1285"/>
      <c r="B397" s="1285"/>
      <c r="C397" s="1285"/>
      <c r="D397" s="1285"/>
      <c r="E397" s="1285"/>
      <c r="F397" s="1285"/>
      <c r="G397" s="1285"/>
      <c r="H397" s="1285"/>
      <c r="I397" s="1285"/>
      <c r="J397" s="1285"/>
      <c r="K397" s="1285"/>
      <c r="L397" s="1285"/>
      <c r="M397" s="1285"/>
      <c r="N397" s="1285"/>
      <c r="O397" s="1285"/>
      <c r="P397" s="1285"/>
      <c r="Q397" s="1285"/>
      <c r="R397" s="1285"/>
      <c r="S397" s="1285"/>
      <c r="T397" s="1285"/>
      <c r="U397" s="1285"/>
    </row>
    <row r="398" spans="1:21" ht="15" customHeight="1">
      <c r="A398" s="1286"/>
      <c r="C398" s="1286"/>
      <c r="D398" s="1286"/>
      <c r="E398" s="1286"/>
      <c r="F398" s="1286"/>
      <c r="G398" s="1286"/>
      <c r="H398" s="1286"/>
      <c r="I398" s="1287"/>
      <c r="J398" s="1287"/>
      <c r="K398" s="1287"/>
      <c r="L398" s="1287"/>
      <c r="M398" s="1288"/>
      <c r="N398" s="1288"/>
      <c r="O398" s="1287"/>
      <c r="P398" s="1287"/>
      <c r="Q398" s="1287"/>
      <c r="R398" s="1287"/>
      <c r="S398" s="1288"/>
      <c r="T398" s="1288"/>
      <c r="U398" s="1288"/>
    </row>
    <row r="399" spans="1:21" ht="15" customHeight="1">
      <c r="A399" s="1286"/>
      <c r="C399" s="984"/>
      <c r="D399" s="984"/>
      <c r="E399" s="984"/>
      <c r="F399" s="984"/>
      <c r="G399" s="984"/>
      <c r="H399" s="1286"/>
      <c r="I399" s="515"/>
      <c r="J399" s="515"/>
      <c r="K399" s="515"/>
      <c r="L399" s="515"/>
      <c r="M399" s="1288"/>
      <c r="N399" s="1288"/>
      <c r="O399" s="515"/>
      <c r="P399" s="515"/>
      <c r="Q399" s="515"/>
      <c r="R399" s="515"/>
      <c r="S399" s="1288"/>
      <c r="T399" s="1288"/>
      <c r="U399" s="1288"/>
    </row>
    <row r="400" spans="1:21" ht="15" customHeight="1">
      <c r="A400" s="1040"/>
      <c r="B400" s="1041"/>
      <c r="C400" s="1042"/>
      <c r="D400" s="1042"/>
      <c r="E400" s="1042"/>
      <c r="F400" s="1043"/>
      <c r="G400" s="1043"/>
      <c r="H400" s="984"/>
      <c r="I400" s="515"/>
      <c r="J400" s="515"/>
      <c r="K400" s="515"/>
      <c r="L400" s="515"/>
      <c r="M400" s="1044"/>
      <c r="N400" s="277"/>
      <c r="O400" s="1045"/>
      <c r="P400" s="1045"/>
      <c r="Q400" s="1045"/>
      <c r="R400" s="1045"/>
      <c r="S400" s="1013"/>
      <c r="T400" s="277"/>
      <c r="U400" s="417"/>
    </row>
    <row r="401" spans="1:21" ht="15" customHeight="1">
      <c r="A401" s="1046"/>
      <c r="B401" s="1041"/>
      <c r="C401" s="1042"/>
      <c r="D401" s="1042"/>
      <c r="E401" s="1042"/>
      <c r="F401" s="1043"/>
      <c r="G401" s="1043"/>
      <c r="H401" s="984"/>
      <c r="I401" s="515"/>
      <c r="J401" s="515"/>
      <c r="K401" s="515"/>
      <c r="L401" s="515"/>
      <c r="M401" s="1044"/>
      <c r="N401" s="277"/>
      <c r="O401" s="1045"/>
      <c r="P401" s="1045"/>
      <c r="Q401" s="1045"/>
      <c r="R401" s="1045"/>
      <c r="S401" s="1013"/>
      <c r="T401" s="277"/>
      <c r="U401" s="417"/>
    </row>
    <row r="402" spans="1:21" ht="15" customHeight="1">
      <c r="A402" s="1046"/>
      <c r="B402" s="1041"/>
      <c r="C402" s="1042"/>
      <c r="D402" s="1042"/>
      <c r="E402" s="1042"/>
      <c r="F402" s="1043"/>
      <c r="G402" s="1043"/>
      <c r="H402" s="984"/>
      <c r="I402" s="515"/>
      <c r="J402" s="515"/>
      <c r="K402" s="515"/>
      <c r="L402" s="515"/>
      <c r="M402" s="1044"/>
      <c r="N402" s="277"/>
      <c r="O402" s="1045"/>
      <c r="P402" s="1045"/>
      <c r="Q402" s="1045"/>
      <c r="R402" s="1045"/>
      <c r="S402" s="1013"/>
      <c r="T402" s="277"/>
      <c r="U402" s="417"/>
    </row>
    <row r="403" spans="1:21" ht="15" customHeight="1">
      <c r="A403" s="1046"/>
      <c r="B403" s="1041"/>
      <c r="C403" s="1042"/>
      <c r="D403" s="1042"/>
      <c r="E403" s="1042"/>
      <c r="F403" s="1043"/>
      <c r="G403" s="1043"/>
      <c r="H403" s="984"/>
      <c r="I403" s="515"/>
      <c r="J403" s="515"/>
      <c r="K403" s="515"/>
      <c r="L403" s="515"/>
      <c r="M403" s="1044"/>
      <c r="N403" s="277"/>
      <c r="O403" s="1045"/>
      <c r="P403" s="1045"/>
      <c r="Q403" s="1045"/>
      <c r="R403" s="1045"/>
      <c r="S403" s="1013"/>
      <c r="T403" s="277"/>
      <c r="U403" s="417"/>
    </row>
    <row r="404" spans="1:21" ht="15" customHeight="1">
      <c r="A404" s="1046"/>
      <c r="B404" s="1041"/>
      <c r="C404" s="1042"/>
      <c r="D404" s="1042"/>
      <c r="E404" s="1042"/>
      <c r="F404" s="1043"/>
      <c r="G404" s="1043"/>
      <c r="H404" s="984"/>
      <c r="I404" s="515"/>
      <c r="J404" s="515"/>
      <c r="K404" s="515"/>
      <c r="L404" s="515"/>
      <c r="M404" s="1044"/>
      <c r="N404" s="277"/>
      <c r="O404" s="1045"/>
      <c r="P404" s="1045"/>
      <c r="Q404" s="1045"/>
      <c r="R404" s="1045"/>
      <c r="S404" s="1013"/>
      <c r="T404" s="277"/>
      <c r="U404" s="417"/>
    </row>
    <row r="405" spans="1:21" ht="15" customHeight="1">
      <c r="A405" s="1046"/>
      <c r="B405" s="1041"/>
      <c r="C405" s="1042"/>
      <c r="D405" s="1042"/>
      <c r="E405" s="1042"/>
      <c r="F405" s="1043"/>
      <c r="G405" s="1043"/>
      <c r="H405" s="984"/>
      <c r="I405" s="515"/>
      <c r="J405" s="515"/>
      <c r="K405" s="515"/>
      <c r="L405" s="515"/>
      <c r="M405" s="1044"/>
      <c r="N405" s="277"/>
      <c r="O405" s="1045"/>
      <c r="P405" s="1045"/>
      <c r="Q405" s="1045"/>
      <c r="R405" s="1045"/>
      <c r="S405" s="1013"/>
      <c r="T405" s="277"/>
      <c r="U405" s="417"/>
    </row>
    <row r="406" spans="1:21" ht="15" customHeight="1">
      <c r="A406" s="1046"/>
      <c r="B406" s="1041"/>
      <c r="C406" s="1042"/>
      <c r="D406" s="1042"/>
      <c r="E406" s="1042"/>
      <c r="F406" s="1043"/>
      <c r="G406" s="1043"/>
      <c r="H406" s="247"/>
      <c r="I406" s="515"/>
      <c r="J406" s="515"/>
      <c r="K406" s="515"/>
      <c r="L406" s="515"/>
      <c r="M406" s="1044"/>
      <c r="N406" s="277"/>
      <c r="O406" s="1045"/>
      <c r="P406" s="1045"/>
      <c r="Q406" s="1045"/>
      <c r="R406" s="1045"/>
      <c r="S406" s="1013"/>
      <c r="T406" s="277"/>
      <c r="U406" s="417"/>
    </row>
    <row r="407" spans="1:21" ht="15" customHeight="1">
      <c r="A407" s="1046"/>
      <c r="B407" s="1041"/>
      <c r="C407" s="1042"/>
      <c r="D407" s="1042"/>
      <c r="E407" s="1042"/>
      <c r="F407" s="1043"/>
      <c r="G407" s="1043"/>
      <c r="H407" s="247"/>
      <c r="I407" s="515"/>
      <c r="J407" s="515"/>
      <c r="K407" s="515"/>
      <c r="L407" s="515"/>
      <c r="M407" s="1044"/>
      <c r="N407" s="277"/>
      <c r="O407" s="1045"/>
      <c r="P407" s="1045"/>
      <c r="Q407" s="1045"/>
      <c r="R407" s="1045"/>
      <c r="S407" s="1013"/>
      <c r="T407" s="277"/>
      <c r="U407" s="417"/>
    </row>
    <row r="408" spans="1:21" ht="15" customHeight="1">
      <c r="A408" s="1046"/>
      <c r="B408" s="1041"/>
      <c r="C408" s="1042"/>
      <c r="D408" s="1042"/>
      <c r="E408" s="1042"/>
      <c r="F408" s="1043"/>
      <c r="G408" s="1043"/>
      <c r="H408" s="247"/>
      <c r="I408" s="515"/>
      <c r="J408" s="515"/>
      <c r="K408" s="515"/>
      <c r="L408" s="515"/>
      <c r="M408" s="1044"/>
      <c r="N408" s="277"/>
      <c r="O408" s="1045"/>
      <c r="P408" s="1045"/>
      <c r="Q408" s="1045"/>
      <c r="R408" s="1045"/>
      <c r="S408" s="1013"/>
      <c r="T408" s="277"/>
      <c r="U408" s="417"/>
    </row>
    <row r="409" spans="1:21" ht="15" customHeight="1">
      <c r="A409" s="1046"/>
      <c r="B409" s="1041"/>
      <c r="C409" s="1042"/>
      <c r="D409" s="1042"/>
      <c r="E409" s="1042"/>
      <c r="F409" s="1043"/>
      <c r="G409" s="1043"/>
      <c r="H409" s="247"/>
      <c r="I409" s="515"/>
      <c r="J409" s="515"/>
      <c r="K409" s="515"/>
      <c r="L409" s="515"/>
      <c r="M409" s="1044"/>
      <c r="N409" s="277"/>
      <c r="O409" s="1045"/>
      <c r="P409" s="1045"/>
      <c r="Q409" s="1045"/>
      <c r="R409" s="1045"/>
      <c r="S409" s="1013"/>
      <c r="T409" s="277"/>
      <c r="U409" s="417"/>
    </row>
    <row r="410" spans="1:21" ht="15" customHeight="1">
      <c r="A410" s="250"/>
      <c r="B410" s="250"/>
      <c r="C410" s="251"/>
      <c r="D410" s="251"/>
      <c r="E410" s="251"/>
      <c r="F410" s="252"/>
      <c r="G410" s="252"/>
      <c r="H410" s="1047"/>
      <c r="I410" s="257"/>
      <c r="J410" s="257"/>
      <c r="K410" s="257"/>
      <c r="L410" s="257"/>
      <c r="M410" s="258"/>
      <c r="N410" s="259"/>
      <c r="O410" s="255"/>
      <c r="P410" s="255"/>
      <c r="Q410" s="255"/>
      <c r="R410" s="255"/>
      <c r="S410" s="191"/>
      <c r="T410" s="259"/>
      <c r="U410" s="260"/>
    </row>
    <row r="411" spans="1:21" ht="15" customHeight="1">
      <c r="A411" s="261"/>
      <c r="B411" s="250"/>
      <c r="C411" s="251"/>
      <c r="D411" s="251"/>
      <c r="E411" s="251"/>
      <c r="F411" s="252"/>
      <c r="G411" s="252"/>
      <c r="H411" s="1047"/>
      <c r="I411" s="257"/>
      <c r="J411" s="257"/>
      <c r="K411" s="257"/>
      <c r="L411" s="257"/>
      <c r="M411" s="258"/>
      <c r="N411" s="259"/>
      <c r="O411" s="255"/>
      <c r="P411" s="255"/>
      <c r="Q411" s="255"/>
      <c r="R411" s="255"/>
      <c r="S411" s="191"/>
      <c r="T411" s="259"/>
      <c r="U411" s="260"/>
    </row>
    <row r="412" spans="1:21" ht="15" customHeight="1">
      <c r="B412" s="1041"/>
      <c r="C412" s="1048"/>
      <c r="D412" s="1048"/>
      <c r="E412" s="1048"/>
      <c r="F412" s="417"/>
      <c r="G412" s="417"/>
      <c r="H412" s="984"/>
      <c r="I412" s="515"/>
      <c r="J412" s="515"/>
      <c r="K412" s="379"/>
      <c r="L412" s="1044"/>
      <c r="M412" s="1044"/>
      <c r="N412" s="277"/>
      <c r="O412" s="1049"/>
      <c r="P412" s="1049"/>
      <c r="Q412" s="515"/>
      <c r="R412" s="1049"/>
      <c r="S412" s="1044"/>
      <c r="T412" s="277"/>
      <c r="U412" s="277"/>
    </row>
    <row r="413" spans="1:21" ht="15" customHeight="1">
      <c r="A413" s="1050"/>
      <c r="B413" s="1280"/>
      <c r="C413" s="1048"/>
      <c r="D413" s="1048"/>
      <c r="E413" s="1048"/>
      <c r="F413" s="417"/>
      <c r="G413" s="417"/>
      <c r="H413" s="984"/>
      <c r="I413" s="515"/>
      <c r="J413" s="515"/>
      <c r="K413" s="515"/>
      <c r="L413" s="515"/>
      <c r="M413" s="515"/>
      <c r="N413" s="1051"/>
      <c r="O413" s="1049"/>
      <c r="P413" s="1049"/>
      <c r="Q413" s="1049"/>
      <c r="R413" s="1049"/>
      <c r="S413" s="1044"/>
      <c r="T413" s="277"/>
      <c r="U413" s="277"/>
    </row>
    <row r="414" spans="1:21" ht="15" customHeight="1">
      <c r="B414" s="1280"/>
      <c r="D414" s="1048"/>
      <c r="E414" s="1048"/>
      <c r="F414" s="1048"/>
      <c r="G414" s="417"/>
      <c r="H414" s="515"/>
      <c r="I414" s="515"/>
      <c r="J414" s="515"/>
      <c r="K414" s="515"/>
      <c r="L414" s="515"/>
      <c r="M414" s="1044"/>
      <c r="N414" s="265"/>
      <c r="O414" s="1044"/>
      <c r="P414" s="1044"/>
      <c r="Q414" s="1044"/>
      <c r="R414" s="1044"/>
      <c r="S414" s="1044"/>
      <c r="T414" s="417"/>
      <c r="U414" s="417"/>
    </row>
    <row r="415" spans="1:21" ht="21" customHeight="1">
      <c r="A415" s="1285"/>
      <c r="B415" s="1285"/>
      <c r="C415" s="1285"/>
      <c r="D415" s="1285"/>
      <c r="E415" s="1285"/>
      <c r="F415" s="1285"/>
      <c r="G415" s="1285"/>
      <c r="H415" s="1285"/>
      <c r="I415" s="1285"/>
      <c r="J415" s="1285"/>
      <c r="K415" s="1285"/>
      <c r="L415" s="1285"/>
      <c r="M415" s="1285"/>
      <c r="N415" s="1285"/>
      <c r="O415" s="1285"/>
      <c r="P415" s="1285"/>
      <c r="Q415" s="1285"/>
      <c r="R415" s="1285"/>
      <c r="S415" s="1285"/>
      <c r="T415" s="1285"/>
      <c r="U415" s="1285"/>
    </row>
    <row r="416" spans="1:21" ht="15" customHeight="1">
      <c r="A416" s="1286"/>
      <c r="C416" s="1286"/>
      <c r="D416" s="1286"/>
      <c r="E416" s="1286"/>
      <c r="F416" s="1286"/>
      <c r="G416" s="1286"/>
      <c r="H416" s="1286"/>
      <c r="I416" s="1287"/>
      <c r="J416" s="1287"/>
      <c r="K416" s="1287"/>
      <c r="L416" s="1287"/>
      <c r="M416" s="1288"/>
      <c r="N416" s="1288"/>
      <c r="O416" s="1287"/>
      <c r="P416" s="1287"/>
      <c r="Q416" s="1287"/>
      <c r="R416" s="1287"/>
      <c r="S416" s="1288"/>
      <c r="T416" s="1288"/>
      <c r="U416" s="1288"/>
    </row>
    <row r="417" spans="1:21" ht="15" customHeight="1">
      <c r="A417" s="1286"/>
      <c r="C417" s="984"/>
      <c r="D417" s="984"/>
      <c r="E417" s="984"/>
      <c r="F417" s="984"/>
      <c r="G417" s="984"/>
      <c r="H417" s="1286"/>
      <c r="I417" s="515"/>
      <c r="J417" s="515"/>
      <c r="K417" s="515"/>
      <c r="L417" s="515"/>
      <c r="M417" s="1288"/>
      <c r="N417" s="1288"/>
      <c r="O417" s="515"/>
      <c r="P417" s="515"/>
      <c r="Q417" s="515"/>
      <c r="R417" s="515"/>
      <c r="S417" s="1288"/>
      <c r="T417" s="1288"/>
      <c r="U417" s="1288"/>
    </row>
    <row r="418" spans="1:21" ht="15" customHeight="1">
      <c r="A418" s="1040"/>
      <c r="B418" s="1041"/>
      <c r="C418" s="1042"/>
      <c r="D418" s="1042"/>
      <c r="E418" s="1042"/>
      <c r="F418" s="1043"/>
      <c r="G418" s="1043"/>
      <c r="H418" s="984"/>
      <c r="I418" s="515"/>
      <c r="J418" s="515"/>
      <c r="K418" s="515"/>
      <c r="L418" s="515"/>
      <c r="M418" s="1044"/>
      <c r="N418" s="277"/>
      <c r="O418" s="1045"/>
      <c r="P418" s="1045"/>
      <c r="Q418" s="1045"/>
      <c r="R418" s="1045"/>
      <c r="S418" s="1013"/>
      <c r="T418" s="277"/>
      <c r="U418" s="417"/>
    </row>
    <row r="419" spans="1:21" ht="15" customHeight="1">
      <c r="A419" s="1046"/>
      <c r="B419" s="1041"/>
      <c r="C419" s="1042"/>
      <c r="D419" s="1042"/>
      <c r="E419" s="1042"/>
      <c r="F419" s="1043"/>
      <c r="G419" s="1043"/>
      <c r="H419" s="984"/>
      <c r="I419" s="515"/>
      <c r="J419" s="515"/>
      <c r="K419" s="515"/>
      <c r="L419" s="515"/>
      <c r="M419" s="1044"/>
      <c r="N419" s="277"/>
      <c r="O419" s="1045"/>
      <c r="P419" s="1045"/>
      <c r="Q419" s="1045"/>
      <c r="R419" s="1045"/>
      <c r="S419" s="1013"/>
      <c r="T419" s="277"/>
      <c r="U419" s="417"/>
    </row>
    <row r="420" spans="1:21" ht="15" customHeight="1">
      <c r="A420" s="1046"/>
      <c r="B420" s="1041"/>
      <c r="C420" s="1042"/>
      <c r="D420" s="1042"/>
      <c r="E420" s="1042"/>
      <c r="F420" s="1043"/>
      <c r="G420" s="1043"/>
      <c r="H420" s="984"/>
      <c r="I420" s="515"/>
      <c r="J420" s="515"/>
      <c r="K420" s="515"/>
      <c r="L420" s="515"/>
      <c r="M420" s="1044"/>
      <c r="N420" s="277"/>
      <c r="O420" s="1045"/>
      <c r="P420" s="1045"/>
      <c r="Q420" s="1045"/>
      <c r="R420" s="1045"/>
      <c r="S420" s="1013"/>
      <c r="T420" s="277"/>
      <c r="U420" s="417"/>
    </row>
    <row r="421" spans="1:21" ht="15" customHeight="1">
      <c r="A421" s="1046"/>
      <c r="B421" s="1041"/>
      <c r="C421" s="1042"/>
      <c r="D421" s="1042"/>
      <c r="E421" s="1042"/>
      <c r="F421" s="1043"/>
      <c r="G421" s="1043"/>
      <c r="H421" s="984"/>
      <c r="I421" s="515"/>
      <c r="J421" s="515"/>
      <c r="K421" s="515"/>
      <c r="L421" s="515"/>
      <c r="M421" s="1044"/>
      <c r="N421" s="277"/>
      <c r="O421" s="1045"/>
      <c r="P421" s="1045"/>
      <c r="Q421" s="1045"/>
      <c r="R421" s="1045"/>
      <c r="S421" s="1013"/>
      <c r="T421" s="277"/>
      <c r="U421" s="417"/>
    </row>
    <row r="422" spans="1:21" ht="15" customHeight="1">
      <c r="A422" s="1046"/>
      <c r="B422" s="1041"/>
      <c r="C422" s="1042"/>
      <c r="D422" s="1042"/>
      <c r="E422" s="1042"/>
      <c r="F422" s="1043"/>
      <c r="G422" s="1043"/>
      <c r="H422" s="984"/>
      <c r="I422" s="515"/>
      <c r="J422" s="515"/>
      <c r="K422" s="515"/>
      <c r="L422" s="515"/>
      <c r="M422" s="1044"/>
      <c r="N422" s="277"/>
      <c r="O422" s="1045"/>
      <c r="P422" s="1045"/>
      <c r="Q422" s="1045"/>
      <c r="R422" s="1045"/>
      <c r="S422" s="1013"/>
      <c r="T422" s="277"/>
      <c r="U422" s="417"/>
    </row>
    <row r="423" spans="1:21" ht="15" customHeight="1">
      <c r="A423" s="1046"/>
      <c r="B423" s="1041"/>
      <c r="C423" s="1042"/>
      <c r="D423" s="1042"/>
      <c r="E423" s="1042"/>
      <c r="F423" s="1043"/>
      <c r="G423" s="1043"/>
      <c r="H423" s="984"/>
      <c r="I423" s="515"/>
      <c r="J423" s="515"/>
      <c r="K423" s="515"/>
      <c r="L423" s="515"/>
      <c r="M423" s="1044"/>
      <c r="N423" s="277"/>
      <c r="O423" s="1045"/>
      <c r="P423" s="1045"/>
      <c r="Q423" s="1045"/>
      <c r="R423" s="1045"/>
      <c r="S423" s="1013"/>
      <c r="T423" s="277"/>
      <c r="U423" s="417"/>
    </row>
    <row r="424" spans="1:21" ht="15" customHeight="1">
      <c r="A424" s="1046"/>
      <c r="B424" s="1041"/>
      <c r="C424" s="1042"/>
      <c r="D424" s="1042"/>
      <c r="E424" s="1042"/>
      <c r="F424" s="1043"/>
      <c r="G424" s="1043"/>
      <c r="H424" s="247"/>
      <c r="I424" s="515"/>
      <c r="J424" s="515"/>
      <c r="K424" s="515"/>
      <c r="L424" s="515"/>
      <c r="M424" s="1044"/>
      <c r="N424" s="277"/>
      <c r="O424" s="1045"/>
      <c r="P424" s="1045"/>
      <c r="Q424" s="1045"/>
      <c r="R424" s="1045"/>
      <c r="S424" s="1013"/>
      <c r="T424" s="277"/>
      <c r="U424" s="417"/>
    </row>
    <row r="425" spans="1:21" ht="15" customHeight="1">
      <c r="A425" s="1046"/>
      <c r="B425" s="1041"/>
      <c r="C425" s="1042"/>
      <c r="D425" s="1042"/>
      <c r="E425" s="1042"/>
      <c r="F425" s="1043"/>
      <c r="G425" s="1043"/>
      <c r="H425" s="247"/>
      <c r="I425" s="515"/>
      <c r="J425" s="515"/>
      <c r="K425" s="515"/>
      <c r="L425" s="515"/>
      <c r="M425" s="1044"/>
      <c r="N425" s="277"/>
      <c r="O425" s="1045"/>
      <c r="P425" s="1045"/>
      <c r="Q425" s="1045"/>
      <c r="R425" s="1045"/>
      <c r="S425" s="1013"/>
      <c r="T425" s="277"/>
      <c r="U425" s="417"/>
    </row>
    <row r="426" spans="1:21" ht="15" customHeight="1">
      <c r="A426" s="1046"/>
      <c r="B426" s="1041"/>
      <c r="C426" s="1042"/>
      <c r="D426" s="1042"/>
      <c r="E426" s="1042"/>
      <c r="F426" s="1043"/>
      <c r="G426" s="1043"/>
      <c r="H426" s="247"/>
      <c r="I426" s="515"/>
      <c r="J426" s="515"/>
      <c r="K426" s="515"/>
      <c r="L426" s="515"/>
      <c r="M426" s="1044"/>
      <c r="N426" s="277"/>
      <c r="O426" s="1045"/>
      <c r="P426" s="1045"/>
      <c r="Q426" s="1045"/>
      <c r="R426" s="1045"/>
      <c r="S426" s="1013"/>
      <c r="T426" s="277"/>
      <c r="U426" s="417"/>
    </row>
    <row r="427" spans="1:21" ht="15" customHeight="1">
      <c r="A427" s="1046"/>
      <c r="B427" s="1041"/>
      <c r="C427" s="1042"/>
      <c r="D427" s="1042"/>
      <c r="E427" s="1042"/>
      <c r="F427" s="1043"/>
      <c r="G427" s="1043"/>
      <c r="H427" s="247"/>
      <c r="I427" s="515"/>
      <c r="J427" s="515"/>
      <c r="K427" s="515"/>
      <c r="L427" s="515"/>
      <c r="M427" s="1044"/>
      <c r="N427" s="277"/>
      <c r="O427" s="1045"/>
      <c r="P427" s="1045"/>
      <c r="Q427" s="1045"/>
      <c r="R427" s="1045"/>
      <c r="S427" s="1013"/>
      <c r="T427" s="277"/>
      <c r="U427" s="417"/>
    </row>
    <row r="428" spans="1:21" ht="15" customHeight="1">
      <c r="A428" s="250"/>
      <c r="B428" s="250"/>
      <c r="C428" s="251"/>
      <c r="D428" s="251"/>
      <c r="E428" s="251"/>
      <c r="F428" s="252"/>
      <c r="G428" s="252"/>
      <c r="H428" s="1047"/>
      <c r="I428" s="257"/>
      <c r="J428" s="257"/>
      <c r="K428" s="257"/>
      <c r="L428" s="257"/>
      <c r="M428" s="258"/>
      <c r="N428" s="259"/>
      <c r="O428" s="255"/>
      <c r="P428" s="255"/>
      <c r="Q428" s="255"/>
      <c r="R428" s="255"/>
      <c r="S428" s="191"/>
      <c r="T428" s="259"/>
      <c r="U428" s="260"/>
    </row>
    <row r="429" spans="1:21" ht="15" customHeight="1">
      <c r="A429" s="261"/>
      <c r="B429" s="250"/>
      <c r="C429" s="251"/>
      <c r="D429" s="251"/>
      <c r="E429" s="251"/>
      <c r="F429" s="252"/>
      <c r="G429" s="252"/>
      <c r="H429" s="1047"/>
      <c r="I429" s="257"/>
      <c r="J429" s="257"/>
      <c r="K429" s="257"/>
      <c r="L429" s="257"/>
      <c r="M429" s="258"/>
      <c r="N429" s="259"/>
      <c r="O429" s="255"/>
      <c r="P429" s="255"/>
      <c r="Q429" s="255"/>
      <c r="R429" s="255"/>
      <c r="S429" s="191"/>
      <c r="T429" s="259"/>
      <c r="U429" s="260"/>
    </row>
    <row r="430" spans="1:21" ht="15" customHeight="1">
      <c r="B430" s="1041"/>
      <c r="C430" s="1048"/>
      <c r="D430" s="1048"/>
      <c r="E430" s="1048"/>
      <c r="F430" s="417"/>
      <c r="G430" s="417"/>
      <c r="H430" s="984"/>
      <c r="I430" s="515"/>
      <c r="J430" s="515"/>
      <c r="K430" s="379"/>
      <c r="L430" s="1044"/>
      <c r="M430" s="1044"/>
      <c r="N430" s="277"/>
      <c r="O430" s="1049"/>
      <c r="P430" s="1049"/>
      <c r="Q430" s="515"/>
      <c r="R430" s="1049"/>
      <c r="S430" s="1044"/>
      <c r="T430" s="277"/>
      <c r="U430" s="277"/>
    </row>
    <row r="431" spans="1:21" ht="15" customHeight="1">
      <c r="A431" s="1050"/>
      <c r="B431" s="1280"/>
      <c r="C431" s="1048"/>
      <c r="D431" s="1048"/>
      <c r="E431" s="1048"/>
      <c r="F431" s="417"/>
      <c r="G431" s="417"/>
      <c r="H431" s="984"/>
      <c r="I431" s="515"/>
      <c r="J431" s="515"/>
      <c r="K431" s="515"/>
      <c r="L431" s="515"/>
      <c r="M431" s="515"/>
      <c r="N431" s="1051"/>
      <c r="O431" s="1049"/>
      <c r="P431" s="1049"/>
      <c r="Q431" s="1049"/>
      <c r="R431" s="1049"/>
      <c r="S431" s="1044"/>
      <c r="T431" s="277"/>
      <c r="U431" s="277"/>
    </row>
    <row r="432" spans="1:21" ht="15" customHeight="1">
      <c r="B432" s="1280"/>
      <c r="D432" s="1048"/>
      <c r="E432" s="1048"/>
      <c r="F432" s="1048"/>
      <c r="G432" s="417"/>
      <c r="H432" s="515"/>
      <c r="I432" s="515"/>
      <c r="J432" s="515"/>
      <c r="K432" s="515"/>
      <c r="L432" s="515"/>
      <c r="M432" s="1044"/>
      <c r="N432" s="265"/>
      <c r="O432" s="1044"/>
      <c r="P432" s="1044"/>
      <c r="Q432" s="1044"/>
      <c r="R432" s="1044"/>
      <c r="S432" s="1044"/>
      <c r="T432" s="417"/>
      <c r="U432" s="417"/>
    </row>
    <row r="433" spans="1:21" ht="21" customHeight="1">
      <c r="A433" s="1285"/>
      <c r="B433" s="1285"/>
      <c r="C433" s="1285"/>
      <c r="D433" s="1285"/>
      <c r="E433" s="1285"/>
      <c r="F433" s="1285"/>
      <c r="G433" s="1285"/>
      <c r="H433" s="1285"/>
      <c r="I433" s="1285"/>
      <c r="J433" s="1285"/>
      <c r="K433" s="1285"/>
      <c r="L433" s="1285"/>
      <c r="M433" s="1285"/>
      <c r="N433" s="1285"/>
      <c r="O433" s="1285"/>
      <c r="P433" s="1285"/>
      <c r="Q433" s="1285"/>
      <c r="R433" s="1285"/>
      <c r="S433" s="1285"/>
      <c r="T433" s="1285"/>
      <c r="U433" s="1285"/>
    </row>
    <row r="434" spans="1:21" ht="15" customHeight="1">
      <c r="A434" s="1286"/>
      <c r="C434" s="1286"/>
      <c r="D434" s="1286"/>
      <c r="E434" s="1286"/>
      <c r="F434" s="1286"/>
      <c r="G434" s="1286"/>
      <c r="H434" s="1286"/>
      <c r="I434" s="1287"/>
      <c r="J434" s="1287"/>
      <c r="K434" s="1287"/>
      <c r="L434" s="1287"/>
      <c r="M434" s="1288"/>
      <c r="N434" s="1288"/>
      <c r="O434" s="1287"/>
      <c r="P434" s="1287"/>
      <c r="Q434" s="1287"/>
      <c r="R434" s="1287"/>
      <c r="S434" s="1288"/>
      <c r="T434" s="1288"/>
      <c r="U434" s="1288"/>
    </row>
    <row r="435" spans="1:21" ht="15" customHeight="1">
      <c r="A435" s="1286"/>
      <c r="C435" s="984"/>
      <c r="D435" s="984"/>
      <c r="E435" s="984"/>
      <c r="F435" s="984"/>
      <c r="G435" s="984"/>
      <c r="H435" s="1286"/>
      <c r="I435" s="515"/>
      <c r="J435" s="515"/>
      <c r="K435" s="515"/>
      <c r="L435" s="515"/>
      <c r="M435" s="1288"/>
      <c r="N435" s="1288"/>
      <c r="O435" s="515"/>
      <c r="P435" s="515"/>
      <c r="Q435" s="515"/>
      <c r="R435" s="515"/>
      <c r="S435" s="1288"/>
      <c r="T435" s="1288"/>
      <c r="U435" s="1288"/>
    </row>
    <row r="436" spans="1:21" ht="15" customHeight="1">
      <c r="A436" s="1040"/>
      <c r="B436" s="1041"/>
      <c r="C436" s="1042"/>
      <c r="D436" s="1042"/>
      <c r="E436" s="1042"/>
      <c r="F436" s="1043"/>
      <c r="G436" s="1043"/>
      <c r="H436" s="984"/>
      <c r="I436" s="515"/>
      <c r="J436" s="515"/>
      <c r="K436" s="515"/>
      <c r="L436" s="515"/>
      <c r="M436" s="1044"/>
      <c r="N436" s="277"/>
      <c r="O436" s="1045"/>
      <c r="P436" s="1045"/>
      <c r="Q436" s="1045"/>
      <c r="R436" s="1045"/>
      <c r="S436" s="1013"/>
      <c r="T436" s="277"/>
      <c r="U436" s="417"/>
    </row>
    <row r="437" spans="1:21" ht="15" customHeight="1">
      <c r="A437" s="1046"/>
      <c r="B437" s="1041"/>
      <c r="C437" s="1042"/>
      <c r="D437" s="1042"/>
      <c r="E437" s="1042"/>
      <c r="F437" s="1043"/>
      <c r="G437" s="1043"/>
      <c r="H437" s="984"/>
      <c r="I437" s="515"/>
      <c r="J437" s="515"/>
      <c r="K437" s="515"/>
      <c r="L437" s="515"/>
      <c r="M437" s="1044"/>
      <c r="N437" s="277"/>
      <c r="O437" s="1045"/>
      <c r="P437" s="1045"/>
      <c r="Q437" s="1045"/>
      <c r="R437" s="1045"/>
      <c r="S437" s="1013"/>
      <c r="T437" s="277"/>
      <c r="U437" s="417"/>
    </row>
    <row r="438" spans="1:21" ht="15" customHeight="1">
      <c r="A438" s="1046"/>
      <c r="B438" s="1041"/>
      <c r="C438" s="1042"/>
      <c r="D438" s="1042"/>
      <c r="E438" s="1042"/>
      <c r="F438" s="1043"/>
      <c r="G438" s="1043"/>
      <c r="H438" s="984"/>
      <c r="I438" s="515"/>
      <c r="J438" s="515"/>
      <c r="K438" s="515"/>
      <c r="L438" s="515"/>
      <c r="M438" s="1044"/>
      <c r="N438" s="277"/>
      <c r="O438" s="1045"/>
      <c r="P438" s="1045"/>
      <c r="Q438" s="1045"/>
      <c r="R438" s="1045"/>
      <c r="S438" s="1013"/>
      <c r="T438" s="277"/>
      <c r="U438" s="417"/>
    </row>
    <row r="439" spans="1:21" ht="15" customHeight="1">
      <c r="A439" s="1046"/>
      <c r="B439" s="1041"/>
      <c r="C439" s="1042"/>
      <c r="D439" s="1042"/>
      <c r="E439" s="1042"/>
      <c r="F439" s="1043"/>
      <c r="G439" s="1043"/>
      <c r="H439" s="984"/>
      <c r="I439" s="515"/>
      <c r="J439" s="515"/>
      <c r="K439" s="515"/>
      <c r="L439" s="515"/>
      <c r="M439" s="1044"/>
      <c r="N439" s="277"/>
      <c r="O439" s="1045"/>
      <c r="P439" s="1045"/>
      <c r="Q439" s="1045"/>
      <c r="R439" s="1045"/>
      <c r="S439" s="1013"/>
      <c r="T439" s="277"/>
      <c r="U439" s="417"/>
    </row>
    <row r="440" spans="1:21" ht="15" customHeight="1">
      <c r="A440" s="1046"/>
      <c r="B440" s="1041"/>
      <c r="C440" s="1042"/>
      <c r="D440" s="1042"/>
      <c r="E440" s="1042"/>
      <c r="F440" s="1043"/>
      <c r="G440" s="1043"/>
      <c r="H440" s="984"/>
      <c r="I440" s="515"/>
      <c r="J440" s="515"/>
      <c r="K440" s="515"/>
      <c r="L440" s="515"/>
      <c r="M440" s="1044"/>
      <c r="N440" s="277"/>
      <c r="O440" s="1045"/>
      <c r="P440" s="1045"/>
      <c r="Q440" s="1045"/>
      <c r="R440" s="1045"/>
      <c r="S440" s="1013"/>
      <c r="T440" s="277"/>
      <c r="U440" s="417"/>
    </row>
    <row r="441" spans="1:21" ht="15" customHeight="1">
      <c r="A441" s="1046"/>
      <c r="B441" s="1041"/>
      <c r="C441" s="1042"/>
      <c r="D441" s="1042"/>
      <c r="E441" s="1042"/>
      <c r="F441" s="1043"/>
      <c r="G441" s="1043"/>
      <c r="H441" s="984"/>
      <c r="I441" s="515"/>
      <c r="J441" s="515"/>
      <c r="K441" s="515"/>
      <c r="L441" s="515"/>
      <c r="M441" s="1044"/>
      <c r="N441" s="277"/>
      <c r="O441" s="1045"/>
      <c r="P441" s="1045"/>
      <c r="Q441" s="1045"/>
      <c r="R441" s="1045"/>
      <c r="S441" s="1013"/>
      <c r="T441" s="277"/>
      <c r="U441" s="417"/>
    </row>
    <row r="442" spans="1:21" ht="15" customHeight="1">
      <c r="A442" s="1046"/>
      <c r="B442" s="1041"/>
      <c r="C442" s="1042"/>
      <c r="D442" s="1042"/>
      <c r="E442" s="1042"/>
      <c r="F442" s="1043"/>
      <c r="G442" s="1043"/>
      <c r="H442" s="247"/>
      <c r="I442" s="515"/>
      <c r="J442" s="515"/>
      <c r="K442" s="515"/>
      <c r="L442" s="515"/>
      <c r="M442" s="1044"/>
      <c r="N442" s="277"/>
      <c r="O442" s="1045"/>
      <c r="P442" s="1045"/>
      <c r="Q442" s="1045"/>
      <c r="R442" s="1045"/>
      <c r="S442" s="1013"/>
      <c r="T442" s="277"/>
      <c r="U442" s="417"/>
    </row>
    <row r="443" spans="1:21" ht="15" customHeight="1">
      <c r="A443" s="1046"/>
      <c r="B443" s="1041"/>
      <c r="C443" s="1042"/>
      <c r="D443" s="1042"/>
      <c r="E443" s="1042"/>
      <c r="F443" s="1043"/>
      <c r="G443" s="1043"/>
      <c r="H443" s="247"/>
      <c r="I443" s="515"/>
      <c r="J443" s="515"/>
      <c r="K443" s="515"/>
      <c r="L443" s="515"/>
      <c r="M443" s="1044"/>
      <c r="N443" s="277"/>
      <c r="O443" s="1045"/>
      <c r="P443" s="1045"/>
      <c r="Q443" s="1045"/>
      <c r="R443" s="1045"/>
      <c r="S443" s="1013"/>
      <c r="T443" s="277"/>
      <c r="U443" s="417"/>
    </row>
    <row r="444" spans="1:21" ht="15" customHeight="1">
      <c r="A444" s="1046"/>
      <c r="B444" s="1041"/>
      <c r="C444" s="1042"/>
      <c r="D444" s="1042"/>
      <c r="E444" s="1042"/>
      <c r="F444" s="1043"/>
      <c r="G444" s="1043"/>
      <c r="H444" s="247"/>
      <c r="I444" s="515"/>
      <c r="J444" s="515"/>
      <c r="K444" s="515"/>
      <c r="L444" s="515"/>
      <c r="M444" s="1044"/>
      <c r="N444" s="277"/>
      <c r="O444" s="1045"/>
      <c r="P444" s="1045"/>
      <c r="Q444" s="1045"/>
      <c r="R444" s="1045"/>
      <c r="S444" s="1013"/>
      <c r="T444" s="277"/>
      <c r="U444" s="417"/>
    </row>
    <row r="445" spans="1:21" ht="15" customHeight="1">
      <c r="A445" s="1046"/>
      <c r="B445" s="1041"/>
      <c r="C445" s="1042"/>
      <c r="D445" s="1042"/>
      <c r="E445" s="1042"/>
      <c r="F445" s="1043"/>
      <c r="G445" s="1043"/>
      <c r="H445" s="247"/>
      <c r="I445" s="515"/>
      <c r="J445" s="515"/>
      <c r="K445" s="515"/>
      <c r="L445" s="515"/>
      <c r="M445" s="1044"/>
      <c r="N445" s="277"/>
      <c r="O445" s="1045"/>
      <c r="P445" s="1045"/>
      <c r="Q445" s="1045"/>
      <c r="R445" s="1045"/>
      <c r="S445" s="1013"/>
      <c r="T445" s="277"/>
      <c r="U445" s="417"/>
    </row>
    <row r="446" spans="1:21" ht="15" customHeight="1">
      <c r="A446" s="250"/>
      <c r="B446" s="250"/>
      <c r="C446" s="251"/>
      <c r="D446" s="251"/>
      <c r="E446" s="251"/>
      <c r="F446" s="252"/>
      <c r="G446" s="252"/>
      <c r="H446" s="1047"/>
      <c r="I446" s="257"/>
      <c r="J446" s="257"/>
      <c r="K446" s="257"/>
      <c r="L446" s="257"/>
      <c r="M446" s="258"/>
      <c r="N446" s="259"/>
      <c r="O446" s="255"/>
      <c r="P446" s="255"/>
      <c r="Q446" s="255"/>
      <c r="R446" s="255"/>
      <c r="S446" s="191"/>
      <c r="T446" s="259"/>
      <c r="U446" s="260"/>
    </row>
    <row r="447" spans="1:21" ht="15" customHeight="1">
      <c r="A447" s="261"/>
      <c r="B447" s="250"/>
      <c r="C447" s="251"/>
      <c r="D447" s="251"/>
      <c r="E447" s="251"/>
      <c r="F447" s="252"/>
      <c r="G447" s="252"/>
      <c r="H447" s="1047"/>
      <c r="I447" s="257"/>
      <c r="J447" s="257"/>
      <c r="K447" s="257"/>
      <c r="L447" s="257"/>
      <c r="M447" s="258"/>
      <c r="N447" s="259"/>
      <c r="O447" s="255"/>
      <c r="P447" s="255"/>
      <c r="Q447" s="255"/>
      <c r="R447" s="255"/>
      <c r="S447" s="191"/>
      <c r="T447" s="259"/>
      <c r="U447" s="260"/>
    </row>
    <row r="448" spans="1:21" ht="15" customHeight="1">
      <c r="B448" s="1041"/>
      <c r="C448" s="1048"/>
      <c r="D448" s="1048"/>
      <c r="E448" s="1048"/>
      <c r="F448" s="417"/>
      <c r="G448" s="417"/>
      <c r="H448" s="984"/>
      <c r="I448" s="515"/>
      <c r="J448" s="515"/>
      <c r="K448" s="379"/>
      <c r="L448" s="1044"/>
      <c r="M448" s="1044"/>
      <c r="N448" s="277"/>
      <c r="O448" s="1049"/>
      <c r="P448" s="1049"/>
      <c r="Q448" s="515"/>
      <c r="R448" s="1049"/>
      <c r="S448" s="1044"/>
      <c r="T448" s="277"/>
      <c r="U448" s="277"/>
    </row>
    <row r="449" spans="1:21" ht="15" customHeight="1">
      <c r="A449" s="1050"/>
      <c r="B449" s="1280"/>
      <c r="C449" s="1048"/>
      <c r="D449" s="1048"/>
      <c r="E449" s="1048"/>
      <c r="F449" s="417"/>
      <c r="G449" s="417"/>
      <c r="H449" s="984"/>
      <c r="I449" s="515"/>
      <c r="J449" s="515"/>
      <c r="K449" s="515"/>
      <c r="L449" s="515"/>
      <c r="M449" s="515"/>
      <c r="N449" s="1051"/>
      <c r="O449" s="1049"/>
      <c r="P449" s="1049"/>
      <c r="Q449" s="1049"/>
      <c r="R449" s="1049"/>
      <c r="S449" s="1044"/>
      <c r="T449" s="277"/>
      <c r="U449" s="277"/>
    </row>
    <row r="450" spans="1:21" ht="15" customHeight="1">
      <c r="B450" s="1280"/>
      <c r="D450" s="1048"/>
      <c r="E450" s="1048"/>
      <c r="F450" s="1048"/>
      <c r="G450" s="417"/>
      <c r="H450" s="515"/>
      <c r="I450" s="515"/>
      <c r="J450" s="515"/>
      <c r="K450" s="515"/>
      <c r="L450" s="515"/>
      <c r="M450" s="1044"/>
      <c r="N450" s="265"/>
      <c r="O450" s="1044"/>
      <c r="P450" s="1044"/>
      <c r="Q450" s="1044"/>
      <c r="R450" s="1044"/>
      <c r="S450" s="1044"/>
      <c r="T450" s="417"/>
      <c r="U450" s="417"/>
    </row>
    <row r="451" spans="1:21" ht="21" customHeight="1">
      <c r="A451" s="1285"/>
      <c r="B451" s="1285"/>
      <c r="C451" s="1285"/>
      <c r="D451" s="1285"/>
      <c r="E451" s="1285"/>
      <c r="F451" s="1285"/>
      <c r="G451" s="1285"/>
      <c r="H451" s="1285"/>
      <c r="I451" s="1285"/>
      <c r="J451" s="1285"/>
      <c r="K451" s="1285"/>
      <c r="L451" s="1285"/>
      <c r="M451" s="1285"/>
      <c r="N451" s="1285"/>
      <c r="O451" s="1285"/>
      <c r="P451" s="1285"/>
      <c r="Q451" s="1285"/>
      <c r="R451" s="1285"/>
      <c r="S451" s="1285"/>
      <c r="T451" s="1285"/>
      <c r="U451" s="1285"/>
    </row>
    <row r="452" spans="1:21" ht="15" customHeight="1">
      <c r="A452" s="1286"/>
      <c r="C452" s="1286"/>
      <c r="D452" s="1286"/>
      <c r="E452" s="1286"/>
      <c r="F452" s="1286"/>
      <c r="G452" s="1286"/>
      <c r="H452" s="1286"/>
      <c r="I452" s="1287"/>
      <c r="J452" s="1287"/>
      <c r="K452" s="1287"/>
      <c r="L452" s="1287"/>
      <c r="M452" s="1288"/>
      <c r="N452" s="1288"/>
      <c r="O452" s="1287"/>
      <c r="P452" s="1287"/>
      <c r="Q452" s="1287"/>
      <c r="R452" s="1287"/>
      <c r="S452" s="1288"/>
      <c r="T452" s="1288"/>
      <c r="U452" s="1288"/>
    </row>
    <row r="453" spans="1:21" ht="15" customHeight="1">
      <c r="A453" s="1286"/>
      <c r="C453" s="984"/>
      <c r="D453" s="984"/>
      <c r="E453" s="984"/>
      <c r="F453" s="984"/>
      <c r="G453" s="984"/>
      <c r="H453" s="1286"/>
      <c r="I453" s="515"/>
      <c r="J453" s="515"/>
      <c r="K453" s="515"/>
      <c r="L453" s="515"/>
      <c r="M453" s="1288"/>
      <c r="N453" s="1288"/>
      <c r="O453" s="515"/>
      <c r="P453" s="515"/>
      <c r="Q453" s="515"/>
      <c r="R453" s="515"/>
      <c r="S453" s="1288"/>
      <c r="T453" s="1288"/>
      <c r="U453" s="1288"/>
    </row>
    <row r="454" spans="1:21" ht="15" customHeight="1">
      <c r="A454" s="1040"/>
      <c r="B454" s="1041"/>
      <c r="C454" s="1042"/>
      <c r="D454" s="1042"/>
      <c r="E454" s="1042"/>
      <c r="F454" s="1043"/>
      <c r="G454" s="1043"/>
      <c r="H454" s="984"/>
      <c r="I454" s="515"/>
      <c r="J454" s="515"/>
      <c r="K454" s="515"/>
      <c r="L454" s="515"/>
      <c r="M454" s="1044"/>
      <c r="N454" s="277"/>
      <c r="O454" s="1045"/>
      <c r="P454" s="1045"/>
      <c r="Q454" s="1045"/>
      <c r="R454" s="1045"/>
      <c r="S454" s="1013"/>
      <c r="T454" s="277"/>
      <c r="U454" s="417"/>
    </row>
    <row r="455" spans="1:21" ht="15" customHeight="1">
      <c r="A455" s="1046"/>
      <c r="B455" s="1041"/>
      <c r="C455" s="1042"/>
      <c r="D455" s="1042"/>
      <c r="E455" s="1042"/>
      <c r="F455" s="1043"/>
      <c r="G455" s="1043"/>
      <c r="H455" s="984"/>
      <c r="I455" s="515"/>
      <c r="J455" s="515"/>
      <c r="K455" s="515"/>
      <c r="L455" s="515"/>
      <c r="M455" s="1044"/>
      <c r="N455" s="277"/>
      <c r="O455" s="1045"/>
      <c r="P455" s="1045"/>
      <c r="Q455" s="1045"/>
      <c r="R455" s="1045"/>
      <c r="S455" s="1013"/>
      <c r="T455" s="277"/>
      <c r="U455" s="417"/>
    </row>
    <row r="456" spans="1:21" ht="15" customHeight="1">
      <c r="A456" s="1046"/>
      <c r="B456" s="1041"/>
      <c r="C456" s="1042"/>
      <c r="D456" s="1042"/>
      <c r="E456" s="1042"/>
      <c r="F456" s="1043"/>
      <c r="G456" s="1043"/>
      <c r="H456" s="984"/>
      <c r="I456" s="515"/>
      <c r="J456" s="515"/>
      <c r="K456" s="515"/>
      <c r="L456" s="515"/>
      <c r="M456" s="1044"/>
      <c r="N456" s="277"/>
      <c r="O456" s="1045"/>
      <c r="P456" s="1045"/>
      <c r="Q456" s="1045"/>
      <c r="R456" s="1045"/>
      <c r="S456" s="1013"/>
      <c r="T456" s="277"/>
      <c r="U456" s="417"/>
    </row>
    <row r="457" spans="1:21" ht="15" customHeight="1">
      <c r="A457" s="1046"/>
      <c r="B457" s="1041"/>
      <c r="C457" s="1042"/>
      <c r="D457" s="1042"/>
      <c r="E457" s="1042"/>
      <c r="F457" s="1043"/>
      <c r="G457" s="1043"/>
      <c r="H457" s="984"/>
      <c r="I457" s="515"/>
      <c r="J457" s="515"/>
      <c r="K457" s="515"/>
      <c r="L457" s="515"/>
      <c r="M457" s="1044"/>
      <c r="N457" s="277"/>
      <c r="O457" s="1045"/>
      <c r="P457" s="1045"/>
      <c r="Q457" s="1045"/>
      <c r="R457" s="1045"/>
      <c r="S457" s="1013"/>
      <c r="T457" s="277"/>
      <c r="U457" s="417"/>
    </row>
    <row r="458" spans="1:21" ht="15" customHeight="1">
      <c r="A458" s="1046"/>
      <c r="B458" s="1041"/>
      <c r="C458" s="1042"/>
      <c r="D458" s="1042"/>
      <c r="E458" s="1042"/>
      <c r="F458" s="1043"/>
      <c r="G458" s="1043"/>
      <c r="H458" s="984"/>
      <c r="I458" s="515"/>
      <c r="J458" s="515"/>
      <c r="K458" s="515"/>
      <c r="L458" s="515"/>
      <c r="M458" s="1044"/>
      <c r="N458" s="277"/>
      <c r="O458" s="1045"/>
      <c r="P458" s="1045"/>
      <c r="Q458" s="1045"/>
      <c r="R458" s="1045"/>
      <c r="S458" s="1013"/>
      <c r="T458" s="277"/>
      <c r="U458" s="417"/>
    </row>
    <row r="459" spans="1:21" ht="15" customHeight="1">
      <c r="A459" s="1046"/>
      <c r="B459" s="1041"/>
      <c r="C459" s="1042"/>
      <c r="D459" s="1042"/>
      <c r="E459" s="1042"/>
      <c r="F459" s="1043"/>
      <c r="G459" s="1043"/>
      <c r="H459" s="984"/>
      <c r="I459" s="515"/>
      <c r="J459" s="515"/>
      <c r="K459" s="515"/>
      <c r="L459" s="515"/>
      <c r="M459" s="1044"/>
      <c r="N459" s="277"/>
      <c r="O459" s="1045"/>
      <c r="P459" s="1045"/>
      <c r="Q459" s="1045"/>
      <c r="R459" s="1045"/>
      <c r="S459" s="1013"/>
      <c r="T459" s="277"/>
      <c r="U459" s="417"/>
    </row>
    <row r="460" spans="1:21" ht="15" customHeight="1">
      <c r="A460" s="1046"/>
      <c r="B460" s="1041"/>
      <c r="C460" s="1042"/>
      <c r="D460" s="1042"/>
      <c r="E460" s="1042"/>
      <c r="F460" s="1043"/>
      <c r="G460" s="1043"/>
      <c r="H460" s="247"/>
      <c r="I460" s="515"/>
      <c r="J460" s="515"/>
      <c r="K460" s="515"/>
      <c r="L460" s="515"/>
      <c r="M460" s="1044"/>
      <c r="N460" s="277"/>
      <c r="O460" s="1045"/>
      <c r="P460" s="1045"/>
      <c r="Q460" s="1045"/>
      <c r="R460" s="1045"/>
      <c r="S460" s="1013"/>
      <c r="T460" s="277"/>
      <c r="U460" s="417"/>
    </row>
    <row r="461" spans="1:21" ht="15" customHeight="1">
      <c r="A461" s="1046"/>
      <c r="B461" s="1041"/>
      <c r="C461" s="1042"/>
      <c r="D461" s="1042"/>
      <c r="E461" s="1042"/>
      <c r="F461" s="1043"/>
      <c r="G461" s="1043"/>
      <c r="H461" s="247"/>
      <c r="I461" s="515"/>
      <c r="J461" s="515"/>
      <c r="K461" s="515"/>
      <c r="L461" s="515"/>
      <c r="M461" s="1044"/>
      <c r="N461" s="277"/>
      <c r="O461" s="1045"/>
      <c r="P461" s="1045"/>
      <c r="Q461" s="1045"/>
      <c r="R461" s="1045"/>
      <c r="S461" s="1013"/>
      <c r="T461" s="277"/>
      <c r="U461" s="417"/>
    </row>
    <row r="462" spans="1:21" ht="15" customHeight="1">
      <c r="A462" s="1046"/>
      <c r="B462" s="1041"/>
      <c r="C462" s="1042"/>
      <c r="D462" s="1042"/>
      <c r="E462" s="1042"/>
      <c r="F462" s="1043"/>
      <c r="G462" s="1043"/>
      <c r="H462" s="247"/>
      <c r="I462" s="515"/>
      <c r="J462" s="515"/>
      <c r="K462" s="515"/>
      <c r="L462" s="515"/>
      <c r="M462" s="1044"/>
      <c r="N462" s="277"/>
      <c r="O462" s="1045"/>
      <c r="P462" s="1045"/>
      <c r="Q462" s="1045"/>
      <c r="R462" s="1045"/>
      <c r="S462" s="1013"/>
      <c r="T462" s="277"/>
      <c r="U462" s="417"/>
    </row>
    <row r="463" spans="1:21" ht="15" customHeight="1">
      <c r="A463" s="1046"/>
      <c r="B463" s="1041"/>
      <c r="C463" s="1042"/>
      <c r="D463" s="1042"/>
      <c r="E463" s="1042"/>
      <c r="F463" s="1043"/>
      <c r="G463" s="1043"/>
      <c r="H463" s="247"/>
      <c r="I463" s="515"/>
      <c r="J463" s="515"/>
      <c r="K463" s="515"/>
      <c r="L463" s="515"/>
      <c r="M463" s="1044"/>
      <c r="N463" s="277"/>
      <c r="O463" s="1045"/>
      <c r="P463" s="1045"/>
      <c r="Q463" s="1045"/>
      <c r="R463" s="1045"/>
      <c r="S463" s="1013"/>
      <c r="T463" s="277"/>
      <c r="U463" s="417"/>
    </row>
    <row r="464" spans="1:21" ht="15" customHeight="1">
      <c r="A464" s="250"/>
      <c r="B464" s="250"/>
      <c r="C464" s="251"/>
      <c r="D464" s="251"/>
      <c r="E464" s="251"/>
      <c r="F464" s="252"/>
      <c r="G464" s="252"/>
      <c r="H464" s="1047"/>
      <c r="I464" s="257"/>
      <c r="J464" s="257"/>
      <c r="K464" s="257"/>
      <c r="L464" s="257"/>
      <c r="M464" s="258"/>
      <c r="N464" s="259"/>
      <c r="O464" s="255"/>
      <c r="P464" s="255"/>
      <c r="Q464" s="255"/>
      <c r="R464" s="255"/>
      <c r="S464" s="191"/>
      <c r="T464" s="259"/>
      <c r="U464" s="260"/>
    </row>
    <row r="465" spans="1:21" ht="15" customHeight="1">
      <c r="A465" s="261"/>
      <c r="B465" s="250"/>
      <c r="C465" s="251"/>
      <c r="D465" s="251"/>
      <c r="E465" s="251"/>
      <c r="F465" s="252"/>
      <c r="G465" s="252"/>
      <c r="H465" s="1047"/>
      <c r="I465" s="257"/>
      <c r="J465" s="257"/>
      <c r="K465" s="257"/>
      <c r="L465" s="257"/>
      <c r="M465" s="258"/>
      <c r="N465" s="259"/>
      <c r="O465" s="255"/>
      <c r="P465" s="255"/>
      <c r="Q465" s="255"/>
      <c r="R465" s="255"/>
      <c r="S465" s="191"/>
      <c r="T465" s="259"/>
      <c r="U465" s="260"/>
    </row>
    <row r="466" spans="1:21" ht="15" customHeight="1">
      <c r="B466" s="1041"/>
      <c r="C466" s="1048"/>
      <c r="D466" s="1048"/>
      <c r="E466" s="1048"/>
      <c r="F466" s="417"/>
      <c r="G466" s="417"/>
      <c r="H466" s="984"/>
      <c r="I466" s="515"/>
      <c r="J466" s="515"/>
      <c r="K466" s="379"/>
      <c r="L466" s="1044"/>
      <c r="M466" s="1044"/>
      <c r="N466" s="277"/>
      <c r="O466" s="1049"/>
      <c r="P466" s="1049"/>
      <c r="Q466" s="515"/>
      <c r="R466" s="1049"/>
      <c r="S466" s="1044"/>
      <c r="T466" s="277"/>
      <c r="U466" s="277"/>
    </row>
    <row r="467" spans="1:21" ht="15" customHeight="1">
      <c r="A467" s="1050"/>
      <c r="B467" s="1280"/>
      <c r="C467" s="1048"/>
      <c r="D467" s="1048"/>
      <c r="E467" s="1048"/>
      <c r="F467" s="417"/>
      <c r="G467" s="417"/>
      <c r="H467" s="984"/>
      <c r="I467" s="515"/>
      <c r="J467" s="515"/>
      <c r="K467" s="515"/>
      <c r="L467" s="515"/>
      <c r="M467" s="515"/>
      <c r="N467" s="1051"/>
      <c r="O467" s="1049"/>
      <c r="P467" s="1049"/>
      <c r="Q467" s="1049"/>
      <c r="R467" s="1049"/>
      <c r="S467" s="1044"/>
      <c r="T467" s="277"/>
      <c r="U467" s="277"/>
    </row>
    <row r="468" spans="1:21" ht="15" customHeight="1">
      <c r="B468" s="1280"/>
      <c r="D468" s="1048"/>
      <c r="E468" s="1048"/>
      <c r="F468" s="1048"/>
      <c r="G468" s="417"/>
      <c r="H468" s="515"/>
      <c r="I468" s="515"/>
      <c r="J468" s="515"/>
      <c r="K468" s="515"/>
      <c r="L468" s="515"/>
      <c r="M468" s="1044"/>
      <c r="N468" s="265"/>
      <c r="O468" s="1044"/>
      <c r="P468" s="1044"/>
      <c r="Q468" s="1044"/>
      <c r="R468" s="1044"/>
      <c r="S468" s="1044"/>
      <c r="T468" s="417"/>
      <c r="U468" s="417"/>
    </row>
    <row r="469" spans="1:21" ht="21" customHeight="1">
      <c r="A469" s="1285"/>
      <c r="B469" s="1285"/>
      <c r="C469" s="1285"/>
      <c r="D469" s="1285"/>
      <c r="E469" s="1285"/>
      <c r="F469" s="1285"/>
      <c r="G469" s="1285"/>
      <c r="H469" s="1285"/>
      <c r="I469" s="1285"/>
      <c r="J469" s="1285"/>
      <c r="K469" s="1285"/>
      <c r="L469" s="1285"/>
      <c r="M469" s="1285"/>
      <c r="N469" s="1285"/>
      <c r="O469" s="1285"/>
      <c r="P469" s="1285"/>
      <c r="Q469" s="1285"/>
      <c r="R469" s="1285"/>
      <c r="S469" s="1285"/>
      <c r="T469" s="1285"/>
      <c r="U469" s="1285"/>
    </row>
    <row r="470" spans="1:21" ht="15" customHeight="1">
      <c r="A470" s="1286"/>
      <c r="C470" s="1286"/>
      <c r="D470" s="1286"/>
      <c r="E470" s="1286"/>
      <c r="F470" s="1286"/>
      <c r="G470" s="1286"/>
      <c r="H470" s="1286"/>
      <c r="I470" s="1287"/>
      <c r="J470" s="1287"/>
      <c r="K470" s="1287"/>
      <c r="L470" s="1287"/>
      <c r="M470" s="1288"/>
      <c r="N470" s="1288"/>
      <c r="O470" s="1287"/>
      <c r="P470" s="1287"/>
      <c r="Q470" s="1287"/>
      <c r="R470" s="1287"/>
      <c r="S470" s="1288"/>
      <c r="T470" s="1288"/>
      <c r="U470" s="1288"/>
    </row>
    <row r="471" spans="1:21" ht="15" customHeight="1">
      <c r="A471" s="1286"/>
      <c r="C471" s="984"/>
      <c r="D471" s="984"/>
      <c r="E471" s="984"/>
      <c r="F471" s="984"/>
      <c r="G471" s="984"/>
      <c r="H471" s="1286"/>
      <c r="I471" s="515"/>
      <c r="J471" s="515"/>
      <c r="K471" s="515"/>
      <c r="L471" s="515"/>
      <c r="M471" s="1288"/>
      <c r="N471" s="1288"/>
      <c r="O471" s="515"/>
      <c r="P471" s="515"/>
      <c r="Q471" s="515"/>
      <c r="R471" s="515"/>
      <c r="S471" s="1288"/>
      <c r="T471" s="1288"/>
      <c r="U471" s="1288"/>
    </row>
    <row r="472" spans="1:21" ht="15" customHeight="1">
      <c r="A472" s="1040"/>
      <c r="B472" s="1041"/>
      <c r="C472" s="1042"/>
      <c r="D472" s="1042"/>
      <c r="E472" s="1042"/>
      <c r="F472" s="1043"/>
      <c r="G472" s="1043"/>
      <c r="H472" s="984"/>
      <c r="I472" s="515"/>
      <c r="J472" s="515"/>
      <c r="K472" s="515"/>
      <c r="L472" s="515"/>
      <c r="M472" s="1044"/>
      <c r="N472" s="277"/>
      <c r="O472" s="1045"/>
      <c r="P472" s="1045"/>
      <c r="Q472" s="1045"/>
      <c r="R472" s="1045"/>
      <c r="S472" s="1013"/>
      <c r="T472" s="277"/>
      <c r="U472" s="417"/>
    </row>
    <row r="473" spans="1:21" ht="15" customHeight="1">
      <c r="A473" s="1046"/>
      <c r="B473" s="1041"/>
      <c r="C473" s="1042"/>
      <c r="D473" s="1042"/>
      <c r="E473" s="1042"/>
      <c r="F473" s="1043"/>
      <c r="G473" s="1043"/>
      <c r="H473" s="984"/>
      <c r="I473" s="515"/>
      <c r="J473" s="515"/>
      <c r="K473" s="515"/>
      <c r="L473" s="515"/>
      <c r="M473" s="1044"/>
      <c r="N473" s="277"/>
      <c r="O473" s="1045"/>
      <c r="P473" s="1045"/>
      <c r="Q473" s="1045"/>
      <c r="R473" s="1045"/>
      <c r="S473" s="1013"/>
      <c r="T473" s="277"/>
      <c r="U473" s="417"/>
    </row>
    <row r="474" spans="1:21" ht="15" customHeight="1">
      <c r="A474" s="1046"/>
      <c r="B474" s="1041"/>
      <c r="C474" s="1042"/>
      <c r="D474" s="1042"/>
      <c r="E474" s="1042"/>
      <c r="F474" s="1043"/>
      <c r="G474" s="1043"/>
      <c r="H474" s="984"/>
      <c r="I474" s="515"/>
      <c r="J474" s="515"/>
      <c r="K474" s="515"/>
      <c r="L474" s="515"/>
      <c r="M474" s="1044"/>
      <c r="N474" s="277"/>
      <c r="O474" s="1045"/>
      <c r="P474" s="1045"/>
      <c r="Q474" s="1045"/>
      <c r="R474" s="1045"/>
      <c r="S474" s="1013"/>
      <c r="T474" s="277"/>
      <c r="U474" s="417"/>
    </row>
    <row r="475" spans="1:21" ht="15" customHeight="1">
      <c r="A475" s="1046"/>
      <c r="B475" s="1041"/>
      <c r="C475" s="1042"/>
      <c r="D475" s="1042"/>
      <c r="E475" s="1042"/>
      <c r="F475" s="1043"/>
      <c r="G475" s="1043"/>
      <c r="H475" s="984"/>
      <c r="I475" s="515"/>
      <c r="J475" s="515"/>
      <c r="K475" s="515"/>
      <c r="L475" s="515"/>
      <c r="M475" s="1044"/>
      <c r="N475" s="277"/>
      <c r="O475" s="1045"/>
      <c r="P475" s="1045"/>
      <c r="Q475" s="1045"/>
      <c r="R475" s="1045"/>
      <c r="S475" s="1013"/>
      <c r="T475" s="277"/>
      <c r="U475" s="417"/>
    </row>
    <row r="476" spans="1:21" ht="15" customHeight="1">
      <c r="A476" s="1046"/>
      <c r="B476" s="1041"/>
      <c r="C476" s="1042"/>
      <c r="D476" s="1042"/>
      <c r="E476" s="1042"/>
      <c r="F476" s="1043"/>
      <c r="G476" s="1043"/>
      <c r="H476" s="984"/>
      <c r="I476" s="515"/>
      <c r="J476" s="515"/>
      <c r="K476" s="515"/>
      <c r="L476" s="515"/>
      <c r="M476" s="1044"/>
      <c r="N476" s="277"/>
      <c r="O476" s="1045"/>
      <c r="P476" s="1045"/>
      <c r="Q476" s="1045"/>
      <c r="R476" s="1045"/>
      <c r="S476" s="1013"/>
      <c r="T476" s="277"/>
      <c r="U476" s="417"/>
    </row>
    <row r="477" spans="1:21" ht="15" customHeight="1">
      <c r="A477" s="1046"/>
      <c r="B477" s="1041"/>
      <c r="C477" s="1042"/>
      <c r="D477" s="1042"/>
      <c r="E477" s="1042"/>
      <c r="F477" s="1043"/>
      <c r="G477" s="1043"/>
      <c r="H477" s="984"/>
      <c r="I477" s="515"/>
      <c r="J477" s="515"/>
      <c r="K477" s="515"/>
      <c r="L477" s="515"/>
      <c r="M477" s="1044"/>
      <c r="N477" s="277"/>
      <c r="O477" s="1045"/>
      <c r="P477" s="1045"/>
      <c r="Q477" s="1045"/>
      <c r="R477" s="1045"/>
      <c r="S477" s="1013"/>
      <c r="T477" s="277"/>
      <c r="U477" s="417"/>
    </row>
    <row r="478" spans="1:21" ht="15" customHeight="1">
      <c r="A478" s="1046"/>
      <c r="B478" s="1041"/>
      <c r="C478" s="1042"/>
      <c r="D478" s="1042"/>
      <c r="E478" s="1042"/>
      <c r="F478" s="1043"/>
      <c r="G478" s="1043"/>
      <c r="H478" s="247"/>
      <c r="I478" s="515"/>
      <c r="J478" s="515"/>
      <c r="K478" s="515"/>
      <c r="L478" s="515"/>
      <c r="M478" s="1044"/>
      <c r="N478" s="277"/>
      <c r="O478" s="1045"/>
      <c r="P478" s="1045"/>
      <c r="Q478" s="1045"/>
      <c r="R478" s="1045"/>
      <c r="S478" s="1013"/>
      <c r="T478" s="277"/>
      <c r="U478" s="417"/>
    </row>
    <row r="479" spans="1:21" ht="15" customHeight="1">
      <c r="A479" s="1046"/>
      <c r="B479" s="1041"/>
      <c r="C479" s="1042"/>
      <c r="D479" s="1042"/>
      <c r="E479" s="1042"/>
      <c r="F479" s="1043"/>
      <c r="G479" s="1043"/>
      <c r="H479" s="247"/>
      <c r="I479" s="515"/>
      <c r="J479" s="515"/>
      <c r="K479" s="515"/>
      <c r="L479" s="515"/>
      <c r="M479" s="1044"/>
      <c r="N479" s="277"/>
      <c r="O479" s="1045"/>
      <c r="P479" s="1045"/>
      <c r="Q479" s="1045"/>
      <c r="R479" s="1045"/>
      <c r="S479" s="1013"/>
      <c r="T479" s="277"/>
      <c r="U479" s="417"/>
    </row>
    <row r="480" spans="1:21" ht="15" customHeight="1">
      <c r="A480" s="1046"/>
      <c r="B480" s="1041"/>
      <c r="C480" s="1042"/>
      <c r="D480" s="1042"/>
      <c r="E480" s="1042"/>
      <c r="F480" s="1043"/>
      <c r="G480" s="1043"/>
      <c r="H480" s="247"/>
      <c r="I480" s="515"/>
      <c r="J480" s="515"/>
      <c r="K480" s="515"/>
      <c r="L480" s="515"/>
      <c r="M480" s="1044"/>
      <c r="N480" s="277"/>
      <c r="O480" s="1045"/>
      <c r="P480" s="1045"/>
      <c r="Q480" s="1045"/>
      <c r="R480" s="1045"/>
      <c r="S480" s="1013"/>
      <c r="T480" s="277"/>
      <c r="U480" s="417"/>
    </row>
    <row r="481" spans="1:21" ht="15" customHeight="1">
      <c r="A481" s="1046"/>
      <c r="B481" s="1041"/>
      <c r="C481" s="1042"/>
      <c r="D481" s="1042"/>
      <c r="E481" s="1042"/>
      <c r="F481" s="1043"/>
      <c r="G481" s="1043"/>
      <c r="H481" s="247"/>
      <c r="I481" s="515"/>
      <c r="J481" s="515"/>
      <c r="K481" s="515"/>
      <c r="L481" s="515"/>
      <c r="M481" s="1044"/>
      <c r="N481" s="277"/>
      <c r="O481" s="1045"/>
      <c r="P481" s="1045"/>
      <c r="Q481" s="1045"/>
      <c r="R481" s="1045"/>
      <c r="S481" s="1013"/>
      <c r="T481" s="277"/>
      <c r="U481" s="417"/>
    </row>
    <row r="482" spans="1:21" ht="15" customHeight="1">
      <c r="A482" s="250"/>
      <c r="B482" s="250"/>
      <c r="C482" s="251"/>
      <c r="D482" s="251"/>
      <c r="E482" s="251"/>
      <c r="F482" s="252"/>
      <c r="G482" s="252"/>
      <c r="H482" s="1047"/>
      <c r="I482" s="257"/>
      <c r="J482" s="257"/>
      <c r="K482" s="257"/>
      <c r="L482" s="257"/>
      <c r="M482" s="258"/>
      <c r="N482" s="259"/>
      <c r="O482" s="255"/>
      <c r="P482" s="255"/>
      <c r="Q482" s="255"/>
      <c r="R482" s="255"/>
      <c r="S482" s="191"/>
      <c r="T482" s="259"/>
      <c r="U482" s="260"/>
    </row>
    <row r="483" spans="1:21" ht="15" customHeight="1">
      <c r="A483" s="261"/>
      <c r="B483" s="250"/>
      <c r="C483" s="251"/>
      <c r="D483" s="251"/>
      <c r="E483" s="251"/>
      <c r="F483" s="252"/>
      <c r="G483" s="252"/>
      <c r="H483" s="1047"/>
      <c r="I483" s="257"/>
      <c r="J483" s="257"/>
      <c r="K483" s="257"/>
      <c r="L483" s="257"/>
      <c r="M483" s="258"/>
      <c r="N483" s="259"/>
      <c r="O483" s="255"/>
      <c r="P483" s="255"/>
      <c r="Q483" s="255"/>
      <c r="R483" s="255"/>
      <c r="S483" s="191"/>
      <c r="T483" s="259"/>
      <c r="U483" s="260"/>
    </row>
    <row r="484" spans="1:21" ht="15" customHeight="1">
      <c r="B484" s="1041"/>
      <c r="C484" s="1048"/>
      <c r="D484" s="1048"/>
      <c r="E484" s="1048"/>
      <c r="F484" s="417"/>
      <c r="G484" s="417"/>
      <c r="H484" s="984"/>
      <c r="I484" s="515"/>
      <c r="J484" s="515"/>
      <c r="K484" s="379"/>
      <c r="L484" s="1044"/>
      <c r="M484" s="1044"/>
      <c r="N484" s="277"/>
      <c r="O484" s="1049"/>
      <c r="P484" s="1049"/>
      <c r="Q484" s="515"/>
      <c r="R484" s="1049"/>
      <c r="S484" s="1044"/>
      <c r="T484" s="277"/>
      <c r="U484" s="277"/>
    </row>
    <row r="485" spans="1:21" ht="15" customHeight="1">
      <c r="A485" s="1050"/>
      <c r="B485" s="1280"/>
      <c r="C485" s="1048"/>
      <c r="D485" s="1048"/>
      <c r="E485" s="1048"/>
      <c r="F485" s="417"/>
      <c r="G485" s="417"/>
      <c r="H485" s="984"/>
      <c r="I485" s="515"/>
      <c r="J485" s="515"/>
      <c r="K485" s="515"/>
      <c r="L485" s="515"/>
      <c r="M485" s="515"/>
      <c r="N485" s="1051"/>
      <c r="O485" s="1049"/>
      <c r="P485" s="1049"/>
      <c r="Q485" s="1049"/>
      <c r="R485" s="1049"/>
      <c r="S485" s="1044"/>
      <c r="T485" s="277"/>
      <c r="U485" s="277"/>
    </row>
    <row r="486" spans="1:21" ht="15" customHeight="1">
      <c r="B486" s="1280"/>
      <c r="D486" s="1048"/>
      <c r="E486" s="1048"/>
      <c r="F486" s="1048"/>
      <c r="G486" s="417"/>
      <c r="H486" s="515"/>
      <c r="I486" s="515"/>
      <c r="J486" s="515"/>
      <c r="K486" s="515"/>
      <c r="L486" s="515"/>
      <c r="M486" s="1044"/>
      <c r="N486" s="265"/>
      <c r="O486" s="1044"/>
      <c r="P486" s="1044"/>
      <c r="Q486" s="1044"/>
      <c r="R486" s="1044"/>
      <c r="S486" s="1044"/>
      <c r="T486" s="417"/>
      <c r="U486" s="417"/>
    </row>
    <row r="487" spans="1:21" ht="21" customHeight="1">
      <c r="A487" s="1285"/>
      <c r="B487" s="1285"/>
      <c r="C487" s="1285"/>
      <c r="D487" s="1285"/>
      <c r="E487" s="1285"/>
      <c r="F487" s="1285"/>
      <c r="G487" s="1285"/>
      <c r="H487" s="1285"/>
      <c r="I487" s="1285"/>
      <c r="J487" s="1285"/>
      <c r="K487" s="1285"/>
      <c r="L487" s="1285"/>
      <c r="M487" s="1285"/>
      <c r="N487" s="1285"/>
      <c r="O487" s="1285"/>
      <c r="P487" s="1285"/>
      <c r="Q487" s="1285"/>
      <c r="R487" s="1285"/>
      <c r="S487" s="1285"/>
      <c r="T487" s="1285"/>
      <c r="U487" s="1285"/>
    </row>
    <row r="488" spans="1:21" ht="15" customHeight="1">
      <c r="A488" s="1286"/>
      <c r="C488" s="1286"/>
      <c r="D488" s="1286"/>
      <c r="E488" s="1286"/>
      <c r="F488" s="1286"/>
      <c r="G488" s="1286"/>
      <c r="H488" s="1286"/>
      <c r="I488" s="1287"/>
      <c r="J488" s="1287"/>
      <c r="K488" s="1287"/>
      <c r="L488" s="1287"/>
      <c r="M488" s="1288"/>
      <c r="N488" s="1288"/>
      <c r="O488" s="1287"/>
      <c r="P488" s="1287"/>
      <c r="Q488" s="1287"/>
      <c r="R488" s="1287"/>
      <c r="S488" s="1288"/>
      <c r="T488" s="1288"/>
      <c r="U488" s="1288"/>
    </row>
    <row r="489" spans="1:21" ht="15" customHeight="1">
      <c r="A489" s="1286"/>
      <c r="C489" s="984"/>
      <c r="D489" s="984"/>
      <c r="E489" s="984"/>
      <c r="F489" s="984"/>
      <c r="G489" s="984"/>
      <c r="H489" s="1286"/>
      <c r="I489" s="515"/>
      <c r="J489" s="515"/>
      <c r="K489" s="515"/>
      <c r="L489" s="515"/>
      <c r="M489" s="1288"/>
      <c r="N489" s="1288"/>
      <c r="O489" s="515"/>
      <c r="P489" s="515"/>
      <c r="Q489" s="515"/>
      <c r="R489" s="515"/>
      <c r="S489" s="1288"/>
      <c r="T489" s="1288"/>
      <c r="U489" s="1288"/>
    </row>
    <row r="490" spans="1:21" ht="15" customHeight="1">
      <c r="A490" s="1040"/>
      <c r="B490" s="1041"/>
      <c r="C490" s="1042"/>
      <c r="D490" s="1042"/>
      <c r="E490" s="1042"/>
      <c r="F490" s="1043"/>
      <c r="G490" s="1043"/>
      <c r="H490" s="984"/>
      <c r="I490" s="515"/>
      <c r="J490" s="515"/>
      <c r="K490" s="515"/>
      <c r="L490" s="515"/>
      <c r="M490" s="1044"/>
      <c r="N490" s="277"/>
      <c r="O490" s="1045"/>
      <c r="P490" s="1045"/>
      <c r="Q490" s="1045"/>
      <c r="R490" s="1045"/>
      <c r="S490" s="1013"/>
      <c r="T490" s="277"/>
      <c r="U490" s="417"/>
    </row>
    <row r="491" spans="1:21" ht="15" customHeight="1">
      <c r="A491" s="1046"/>
      <c r="B491" s="1041"/>
      <c r="C491" s="1042"/>
      <c r="D491" s="1042"/>
      <c r="E491" s="1042"/>
      <c r="F491" s="1043"/>
      <c r="G491" s="1043"/>
      <c r="H491" s="984"/>
      <c r="I491" s="515"/>
      <c r="J491" s="515"/>
      <c r="K491" s="515"/>
      <c r="L491" s="515"/>
      <c r="M491" s="1044"/>
      <c r="N491" s="277"/>
      <c r="O491" s="1045"/>
      <c r="P491" s="1045"/>
      <c r="Q491" s="1045"/>
      <c r="R491" s="1045"/>
      <c r="S491" s="1013"/>
      <c r="T491" s="277"/>
      <c r="U491" s="417"/>
    </row>
    <row r="492" spans="1:21" ht="15" customHeight="1">
      <c r="A492" s="1046"/>
      <c r="B492" s="1041"/>
      <c r="C492" s="1042"/>
      <c r="D492" s="1042"/>
      <c r="E492" s="1042"/>
      <c r="F492" s="1043"/>
      <c r="G492" s="1043"/>
      <c r="H492" s="984"/>
      <c r="I492" s="515"/>
      <c r="J492" s="515"/>
      <c r="K492" s="515"/>
      <c r="L492" s="515"/>
      <c r="M492" s="1044"/>
      <c r="N492" s="277"/>
      <c r="O492" s="1045"/>
      <c r="P492" s="1045"/>
      <c r="Q492" s="1045"/>
      <c r="R492" s="1045"/>
      <c r="S492" s="1013"/>
      <c r="T492" s="277"/>
      <c r="U492" s="417"/>
    </row>
    <row r="493" spans="1:21" ht="15" customHeight="1">
      <c r="A493" s="1046"/>
      <c r="B493" s="1041"/>
      <c r="C493" s="1042"/>
      <c r="D493" s="1042"/>
      <c r="E493" s="1042"/>
      <c r="F493" s="1043"/>
      <c r="G493" s="1043"/>
      <c r="H493" s="984"/>
      <c r="I493" s="515"/>
      <c r="J493" s="515"/>
      <c r="K493" s="515"/>
      <c r="L493" s="515"/>
      <c r="M493" s="1044"/>
      <c r="N493" s="277"/>
      <c r="O493" s="1045"/>
      <c r="P493" s="1045"/>
      <c r="Q493" s="1045"/>
      <c r="R493" s="1045"/>
      <c r="S493" s="1013"/>
      <c r="T493" s="277"/>
      <c r="U493" s="417"/>
    </row>
    <row r="494" spans="1:21" ht="15" customHeight="1">
      <c r="A494" s="1046"/>
      <c r="B494" s="1041"/>
      <c r="C494" s="1042"/>
      <c r="D494" s="1042"/>
      <c r="E494" s="1042"/>
      <c r="F494" s="1043"/>
      <c r="G494" s="1043"/>
      <c r="H494" s="984"/>
      <c r="I494" s="515"/>
      <c r="J494" s="515"/>
      <c r="K494" s="515"/>
      <c r="L494" s="515"/>
      <c r="M494" s="1044"/>
      <c r="N494" s="277"/>
      <c r="O494" s="1045"/>
      <c r="P494" s="1045"/>
      <c r="Q494" s="1045"/>
      <c r="R494" s="1045"/>
      <c r="S494" s="1013"/>
      <c r="T494" s="277"/>
      <c r="U494" s="417"/>
    </row>
    <row r="495" spans="1:21" ht="15" customHeight="1">
      <c r="A495" s="1046"/>
      <c r="B495" s="1041"/>
      <c r="C495" s="1042"/>
      <c r="D495" s="1042"/>
      <c r="E495" s="1042"/>
      <c r="F495" s="1043"/>
      <c r="G495" s="1043"/>
      <c r="H495" s="984"/>
      <c r="I495" s="515"/>
      <c r="J495" s="515"/>
      <c r="K495" s="515"/>
      <c r="L495" s="515"/>
      <c r="M495" s="1044"/>
      <c r="N495" s="277"/>
      <c r="O495" s="1045"/>
      <c r="P495" s="1045"/>
      <c r="Q495" s="1045"/>
      <c r="R495" s="1045"/>
      <c r="S495" s="1013"/>
      <c r="T495" s="277"/>
      <c r="U495" s="417"/>
    </row>
    <row r="496" spans="1:21" ht="15" customHeight="1">
      <c r="A496" s="1046"/>
      <c r="B496" s="1041"/>
      <c r="C496" s="1042"/>
      <c r="D496" s="1042"/>
      <c r="E496" s="1042"/>
      <c r="F496" s="1043"/>
      <c r="G496" s="1043"/>
      <c r="H496" s="247"/>
      <c r="I496" s="515"/>
      <c r="J496" s="515"/>
      <c r="K496" s="515"/>
      <c r="L496" s="515"/>
      <c r="M496" s="1044"/>
      <c r="N496" s="277"/>
      <c r="O496" s="1045"/>
      <c r="P496" s="1045"/>
      <c r="Q496" s="1045"/>
      <c r="R496" s="1045"/>
      <c r="S496" s="1013"/>
      <c r="T496" s="277"/>
      <c r="U496" s="417"/>
    </row>
    <row r="497" spans="1:21" ht="15" customHeight="1">
      <c r="A497" s="1046"/>
      <c r="B497" s="1041"/>
      <c r="C497" s="1042"/>
      <c r="D497" s="1042"/>
      <c r="E497" s="1042"/>
      <c r="F497" s="1043"/>
      <c r="G497" s="1043"/>
      <c r="H497" s="247"/>
      <c r="I497" s="515"/>
      <c r="J497" s="515"/>
      <c r="K497" s="515"/>
      <c r="L497" s="515"/>
      <c r="M497" s="1044"/>
      <c r="N497" s="277"/>
      <c r="O497" s="1045"/>
      <c r="P497" s="1045"/>
      <c r="Q497" s="1045"/>
      <c r="R497" s="1045"/>
      <c r="S497" s="1013"/>
      <c r="T497" s="277"/>
      <c r="U497" s="417"/>
    </row>
    <row r="498" spans="1:21" ht="15" customHeight="1">
      <c r="A498" s="1046"/>
      <c r="B498" s="1041"/>
      <c r="C498" s="1042"/>
      <c r="D498" s="1042"/>
      <c r="E498" s="1042"/>
      <c r="F498" s="1043"/>
      <c r="G498" s="1043"/>
      <c r="H498" s="247"/>
      <c r="I498" s="515"/>
      <c r="J498" s="515"/>
      <c r="K498" s="515"/>
      <c r="L498" s="515"/>
      <c r="M498" s="1044"/>
      <c r="N498" s="277"/>
      <c r="O498" s="1045"/>
      <c r="P498" s="1045"/>
      <c r="Q498" s="1045"/>
      <c r="R498" s="1045"/>
      <c r="S498" s="1013"/>
      <c r="T498" s="277"/>
      <c r="U498" s="417"/>
    </row>
    <row r="499" spans="1:21" ht="15" customHeight="1">
      <c r="A499" s="1046"/>
      <c r="B499" s="1041"/>
      <c r="C499" s="1042"/>
      <c r="D499" s="1042"/>
      <c r="E499" s="1042"/>
      <c r="F499" s="1043"/>
      <c r="G499" s="1043"/>
      <c r="H499" s="247"/>
      <c r="I499" s="515"/>
      <c r="J499" s="515"/>
      <c r="K499" s="515"/>
      <c r="L499" s="515"/>
      <c r="M499" s="1044"/>
      <c r="N499" s="277"/>
      <c r="O499" s="1045"/>
      <c r="P499" s="1045"/>
      <c r="Q499" s="1045"/>
      <c r="R499" s="1045"/>
      <c r="S499" s="1013"/>
      <c r="T499" s="277"/>
      <c r="U499" s="417"/>
    </row>
    <row r="500" spans="1:21" ht="15" customHeight="1">
      <c r="A500" s="250"/>
      <c r="B500" s="250"/>
      <c r="C500" s="251"/>
      <c r="D500" s="251"/>
      <c r="E500" s="251"/>
      <c r="F500" s="252"/>
      <c r="G500" s="252"/>
      <c r="H500" s="1047"/>
      <c r="I500" s="257"/>
      <c r="J500" s="257"/>
      <c r="K500" s="257"/>
      <c r="L500" s="257"/>
      <c r="M500" s="258"/>
      <c r="N500" s="259"/>
      <c r="O500" s="255"/>
      <c r="P500" s="255"/>
      <c r="Q500" s="255"/>
      <c r="R500" s="255"/>
      <c r="S500" s="191"/>
      <c r="T500" s="259"/>
      <c r="U500" s="260"/>
    </row>
    <row r="501" spans="1:21" ht="15" customHeight="1">
      <c r="A501" s="261"/>
      <c r="B501" s="250"/>
      <c r="C501" s="251"/>
      <c r="D501" s="251"/>
      <c r="E501" s="251"/>
      <c r="F501" s="252"/>
      <c r="G501" s="252"/>
      <c r="H501" s="1047"/>
      <c r="I501" s="257"/>
      <c r="J501" s="257"/>
      <c r="K501" s="257"/>
      <c r="L501" s="257"/>
      <c r="M501" s="258"/>
      <c r="N501" s="259"/>
      <c r="O501" s="255"/>
      <c r="P501" s="255"/>
      <c r="Q501" s="255"/>
      <c r="R501" s="255"/>
      <c r="S501" s="191"/>
      <c r="T501" s="259"/>
      <c r="U501" s="260"/>
    </row>
    <row r="502" spans="1:21" ht="15" customHeight="1">
      <c r="B502" s="1041"/>
      <c r="C502" s="1048"/>
      <c r="D502" s="1048"/>
      <c r="E502" s="1048"/>
      <c r="F502" s="417"/>
      <c r="G502" s="417"/>
      <c r="H502" s="984"/>
      <c r="I502" s="515"/>
      <c r="J502" s="515"/>
      <c r="K502" s="379"/>
      <c r="L502" s="1044"/>
      <c r="M502" s="1044"/>
      <c r="N502" s="277"/>
      <c r="O502" s="1049"/>
      <c r="P502" s="1049"/>
      <c r="Q502" s="515"/>
      <c r="R502" s="1049"/>
      <c r="S502" s="1044"/>
      <c r="T502" s="277"/>
      <c r="U502" s="277"/>
    </row>
    <row r="503" spans="1:21" ht="15" customHeight="1">
      <c r="A503" s="1050"/>
      <c r="B503" s="1280"/>
      <c r="C503" s="1048"/>
      <c r="D503" s="1048"/>
      <c r="E503" s="1048"/>
      <c r="F503" s="417"/>
      <c r="G503" s="417"/>
      <c r="H503" s="984"/>
      <c r="I503" s="515"/>
      <c r="J503" s="515"/>
      <c r="K503" s="515"/>
      <c r="L503" s="515"/>
      <c r="M503" s="515"/>
      <c r="N503" s="1051"/>
      <c r="O503" s="1049"/>
      <c r="P503" s="1049"/>
      <c r="Q503" s="1049"/>
      <c r="R503" s="1049"/>
      <c r="S503" s="1044"/>
      <c r="T503" s="277"/>
      <c r="U503" s="277"/>
    </row>
    <row r="504" spans="1:21" ht="15" customHeight="1">
      <c r="B504" s="1280"/>
      <c r="D504" s="1048"/>
      <c r="E504" s="1048"/>
      <c r="F504" s="1048"/>
      <c r="G504" s="417"/>
      <c r="H504" s="515"/>
      <c r="I504" s="515"/>
      <c r="J504" s="515"/>
      <c r="K504" s="515"/>
      <c r="L504" s="515"/>
      <c r="M504" s="1044"/>
      <c r="N504" s="265"/>
      <c r="O504" s="1044"/>
      <c r="P504" s="1044"/>
      <c r="Q504" s="1044"/>
      <c r="R504" s="1044"/>
      <c r="S504" s="1044"/>
      <c r="T504" s="417"/>
      <c r="U504" s="417"/>
    </row>
    <row r="505" spans="1:21" ht="21" customHeight="1">
      <c r="A505" s="1285"/>
      <c r="B505" s="1285"/>
      <c r="C505" s="1285"/>
      <c r="D505" s="1285"/>
      <c r="E505" s="1285"/>
      <c r="F505" s="1285"/>
      <c r="G505" s="1285"/>
      <c r="H505" s="1285"/>
      <c r="I505" s="1285"/>
      <c r="J505" s="1285"/>
      <c r="K505" s="1285"/>
      <c r="L505" s="1285"/>
      <c r="M505" s="1285"/>
      <c r="N505" s="1285"/>
      <c r="O505" s="1285"/>
      <c r="P505" s="1285"/>
      <c r="Q505" s="1285"/>
      <c r="R505" s="1285"/>
      <c r="S505" s="1285"/>
      <c r="T505" s="1285"/>
      <c r="U505" s="1285"/>
    </row>
    <row r="506" spans="1:21" ht="15" customHeight="1">
      <c r="A506" s="1286"/>
      <c r="C506" s="1286"/>
      <c r="D506" s="1286"/>
      <c r="E506" s="1286"/>
      <c r="F506" s="1286"/>
      <c r="G506" s="1286"/>
      <c r="H506" s="1286"/>
      <c r="I506" s="1287"/>
      <c r="J506" s="1287"/>
      <c r="K506" s="1287"/>
      <c r="L506" s="1287"/>
      <c r="M506" s="1288"/>
      <c r="N506" s="1288"/>
      <c r="O506" s="1287"/>
      <c r="P506" s="1287"/>
      <c r="Q506" s="1287"/>
      <c r="R506" s="1287"/>
      <c r="S506" s="1288"/>
      <c r="T506" s="1288"/>
      <c r="U506" s="1288"/>
    </row>
    <row r="507" spans="1:21" ht="15" customHeight="1">
      <c r="A507" s="1286"/>
      <c r="C507" s="984"/>
      <c r="D507" s="984"/>
      <c r="E507" s="984"/>
      <c r="F507" s="984"/>
      <c r="G507" s="984"/>
      <c r="H507" s="1286"/>
      <c r="I507" s="515"/>
      <c r="J507" s="515"/>
      <c r="K507" s="515"/>
      <c r="L507" s="515"/>
      <c r="M507" s="1288"/>
      <c r="N507" s="1288"/>
      <c r="O507" s="515"/>
      <c r="P507" s="515"/>
      <c r="Q507" s="515"/>
      <c r="R507" s="515"/>
      <c r="S507" s="1288"/>
      <c r="T507" s="1288"/>
      <c r="U507" s="1288"/>
    </row>
    <row r="508" spans="1:21" ht="15" customHeight="1">
      <c r="A508" s="1040"/>
      <c r="B508" s="1041"/>
      <c r="C508" s="1042"/>
      <c r="D508" s="1042"/>
      <c r="E508" s="1042"/>
      <c r="F508" s="1043"/>
      <c r="G508" s="1043"/>
      <c r="H508" s="984"/>
      <c r="I508" s="515"/>
      <c r="J508" s="515"/>
      <c r="K508" s="515"/>
      <c r="L508" s="515"/>
      <c r="M508" s="1044"/>
      <c r="N508" s="277"/>
      <c r="O508" s="1045"/>
      <c r="P508" s="1045"/>
      <c r="Q508" s="1045"/>
      <c r="R508" s="1045"/>
      <c r="S508" s="1013"/>
      <c r="T508" s="277"/>
      <c r="U508" s="417"/>
    </row>
    <row r="509" spans="1:21" ht="15" customHeight="1">
      <c r="A509" s="1046"/>
      <c r="B509" s="1041"/>
      <c r="C509" s="1042"/>
      <c r="D509" s="1042"/>
      <c r="E509" s="1042"/>
      <c r="F509" s="1043"/>
      <c r="G509" s="1043"/>
      <c r="H509" s="984"/>
      <c r="I509" s="515"/>
      <c r="J509" s="515"/>
      <c r="K509" s="515"/>
      <c r="L509" s="515"/>
      <c r="M509" s="1044"/>
      <c r="N509" s="277"/>
      <c r="O509" s="1045"/>
      <c r="P509" s="1045"/>
      <c r="Q509" s="1045"/>
      <c r="R509" s="1045"/>
      <c r="S509" s="1013"/>
      <c r="T509" s="277"/>
      <c r="U509" s="417"/>
    </row>
    <row r="510" spans="1:21" ht="15" customHeight="1">
      <c r="A510" s="1046"/>
      <c r="B510" s="1041"/>
      <c r="C510" s="1042"/>
      <c r="D510" s="1042"/>
      <c r="E510" s="1042"/>
      <c r="F510" s="1043"/>
      <c r="G510" s="1043"/>
      <c r="H510" s="984"/>
      <c r="I510" s="515"/>
      <c r="J510" s="515"/>
      <c r="K510" s="515"/>
      <c r="L510" s="515"/>
      <c r="M510" s="1044"/>
      <c r="N510" s="277"/>
      <c r="O510" s="1045"/>
      <c r="P510" s="1045"/>
      <c r="Q510" s="1045"/>
      <c r="R510" s="1045"/>
      <c r="S510" s="1013"/>
      <c r="T510" s="277"/>
      <c r="U510" s="417"/>
    </row>
    <row r="511" spans="1:21" ht="15" customHeight="1">
      <c r="A511" s="1046"/>
      <c r="B511" s="1041"/>
      <c r="C511" s="1042"/>
      <c r="D511" s="1042"/>
      <c r="E511" s="1042"/>
      <c r="F511" s="1043"/>
      <c r="G511" s="1043"/>
      <c r="H511" s="984"/>
      <c r="I511" s="515"/>
      <c r="J511" s="515"/>
      <c r="K511" s="515"/>
      <c r="L511" s="515"/>
      <c r="M511" s="1044"/>
      <c r="N511" s="277"/>
      <c r="O511" s="1045"/>
      <c r="P511" s="1045"/>
      <c r="Q511" s="1045"/>
      <c r="R511" s="1045"/>
      <c r="S511" s="1013"/>
      <c r="T511" s="277"/>
      <c r="U511" s="417"/>
    </row>
    <row r="512" spans="1:21" ht="15" customHeight="1">
      <c r="A512" s="1046"/>
      <c r="B512" s="1041"/>
      <c r="C512" s="1042"/>
      <c r="D512" s="1042"/>
      <c r="E512" s="1042"/>
      <c r="F512" s="1043"/>
      <c r="G512" s="1043"/>
      <c r="H512" s="984"/>
      <c r="I512" s="515"/>
      <c r="J512" s="515"/>
      <c r="K512" s="515"/>
      <c r="L512" s="515"/>
      <c r="M512" s="1044"/>
      <c r="N512" s="277"/>
      <c r="O512" s="1045"/>
      <c r="P512" s="1045"/>
      <c r="Q512" s="1045"/>
      <c r="R512" s="1045"/>
      <c r="S512" s="1013"/>
      <c r="T512" s="277"/>
      <c r="U512" s="417"/>
    </row>
    <row r="513" spans="1:21" ht="15" customHeight="1">
      <c r="A513" s="1046"/>
      <c r="B513" s="1041"/>
      <c r="C513" s="1042"/>
      <c r="D513" s="1042"/>
      <c r="E513" s="1042"/>
      <c r="F513" s="1043"/>
      <c r="G513" s="1043"/>
      <c r="H513" s="984"/>
      <c r="I513" s="515"/>
      <c r="J513" s="515"/>
      <c r="K513" s="515"/>
      <c r="L513" s="515"/>
      <c r="M513" s="1044"/>
      <c r="N513" s="277"/>
      <c r="O513" s="1045"/>
      <c r="P513" s="1045"/>
      <c r="Q513" s="1045"/>
      <c r="R513" s="1045"/>
      <c r="S513" s="1013"/>
      <c r="T513" s="277"/>
      <c r="U513" s="417"/>
    </row>
    <row r="514" spans="1:21" ht="15" customHeight="1">
      <c r="A514" s="1046"/>
      <c r="B514" s="1041"/>
      <c r="C514" s="1042"/>
      <c r="D514" s="1042"/>
      <c r="E514" s="1042"/>
      <c r="F514" s="1043"/>
      <c r="G514" s="1043"/>
      <c r="H514" s="247"/>
      <c r="I514" s="515"/>
      <c r="J514" s="515"/>
      <c r="K514" s="515"/>
      <c r="L514" s="515"/>
      <c r="M514" s="1044"/>
      <c r="N514" s="277"/>
      <c r="O514" s="1045"/>
      <c r="P514" s="1045"/>
      <c r="Q514" s="1045"/>
      <c r="R514" s="1045"/>
      <c r="S514" s="1013"/>
      <c r="T514" s="277"/>
      <c r="U514" s="417"/>
    </row>
    <row r="515" spans="1:21" ht="15" customHeight="1">
      <c r="A515" s="1046"/>
      <c r="B515" s="1041"/>
      <c r="C515" s="1042"/>
      <c r="D515" s="1042"/>
      <c r="E515" s="1042"/>
      <c r="F515" s="1043"/>
      <c r="G515" s="1043"/>
      <c r="H515" s="247"/>
      <c r="I515" s="515"/>
      <c r="J515" s="515"/>
      <c r="K515" s="515"/>
      <c r="L515" s="515"/>
      <c r="M515" s="1044"/>
      <c r="N515" s="277"/>
      <c r="O515" s="1045"/>
      <c r="P515" s="1045"/>
      <c r="Q515" s="1045"/>
      <c r="R515" s="1045"/>
      <c r="S515" s="1013"/>
      <c r="T515" s="277"/>
      <c r="U515" s="417"/>
    </row>
    <row r="516" spans="1:21" ht="15" customHeight="1">
      <c r="A516" s="1046"/>
      <c r="B516" s="1041"/>
      <c r="C516" s="1042"/>
      <c r="D516" s="1042"/>
      <c r="E516" s="1042"/>
      <c r="F516" s="1043"/>
      <c r="G516" s="1043"/>
      <c r="H516" s="247"/>
      <c r="I516" s="515"/>
      <c r="J516" s="515"/>
      <c r="K516" s="515"/>
      <c r="L516" s="515"/>
      <c r="M516" s="1044"/>
      <c r="N516" s="277"/>
      <c r="O516" s="1045"/>
      <c r="P516" s="1045"/>
      <c r="Q516" s="1045"/>
      <c r="R516" s="1045"/>
      <c r="S516" s="1013"/>
      <c r="T516" s="277"/>
      <c r="U516" s="417"/>
    </row>
    <row r="517" spans="1:21" ht="15" customHeight="1">
      <c r="A517" s="1046"/>
      <c r="B517" s="1041"/>
      <c r="C517" s="1042"/>
      <c r="D517" s="1042"/>
      <c r="E517" s="1042"/>
      <c r="F517" s="1043"/>
      <c r="G517" s="1043"/>
      <c r="H517" s="247"/>
      <c r="I517" s="515"/>
      <c r="J517" s="515"/>
      <c r="K517" s="515"/>
      <c r="L517" s="515"/>
      <c r="M517" s="1044"/>
      <c r="N517" s="277"/>
      <c r="O517" s="1045"/>
      <c r="P517" s="1045"/>
      <c r="Q517" s="1045"/>
      <c r="R517" s="1045"/>
      <c r="S517" s="1013"/>
      <c r="T517" s="277"/>
      <c r="U517" s="417"/>
    </row>
    <row r="518" spans="1:21" ht="15" customHeight="1">
      <c r="A518" s="250"/>
      <c r="B518" s="250"/>
      <c r="C518" s="251"/>
      <c r="D518" s="251"/>
      <c r="E518" s="251"/>
      <c r="F518" s="252"/>
      <c r="G518" s="252"/>
      <c r="H518" s="1047"/>
      <c r="I518" s="257"/>
      <c r="J518" s="257"/>
      <c r="K518" s="257"/>
      <c r="L518" s="257"/>
      <c r="M518" s="258"/>
      <c r="N518" s="259"/>
      <c r="O518" s="255"/>
      <c r="P518" s="255"/>
      <c r="Q518" s="255"/>
      <c r="R518" s="255"/>
      <c r="S518" s="191"/>
      <c r="T518" s="259"/>
      <c r="U518" s="260"/>
    </row>
    <row r="519" spans="1:21" ht="15" customHeight="1">
      <c r="A519" s="261"/>
      <c r="B519" s="250"/>
      <c r="C519" s="251"/>
      <c r="D519" s="251"/>
      <c r="E519" s="251"/>
      <c r="F519" s="252"/>
      <c r="G519" s="252"/>
      <c r="H519" s="1047"/>
      <c r="I519" s="257"/>
      <c r="J519" s="257"/>
      <c r="K519" s="257"/>
      <c r="L519" s="257"/>
      <c r="M519" s="258"/>
      <c r="N519" s="259"/>
      <c r="O519" s="255"/>
      <c r="P519" s="255"/>
      <c r="Q519" s="255"/>
      <c r="R519" s="255"/>
      <c r="S519" s="191"/>
      <c r="T519" s="259"/>
      <c r="U519" s="260"/>
    </row>
    <row r="520" spans="1:21" ht="15" customHeight="1">
      <c r="B520" s="1041"/>
      <c r="C520" s="1048"/>
      <c r="D520" s="1048"/>
      <c r="E520" s="1048"/>
      <c r="F520" s="417"/>
      <c r="G520" s="417"/>
      <c r="H520" s="984"/>
      <c r="I520" s="515"/>
      <c r="J520" s="515"/>
      <c r="K520" s="379"/>
      <c r="L520" s="1044"/>
      <c r="M520" s="1044"/>
      <c r="N520" s="277"/>
      <c r="O520" s="1049"/>
      <c r="P520" s="1049"/>
      <c r="Q520" s="515"/>
      <c r="R520" s="1049"/>
      <c r="S520" s="1044"/>
      <c r="T520" s="277"/>
      <c r="U520" s="277"/>
    </row>
    <row r="521" spans="1:21" ht="15" customHeight="1">
      <c r="A521" s="1050"/>
      <c r="B521" s="1280"/>
      <c r="C521" s="1048"/>
      <c r="D521" s="1048"/>
      <c r="E521" s="1048"/>
      <c r="F521" s="417"/>
      <c r="G521" s="417"/>
      <c r="H521" s="984"/>
      <c r="I521" s="515"/>
      <c r="J521" s="515"/>
      <c r="K521" s="515"/>
      <c r="L521" s="515"/>
      <c r="M521" s="515"/>
      <c r="N521" s="1051"/>
      <c r="O521" s="1049"/>
      <c r="P521" s="1049"/>
      <c r="Q521" s="1049"/>
      <c r="R521" s="1049"/>
      <c r="S521" s="1044"/>
      <c r="T521" s="277"/>
      <c r="U521" s="277"/>
    </row>
    <row r="522" spans="1:21" ht="15" customHeight="1">
      <c r="B522" s="1280"/>
      <c r="D522" s="1048"/>
      <c r="E522" s="1048"/>
      <c r="F522" s="1048"/>
      <c r="G522" s="417"/>
      <c r="H522" s="515"/>
      <c r="I522" s="515"/>
      <c r="J522" s="515"/>
      <c r="K522" s="515"/>
      <c r="L522" s="515"/>
      <c r="M522" s="1044"/>
      <c r="N522" s="265"/>
      <c r="O522" s="1044"/>
      <c r="P522" s="1044"/>
      <c r="Q522" s="1044"/>
      <c r="R522" s="1044"/>
      <c r="S522" s="1044"/>
      <c r="T522" s="417"/>
      <c r="U522" s="417"/>
    </row>
    <row r="523" spans="1:21" ht="21" customHeight="1">
      <c r="A523" s="1285"/>
      <c r="B523" s="1285"/>
      <c r="C523" s="1285"/>
      <c r="D523" s="1285"/>
      <c r="E523" s="1285"/>
      <c r="F523" s="1285"/>
      <c r="G523" s="1285"/>
      <c r="H523" s="1285"/>
      <c r="I523" s="1285"/>
      <c r="J523" s="1285"/>
      <c r="K523" s="1285"/>
      <c r="L523" s="1285"/>
      <c r="M523" s="1285"/>
      <c r="N523" s="1285"/>
      <c r="O523" s="1285"/>
      <c r="P523" s="1285"/>
      <c r="Q523" s="1285"/>
      <c r="R523" s="1285"/>
      <c r="S523" s="1285"/>
      <c r="T523" s="1285"/>
      <c r="U523" s="1285"/>
    </row>
    <row r="524" spans="1:21" ht="15" customHeight="1">
      <c r="A524" s="1286"/>
      <c r="C524" s="1286"/>
      <c r="D524" s="1286"/>
      <c r="E524" s="1286"/>
      <c r="F524" s="1286"/>
      <c r="G524" s="1286"/>
      <c r="H524" s="1286"/>
      <c r="I524" s="1287"/>
      <c r="J524" s="1287"/>
      <c r="K524" s="1287"/>
      <c r="L524" s="1287"/>
      <c r="M524" s="1288"/>
      <c r="N524" s="1288"/>
      <c r="O524" s="1287"/>
      <c r="P524" s="1287"/>
      <c r="Q524" s="1287"/>
      <c r="R524" s="1287"/>
      <c r="S524" s="1288"/>
      <c r="T524" s="1288"/>
      <c r="U524" s="1288"/>
    </row>
    <row r="525" spans="1:21" ht="15" customHeight="1">
      <c r="A525" s="1286"/>
      <c r="C525" s="984"/>
      <c r="D525" s="984"/>
      <c r="E525" s="984"/>
      <c r="F525" s="984"/>
      <c r="G525" s="984"/>
      <c r="H525" s="1286"/>
      <c r="I525" s="515"/>
      <c r="J525" s="515"/>
      <c r="K525" s="515"/>
      <c r="L525" s="515"/>
      <c r="M525" s="1288"/>
      <c r="N525" s="1288"/>
      <c r="O525" s="515"/>
      <c r="P525" s="515"/>
      <c r="Q525" s="515"/>
      <c r="R525" s="515"/>
      <c r="S525" s="1288"/>
      <c r="T525" s="1288"/>
      <c r="U525" s="1288"/>
    </row>
    <row r="526" spans="1:21" ht="15" customHeight="1">
      <c r="A526" s="1040"/>
      <c r="B526" s="1041"/>
      <c r="C526" s="1042"/>
      <c r="D526" s="1042"/>
      <c r="E526" s="1042"/>
      <c r="F526" s="1043"/>
      <c r="G526" s="1043"/>
      <c r="H526" s="984"/>
      <c r="I526" s="515"/>
      <c r="J526" s="515"/>
      <c r="K526" s="515"/>
      <c r="L526" s="515"/>
      <c r="M526" s="1044"/>
      <c r="N526" s="277"/>
      <c r="O526" s="1045"/>
      <c r="P526" s="1045"/>
      <c r="Q526" s="1045"/>
      <c r="R526" s="1045"/>
      <c r="S526" s="1013"/>
      <c r="T526" s="277"/>
      <c r="U526" s="417"/>
    </row>
    <row r="527" spans="1:21" ht="15" customHeight="1">
      <c r="A527" s="1046"/>
      <c r="B527" s="1041"/>
      <c r="C527" s="1042"/>
      <c r="D527" s="1042"/>
      <c r="E527" s="1042"/>
      <c r="F527" s="1043"/>
      <c r="G527" s="1043"/>
      <c r="H527" s="984"/>
      <c r="I527" s="515"/>
      <c r="J527" s="515"/>
      <c r="K527" s="515"/>
      <c r="L527" s="515"/>
      <c r="M527" s="1044"/>
      <c r="N527" s="277"/>
      <c r="O527" s="1045"/>
      <c r="P527" s="1045"/>
      <c r="Q527" s="1045"/>
      <c r="R527" s="1045"/>
      <c r="S527" s="1013"/>
      <c r="T527" s="277"/>
      <c r="U527" s="417"/>
    </row>
    <row r="528" spans="1:21" ht="15" customHeight="1">
      <c r="A528" s="1046"/>
      <c r="B528" s="1041"/>
      <c r="C528" s="1042"/>
      <c r="D528" s="1042"/>
      <c r="E528" s="1042"/>
      <c r="F528" s="1043"/>
      <c r="G528" s="1043"/>
      <c r="H528" s="984"/>
      <c r="I528" s="515"/>
      <c r="J528" s="515"/>
      <c r="K528" s="515"/>
      <c r="L528" s="515"/>
      <c r="M528" s="1044"/>
      <c r="N528" s="277"/>
      <c r="O528" s="1045"/>
      <c r="P528" s="1045"/>
      <c r="Q528" s="1045"/>
      <c r="R528" s="1045"/>
      <c r="S528" s="1013"/>
      <c r="T528" s="277"/>
      <c r="U528" s="417"/>
    </row>
    <row r="529" spans="1:21" ht="15" customHeight="1">
      <c r="A529" s="1046"/>
      <c r="B529" s="1041"/>
      <c r="C529" s="1042"/>
      <c r="D529" s="1042"/>
      <c r="E529" s="1042"/>
      <c r="F529" s="1043"/>
      <c r="G529" s="1043"/>
      <c r="H529" s="984"/>
      <c r="I529" s="515"/>
      <c r="J529" s="515"/>
      <c r="K529" s="515"/>
      <c r="L529" s="515"/>
      <c r="M529" s="1044"/>
      <c r="N529" s="277"/>
      <c r="O529" s="1045"/>
      <c r="P529" s="1045"/>
      <c r="Q529" s="1045"/>
      <c r="R529" s="1045"/>
      <c r="S529" s="1013"/>
      <c r="T529" s="277"/>
      <c r="U529" s="417"/>
    </row>
    <row r="530" spans="1:21" ht="15" customHeight="1">
      <c r="A530" s="1046"/>
      <c r="B530" s="1041"/>
      <c r="C530" s="1042"/>
      <c r="D530" s="1042"/>
      <c r="E530" s="1042"/>
      <c r="F530" s="1043"/>
      <c r="G530" s="1043"/>
      <c r="H530" s="984"/>
      <c r="I530" s="515"/>
      <c r="J530" s="515"/>
      <c r="K530" s="515"/>
      <c r="L530" s="515"/>
      <c r="M530" s="1044"/>
      <c r="N530" s="277"/>
      <c r="O530" s="1045"/>
      <c r="P530" s="1045"/>
      <c r="Q530" s="1045"/>
      <c r="R530" s="1045"/>
      <c r="S530" s="1013"/>
      <c r="T530" s="277"/>
      <c r="U530" s="417"/>
    </row>
    <row r="531" spans="1:21" ht="15" customHeight="1">
      <c r="A531" s="1046"/>
      <c r="B531" s="1041"/>
      <c r="C531" s="1042"/>
      <c r="D531" s="1042"/>
      <c r="E531" s="1042"/>
      <c r="F531" s="1043"/>
      <c r="G531" s="1043"/>
      <c r="H531" s="984"/>
      <c r="I531" s="515"/>
      <c r="J531" s="515"/>
      <c r="K531" s="515"/>
      <c r="L531" s="515"/>
      <c r="M531" s="1044"/>
      <c r="N531" s="277"/>
      <c r="O531" s="1045"/>
      <c r="P531" s="1045"/>
      <c r="Q531" s="1045"/>
      <c r="R531" s="1045"/>
      <c r="S531" s="1013"/>
      <c r="T531" s="277"/>
      <c r="U531" s="417"/>
    </row>
    <row r="532" spans="1:21" ht="15" customHeight="1">
      <c r="A532" s="1046"/>
      <c r="B532" s="1041"/>
      <c r="C532" s="1042"/>
      <c r="D532" s="1042"/>
      <c r="E532" s="1042"/>
      <c r="F532" s="1043"/>
      <c r="G532" s="1043"/>
      <c r="H532" s="247"/>
      <c r="I532" s="515"/>
      <c r="J532" s="515"/>
      <c r="K532" s="515"/>
      <c r="L532" s="515"/>
      <c r="M532" s="1044"/>
      <c r="N532" s="277"/>
      <c r="O532" s="1045"/>
      <c r="P532" s="1045"/>
      <c r="Q532" s="1045"/>
      <c r="R532" s="1045"/>
      <c r="S532" s="1013"/>
      <c r="T532" s="277"/>
      <c r="U532" s="417"/>
    </row>
    <row r="533" spans="1:21" ht="15" customHeight="1">
      <c r="A533" s="1046"/>
      <c r="B533" s="1041"/>
      <c r="C533" s="1042"/>
      <c r="D533" s="1042"/>
      <c r="E533" s="1042"/>
      <c r="F533" s="1043"/>
      <c r="G533" s="1043"/>
      <c r="H533" s="247"/>
      <c r="I533" s="515"/>
      <c r="J533" s="515"/>
      <c r="K533" s="515"/>
      <c r="L533" s="515"/>
      <c r="M533" s="1044"/>
      <c r="N533" s="277"/>
      <c r="O533" s="1045"/>
      <c r="P533" s="1045"/>
      <c r="Q533" s="1045"/>
      <c r="R533" s="1045"/>
      <c r="S533" s="1013"/>
      <c r="T533" s="277"/>
      <c r="U533" s="417"/>
    </row>
    <row r="534" spans="1:21" ht="15" customHeight="1">
      <c r="A534" s="1046"/>
      <c r="B534" s="1041"/>
      <c r="C534" s="1042"/>
      <c r="D534" s="1042"/>
      <c r="E534" s="1042"/>
      <c r="F534" s="1043"/>
      <c r="G534" s="1043"/>
      <c r="H534" s="247"/>
      <c r="I534" s="515"/>
      <c r="J534" s="515"/>
      <c r="K534" s="515"/>
      <c r="L534" s="515"/>
      <c r="M534" s="1044"/>
      <c r="N534" s="277"/>
      <c r="O534" s="1045"/>
      <c r="P534" s="1045"/>
      <c r="Q534" s="1045"/>
      <c r="R534" s="1045"/>
      <c r="S534" s="1013"/>
      <c r="T534" s="277"/>
      <c r="U534" s="417"/>
    </row>
    <row r="535" spans="1:21" ht="15" customHeight="1">
      <c r="A535" s="1046"/>
      <c r="B535" s="1041"/>
      <c r="C535" s="1042"/>
      <c r="D535" s="1042"/>
      <c r="E535" s="1042"/>
      <c r="F535" s="1043"/>
      <c r="G535" s="1043"/>
      <c r="H535" s="247"/>
      <c r="I535" s="515"/>
      <c r="J535" s="515"/>
      <c r="K535" s="515"/>
      <c r="L535" s="515"/>
      <c r="M535" s="1044"/>
      <c r="N535" s="277"/>
      <c r="O535" s="1045"/>
      <c r="P535" s="1045"/>
      <c r="Q535" s="1045"/>
      <c r="R535" s="1045"/>
      <c r="S535" s="1013"/>
      <c r="T535" s="277"/>
      <c r="U535" s="417"/>
    </row>
    <row r="536" spans="1:21" ht="15" customHeight="1">
      <c r="A536" s="250"/>
      <c r="B536" s="250"/>
      <c r="C536" s="251"/>
      <c r="D536" s="251"/>
      <c r="E536" s="251"/>
      <c r="F536" s="252"/>
      <c r="G536" s="252"/>
      <c r="H536" s="1047"/>
      <c r="I536" s="257"/>
      <c r="J536" s="257"/>
      <c r="K536" s="257"/>
      <c r="L536" s="257"/>
      <c r="M536" s="258"/>
      <c r="N536" s="259"/>
      <c r="O536" s="255"/>
      <c r="P536" s="255"/>
      <c r="Q536" s="255"/>
      <c r="R536" s="255"/>
      <c r="S536" s="191"/>
      <c r="T536" s="259"/>
      <c r="U536" s="260"/>
    </row>
    <row r="537" spans="1:21" ht="15" customHeight="1">
      <c r="A537" s="261"/>
      <c r="B537" s="250"/>
      <c r="C537" s="251"/>
      <c r="D537" s="251"/>
      <c r="E537" s="251"/>
      <c r="F537" s="252"/>
      <c r="G537" s="252"/>
      <c r="H537" s="1047"/>
      <c r="I537" s="257"/>
      <c r="J537" s="257"/>
      <c r="K537" s="257"/>
      <c r="L537" s="257"/>
      <c r="M537" s="258"/>
      <c r="N537" s="259"/>
      <c r="O537" s="255"/>
      <c r="P537" s="255"/>
      <c r="Q537" s="255"/>
      <c r="R537" s="255"/>
      <c r="S537" s="191"/>
      <c r="T537" s="259"/>
      <c r="U537" s="260"/>
    </row>
    <row r="538" spans="1:21" ht="15" customHeight="1">
      <c r="B538" s="1041"/>
      <c r="C538" s="1048"/>
      <c r="D538" s="1048"/>
      <c r="E538" s="1048"/>
      <c r="F538" s="417"/>
      <c r="G538" s="417"/>
      <c r="H538" s="984"/>
      <c r="I538" s="515"/>
      <c r="J538" s="515"/>
      <c r="K538" s="379"/>
      <c r="L538" s="1044"/>
      <c r="M538" s="1044"/>
      <c r="N538" s="277"/>
      <c r="O538" s="1049"/>
      <c r="P538" s="1049"/>
      <c r="Q538" s="515"/>
      <c r="R538" s="1049"/>
      <c r="S538" s="1044"/>
      <c r="T538" s="277"/>
      <c r="U538" s="277"/>
    </row>
    <row r="539" spans="1:21" ht="15" customHeight="1">
      <c r="A539" s="1050"/>
      <c r="B539" s="1280"/>
      <c r="C539" s="1048"/>
      <c r="D539" s="1048"/>
      <c r="E539" s="1048"/>
      <c r="F539" s="417"/>
      <c r="G539" s="417"/>
      <c r="H539" s="984"/>
      <c r="I539" s="515"/>
      <c r="J539" s="515"/>
      <c r="K539" s="515"/>
      <c r="L539" s="515"/>
      <c r="M539" s="515"/>
      <c r="N539" s="1051"/>
      <c r="O539" s="1049"/>
      <c r="P539" s="1049"/>
      <c r="Q539" s="1049"/>
      <c r="R539" s="1049"/>
      <c r="S539" s="1044"/>
      <c r="T539" s="277"/>
      <c r="U539" s="277"/>
    </row>
    <row r="540" spans="1:21" ht="15" customHeight="1">
      <c r="B540" s="1280"/>
      <c r="D540" s="1048"/>
      <c r="E540" s="1048"/>
      <c r="F540" s="1048"/>
      <c r="G540" s="417"/>
      <c r="H540" s="515"/>
      <c r="I540" s="515"/>
      <c r="J540" s="515"/>
      <c r="K540" s="515"/>
      <c r="L540" s="515"/>
      <c r="M540" s="1044"/>
      <c r="N540" s="265"/>
      <c r="O540" s="1044"/>
      <c r="P540" s="1044"/>
      <c r="Q540" s="1044"/>
      <c r="R540" s="1044"/>
      <c r="S540" s="1044"/>
      <c r="T540" s="417"/>
      <c r="U540" s="417"/>
    </row>
    <row r="541" spans="1:21" ht="21" customHeight="1">
      <c r="A541" s="1281"/>
      <c r="B541" s="1281"/>
      <c r="C541" s="1281"/>
      <c r="D541" s="1281"/>
      <c r="E541" s="1281"/>
      <c r="F541" s="1281"/>
      <c r="G541" s="1281"/>
      <c r="H541" s="1281"/>
      <c r="I541" s="1281"/>
      <c r="J541" s="1281"/>
      <c r="K541" s="1281"/>
      <c r="L541" s="1281"/>
      <c r="M541" s="1281"/>
      <c r="N541" s="1281"/>
      <c r="O541" s="1281"/>
      <c r="P541" s="1281"/>
      <c r="Q541" s="1281"/>
      <c r="R541" s="1281"/>
      <c r="S541" s="1281"/>
      <c r="T541" s="1281"/>
      <c r="U541" s="1281"/>
    </row>
    <row r="542" spans="1:21" ht="15" customHeight="1">
      <c r="A542" s="1282"/>
      <c r="B542" s="180"/>
      <c r="C542" s="1282"/>
      <c r="D542" s="1282"/>
      <c r="E542" s="1282"/>
      <c r="F542" s="1282"/>
      <c r="G542" s="1282"/>
      <c r="H542" s="1282"/>
      <c r="I542" s="1283"/>
      <c r="J542" s="1283"/>
      <c r="K542" s="1283"/>
      <c r="L542" s="1283"/>
      <c r="M542" s="1284"/>
      <c r="N542" s="1284"/>
      <c r="O542" s="1283"/>
      <c r="P542" s="1283"/>
      <c r="Q542" s="1283"/>
      <c r="R542" s="1283"/>
      <c r="S542" s="1284"/>
      <c r="T542" s="1284"/>
      <c r="U542" s="1284"/>
    </row>
    <row r="543" spans="1:21" ht="15" customHeight="1">
      <c r="A543" s="1282"/>
      <c r="B543" s="180"/>
      <c r="C543" s="247"/>
      <c r="D543" s="247"/>
      <c r="E543" s="247"/>
      <c r="F543" s="247"/>
      <c r="G543" s="247"/>
      <c r="H543" s="1282"/>
      <c r="I543" s="248"/>
      <c r="J543" s="248"/>
      <c r="K543" s="248"/>
      <c r="L543" s="248"/>
      <c r="M543" s="1284"/>
      <c r="N543" s="1284"/>
      <c r="O543" s="248"/>
      <c r="P543" s="248"/>
      <c r="Q543" s="248"/>
      <c r="R543" s="248"/>
      <c r="S543" s="1284"/>
      <c r="T543" s="1284"/>
      <c r="U543" s="1284"/>
    </row>
    <row r="544" spans="1:21" ht="15" customHeight="1">
      <c r="A544" s="249"/>
      <c r="B544" s="250"/>
      <c r="C544" s="251"/>
      <c r="D544" s="251"/>
      <c r="E544" s="251"/>
      <c r="F544" s="252"/>
      <c r="G544" s="252"/>
      <c r="H544" s="247"/>
      <c r="I544" s="248"/>
      <c r="J544" s="248"/>
      <c r="K544" s="248"/>
      <c r="L544" s="248"/>
      <c r="M544" s="253"/>
      <c r="N544" s="254"/>
      <c r="O544" s="255"/>
      <c r="P544" s="255"/>
      <c r="Q544" s="255"/>
      <c r="R544" s="255"/>
      <c r="S544" s="191"/>
      <c r="T544" s="254"/>
      <c r="U544" s="256"/>
    </row>
    <row r="545" spans="1:21" ht="15" customHeight="1">
      <c r="A545" s="250"/>
      <c r="B545" s="250"/>
      <c r="C545" s="251"/>
      <c r="D545" s="251"/>
      <c r="E545" s="251"/>
      <c r="F545" s="252"/>
      <c r="G545" s="252"/>
      <c r="H545" s="247"/>
      <c r="I545" s="248"/>
      <c r="J545" s="248"/>
      <c r="K545" s="248"/>
      <c r="L545" s="248"/>
      <c r="M545" s="253"/>
      <c r="N545" s="254"/>
      <c r="O545" s="255"/>
      <c r="P545" s="255"/>
      <c r="Q545" s="255"/>
      <c r="R545" s="255"/>
      <c r="S545" s="191"/>
      <c r="T545" s="254"/>
      <c r="U545" s="256"/>
    </row>
    <row r="546" spans="1:21" ht="15" customHeight="1">
      <c r="A546" s="250"/>
      <c r="B546" s="250"/>
      <c r="C546" s="251"/>
      <c r="D546" s="251"/>
      <c r="E546" s="251"/>
      <c r="F546" s="252"/>
      <c r="G546" s="252"/>
      <c r="H546" s="247"/>
      <c r="I546" s="248"/>
      <c r="J546" s="248"/>
      <c r="K546" s="248"/>
      <c r="L546" s="248"/>
      <c r="M546" s="253"/>
      <c r="N546" s="254"/>
      <c r="O546" s="255"/>
      <c r="P546" s="255"/>
      <c r="Q546" s="255"/>
      <c r="R546" s="255"/>
      <c r="S546" s="191"/>
      <c r="T546" s="254"/>
      <c r="U546" s="256"/>
    </row>
    <row r="547" spans="1:21" ht="15" customHeight="1">
      <c r="A547" s="250"/>
      <c r="B547" s="250"/>
      <c r="C547" s="251"/>
      <c r="D547" s="251"/>
      <c r="E547" s="251"/>
      <c r="F547" s="252"/>
      <c r="G547" s="252"/>
      <c r="H547" s="247"/>
      <c r="I547" s="248"/>
      <c r="J547" s="248"/>
      <c r="K547" s="248"/>
      <c r="L547" s="248"/>
      <c r="M547" s="253"/>
      <c r="N547" s="254"/>
      <c r="O547" s="255"/>
      <c r="P547" s="255"/>
      <c r="Q547" s="255"/>
      <c r="R547" s="255"/>
      <c r="S547" s="191"/>
      <c r="T547" s="254"/>
      <c r="U547" s="256"/>
    </row>
    <row r="548" spans="1:21" ht="15" customHeight="1">
      <c r="A548" s="250"/>
      <c r="B548" s="250"/>
      <c r="C548" s="251"/>
      <c r="D548" s="251"/>
      <c r="E548" s="251"/>
      <c r="F548" s="252"/>
      <c r="G548" s="252"/>
      <c r="H548" s="247"/>
      <c r="I548" s="248"/>
      <c r="J548" s="248"/>
      <c r="K548" s="248"/>
      <c r="L548" s="248"/>
      <c r="M548" s="253"/>
      <c r="N548" s="254"/>
      <c r="O548" s="255"/>
      <c r="P548" s="255"/>
      <c r="Q548" s="255"/>
      <c r="R548" s="255"/>
      <c r="S548" s="191"/>
      <c r="T548" s="254"/>
      <c r="U548" s="256"/>
    </row>
    <row r="549" spans="1:21" ht="15" customHeight="1">
      <c r="A549" s="250"/>
      <c r="B549" s="250"/>
      <c r="C549" s="251"/>
      <c r="D549" s="251"/>
      <c r="E549" s="251"/>
      <c r="F549" s="252"/>
      <c r="G549" s="252"/>
      <c r="H549" s="247"/>
      <c r="I549" s="248"/>
      <c r="J549" s="248"/>
      <c r="K549" s="248"/>
      <c r="L549" s="248"/>
      <c r="M549" s="253"/>
      <c r="N549" s="254"/>
      <c r="O549" s="255"/>
      <c r="P549" s="255"/>
      <c r="Q549" s="255"/>
      <c r="R549" s="255"/>
      <c r="S549" s="191"/>
      <c r="T549" s="254"/>
      <c r="U549" s="256"/>
    </row>
    <row r="550" spans="1:21" ht="15" customHeight="1">
      <c r="A550" s="250"/>
      <c r="B550" s="250"/>
      <c r="C550" s="251"/>
      <c r="D550" s="251"/>
      <c r="E550" s="251"/>
      <c r="F550" s="252"/>
      <c r="G550" s="252"/>
      <c r="H550" s="247"/>
      <c r="I550" s="248"/>
      <c r="J550" s="248"/>
      <c r="K550" s="248"/>
      <c r="L550" s="248"/>
      <c r="M550" s="253"/>
      <c r="N550" s="254"/>
      <c r="O550" s="255"/>
      <c r="P550" s="255"/>
      <c r="Q550" s="255"/>
      <c r="R550" s="255"/>
      <c r="S550" s="191"/>
      <c r="T550" s="254"/>
      <c r="U550" s="256"/>
    </row>
    <row r="551" spans="1:21" ht="15" customHeight="1">
      <c r="A551" s="250"/>
      <c r="B551" s="250"/>
      <c r="C551" s="251"/>
      <c r="D551" s="251"/>
      <c r="E551" s="251"/>
      <c r="F551" s="252"/>
      <c r="G551" s="252"/>
      <c r="H551" s="247"/>
      <c r="I551" s="248"/>
      <c r="J551" s="248"/>
      <c r="K551" s="248"/>
      <c r="L551" s="248"/>
      <c r="M551" s="253"/>
      <c r="N551" s="254"/>
      <c r="O551" s="255"/>
      <c r="P551" s="255"/>
      <c r="Q551" s="255"/>
      <c r="R551" s="255"/>
      <c r="S551" s="191"/>
      <c r="T551" s="254"/>
      <c r="U551" s="256"/>
    </row>
    <row r="552" spans="1:21" ht="15" customHeight="1">
      <c r="A552" s="250"/>
      <c r="B552" s="250"/>
      <c r="C552" s="251"/>
      <c r="D552" s="251"/>
      <c r="E552" s="251"/>
      <c r="F552" s="252"/>
      <c r="G552" s="252"/>
      <c r="H552" s="247"/>
      <c r="I552" s="248"/>
      <c r="J552" s="248"/>
      <c r="K552" s="248"/>
      <c r="L552" s="248"/>
      <c r="M552" s="253"/>
      <c r="N552" s="254"/>
      <c r="O552" s="255"/>
      <c r="P552" s="255"/>
      <c r="Q552" s="255"/>
      <c r="R552" s="255"/>
      <c r="S552" s="191"/>
      <c r="T552" s="254"/>
      <c r="U552" s="256"/>
    </row>
    <row r="553" spans="1:21" ht="15" customHeight="1">
      <c r="A553" s="250"/>
      <c r="B553" s="250"/>
      <c r="C553" s="251"/>
      <c r="D553" s="251"/>
      <c r="E553" s="251"/>
      <c r="F553" s="252"/>
      <c r="G553" s="252"/>
      <c r="H553" s="247"/>
      <c r="I553" s="248"/>
      <c r="J553" s="248"/>
      <c r="K553" s="248"/>
      <c r="L553" s="248"/>
      <c r="M553" s="253"/>
      <c r="N553" s="254"/>
      <c r="O553" s="255"/>
      <c r="P553" s="255"/>
      <c r="Q553" s="255"/>
      <c r="R553" s="255"/>
      <c r="S553" s="191"/>
      <c r="T553" s="254"/>
      <c r="U553" s="256"/>
    </row>
    <row r="554" spans="1:21" ht="15" customHeight="1">
      <c r="A554" s="250"/>
      <c r="B554" s="250"/>
      <c r="C554" s="251"/>
      <c r="D554" s="251"/>
      <c r="E554" s="251"/>
      <c r="F554" s="252"/>
      <c r="G554" s="252"/>
      <c r="H554" s="247"/>
      <c r="I554" s="257"/>
      <c r="J554" s="257"/>
      <c r="K554" s="257"/>
      <c r="L554" s="257"/>
      <c r="M554" s="258"/>
      <c r="N554" s="259"/>
      <c r="O554" s="255"/>
      <c r="P554" s="255"/>
      <c r="Q554" s="255"/>
      <c r="R554" s="255"/>
      <c r="S554" s="191"/>
      <c r="T554" s="259"/>
      <c r="U554" s="260"/>
    </row>
    <row r="555" spans="1:21" ht="15" customHeight="1">
      <c r="A555" s="261"/>
      <c r="B555" s="250"/>
      <c r="C555" s="251"/>
      <c r="D555" s="251"/>
      <c r="E555" s="251"/>
      <c r="F555" s="252"/>
      <c r="G555" s="252"/>
      <c r="H555" s="247"/>
      <c r="I555" s="257"/>
      <c r="J555" s="257"/>
      <c r="K555" s="257"/>
      <c r="L555" s="257"/>
      <c r="M555" s="258"/>
      <c r="N555" s="259"/>
      <c r="O555" s="255"/>
      <c r="P555" s="255"/>
      <c r="Q555" s="255"/>
      <c r="R555" s="255"/>
      <c r="S555" s="191"/>
      <c r="T555" s="259"/>
      <c r="U555" s="260"/>
    </row>
    <row r="556" spans="1:21" ht="15" customHeight="1">
      <c r="A556" s="180"/>
      <c r="B556" s="250"/>
      <c r="C556" s="262"/>
      <c r="D556" s="262"/>
      <c r="E556" s="262"/>
      <c r="F556" s="256"/>
      <c r="G556" s="256"/>
      <c r="H556" s="247"/>
      <c r="I556" s="248"/>
      <c r="J556" s="248"/>
      <c r="K556" s="263"/>
      <c r="L556" s="253"/>
      <c r="M556" s="253"/>
      <c r="N556" s="254"/>
      <c r="O556" s="264"/>
      <c r="P556" s="264"/>
      <c r="Q556" s="248"/>
      <c r="R556" s="264"/>
      <c r="S556" s="253"/>
      <c r="T556" s="254"/>
      <c r="U556" s="254"/>
    </row>
    <row r="557" spans="1:21" ht="15" customHeight="1">
      <c r="A557" s="261"/>
      <c r="B557" s="1279"/>
      <c r="C557" s="262"/>
      <c r="D557" s="262"/>
      <c r="E557" s="262"/>
      <c r="F557" s="256"/>
      <c r="G557" s="256"/>
      <c r="H557" s="247"/>
      <c r="I557" s="248"/>
      <c r="J557" s="248"/>
      <c r="K557" s="248"/>
      <c r="L557" s="248"/>
      <c r="M557" s="248"/>
      <c r="N557" s="265"/>
      <c r="O557" s="264"/>
      <c r="P557" s="264"/>
      <c r="Q557" s="264"/>
      <c r="R557" s="264"/>
      <c r="S557" s="253"/>
      <c r="T557" s="254"/>
      <c r="U557" s="254"/>
    </row>
    <row r="558" spans="1:21" ht="15" customHeight="1">
      <c r="A558" s="180"/>
      <c r="B558" s="1279"/>
      <c r="C558" s="180"/>
      <c r="D558" s="262"/>
      <c r="E558" s="262"/>
      <c r="F558" s="262"/>
      <c r="G558" s="256"/>
      <c r="H558" s="248"/>
      <c r="I558" s="248"/>
      <c r="J558" s="248"/>
      <c r="K558" s="248"/>
      <c r="L558" s="248"/>
      <c r="M558" s="253"/>
      <c r="N558" s="265"/>
      <c r="O558" s="253"/>
      <c r="P558" s="253"/>
      <c r="Q558" s="253"/>
      <c r="R558" s="253"/>
      <c r="S558" s="253"/>
      <c r="T558" s="256"/>
      <c r="U558" s="256"/>
    </row>
  </sheetData>
  <mergeCells count="372">
    <mergeCell ref="A1:U1"/>
    <mergeCell ref="A2:A3"/>
    <mergeCell ref="C2:G2"/>
    <mergeCell ref="H2:H3"/>
    <mergeCell ref="I2:L2"/>
    <mergeCell ref="M2:M3"/>
    <mergeCell ref="N2:N3"/>
    <mergeCell ref="O2:R2"/>
    <mergeCell ref="S2:S3"/>
    <mergeCell ref="T2:T3"/>
    <mergeCell ref="U2:U3"/>
    <mergeCell ref="B17:B18"/>
    <mergeCell ref="A19:U19"/>
    <mergeCell ref="A20:A21"/>
    <mergeCell ref="C20:G20"/>
    <mergeCell ref="H20:H21"/>
    <mergeCell ref="I20:L20"/>
    <mergeCell ref="M20:M21"/>
    <mergeCell ref="N20:N21"/>
    <mergeCell ref="O20:R20"/>
    <mergeCell ref="S20:S21"/>
    <mergeCell ref="T20:T21"/>
    <mergeCell ref="U20:U21"/>
    <mergeCell ref="B35:B36"/>
    <mergeCell ref="A37:U37"/>
    <mergeCell ref="A38:A39"/>
    <mergeCell ref="C38:G38"/>
    <mergeCell ref="H38:H39"/>
    <mergeCell ref="I38:L38"/>
    <mergeCell ref="M38:M39"/>
    <mergeCell ref="N38:N39"/>
    <mergeCell ref="O38:R38"/>
    <mergeCell ref="S38:S39"/>
    <mergeCell ref="T38:T39"/>
    <mergeCell ref="U38:U39"/>
    <mergeCell ref="B53:B54"/>
    <mergeCell ref="A55:U55"/>
    <mergeCell ref="A56:A57"/>
    <mergeCell ref="C56:G56"/>
    <mergeCell ref="H56:H57"/>
    <mergeCell ref="I56:L56"/>
    <mergeCell ref="M56:M57"/>
    <mergeCell ref="N56:N57"/>
    <mergeCell ref="O56:R56"/>
    <mergeCell ref="S56:S57"/>
    <mergeCell ref="T56:T57"/>
    <mergeCell ref="U56:U57"/>
    <mergeCell ref="B71:B72"/>
    <mergeCell ref="A73:U73"/>
    <mergeCell ref="A74:A75"/>
    <mergeCell ref="C74:G74"/>
    <mergeCell ref="H74:H75"/>
    <mergeCell ref="I74:L74"/>
    <mergeCell ref="M74:M75"/>
    <mergeCell ref="N74:N75"/>
    <mergeCell ref="O74:R74"/>
    <mergeCell ref="S74:S75"/>
    <mergeCell ref="T74:T75"/>
    <mergeCell ref="U74:U75"/>
    <mergeCell ref="B89:B90"/>
    <mergeCell ref="A91:U91"/>
    <mergeCell ref="A92:A93"/>
    <mergeCell ref="C92:G92"/>
    <mergeCell ref="H92:H93"/>
    <mergeCell ref="I92:L92"/>
    <mergeCell ref="M92:M93"/>
    <mergeCell ref="N92:N93"/>
    <mergeCell ref="O92:R92"/>
    <mergeCell ref="S92:S93"/>
    <mergeCell ref="T92:T93"/>
    <mergeCell ref="U92:U93"/>
    <mergeCell ref="B107:B108"/>
    <mergeCell ref="A109:U109"/>
    <mergeCell ref="A110:A111"/>
    <mergeCell ref="C110:G110"/>
    <mergeCell ref="H110:H111"/>
    <mergeCell ref="I110:L110"/>
    <mergeCell ref="M110:M111"/>
    <mergeCell ref="N110:N111"/>
    <mergeCell ref="O110:R110"/>
    <mergeCell ref="S110:S111"/>
    <mergeCell ref="T110:T111"/>
    <mergeCell ref="U110:U111"/>
    <mergeCell ref="B125:B126"/>
    <mergeCell ref="A127:U127"/>
    <mergeCell ref="A128:A129"/>
    <mergeCell ref="C128:G128"/>
    <mergeCell ref="H128:H129"/>
    <mergeCell ref="I128:L128"/>
    <mergeCell ref="M128:M129"/>
    <mergeCell ref="N128:N129"/>
    <mergeCell ref="O128:R128"/>
    <mergeCell ref="S128:S129"/>
    <mergeCell ref="T128:T129"/>
    <mergeCell ref="U128:U129"/>
    <mergeCell ref="B143:B144"/>
    <mergeCell ref="A145:U145"/>
    <mergeCell ref="A146:A147"/>
    <mergeCell ref="C146:G146"/>
    <mergeCell ref="H146:H147"/>
    <mergeCell ref="I146:L146"/>
    <mergeCell ref="M146:M147"/>
    <mergeCell ref="N146:N147"/>
    <mergeCell ref="O146:R146"/>
    <mergeCell ref="S146:S147"/>
    <mergeCell ref="T146:T147"/>
    <mergeCell ref="U146:U147"/>
    <mergeCell ref="B161:B162"/>
    <mergeCell ref="A163:U163"/>
    <mergeCell ref="A164:A165"/>
    <mergeCell ref="C164:G164"/>
    <mergeCell ref="H164:H165"/>
    <mergeCell ref="I164:L164"/>
    <mergeCell ref="M164:M165"/>
    <mergeCell ref="N164:N165"/>
    <mergeCell ref="O164:R164"/>
    <mergeCell ref="S164:S165"/>
    <mergeCell ref="T164:T165"/>
    <mergeCell ref="U164:U165"/>
    <mergeCell ref="B179:B180"/>
    <mergeCell ref="A181:U181"/>
    <mergeCell ref="A182:A183"/>
    <mergeCell ref="C182:G182"/>
    <mergeCell ref="H182:H183"/>
    <mergeCell ref="I182:L182"/>
    <mergeCell ref="M182:M183"/>
    <mergeCell ref="N182:N183"/>
    <mergeCell ref="O182:R182"/>
    <mergeCell ref="S182:S183"/>
    <mergeCell ref="T182:T183"/>
    <mergeCell ref="U182:U183"/>
    <mergeCell ref="B197:B198"/>
    <mergeCell ref="A199:U199"/>
    <mergeCell ref="A200:A201"/>
    <mergeCell ref="C200:G200"/>
    <mergeCell ref="H200:H201"/>
    <mergeCell ref="I200:L200"/>
    <mergeCell ref="M200:M201"/>
    <mergeCell ref="N200:N201"/>
    <mergeCell ref="O200:R200"/>
    <mergeCell ref="S200:S201"/>
    <mergeCell ref="T200:T201"/>
    <mergeCell ref="U200:U201"/>
    <mergeCell ref="B215:B216"/>
    <mergeCell ref="A217:U217"/>
    <mergeCell ref="A218:A219"/>
    <mergeCell ref="C218:G218"/>
    <mergeCell ref="H218:H219"/>
    <mergeCell ref="I218:L218"/>
    <mergeCell ref="M218:M219"/>
    <mergeCell ref="N218:N219"/>
    <mergeCell ref="O218:R218"/>
    <mergeCell ref="S218:S219"/>
    <mergeCell ref="T218:T219"/>
    <mergeCell ref="U218:U219"/>
    <mergeCell ref="B233:B234"/>
    <mergeCell ref="A235:U235"/>
    <mergeCell ref="A236:A237"/>
    <mergeCell ref="C236:G236"/>
    <mergeCell ref="H236:H237"/>
    <mergeCell ref="I236:L236"/>
    <mergeCell ref="M236:M237"/>
    <mergeCell ref="N236:N237"/>
    <mergeCell ref="O236:R236"/>
    <mergeCell ref="S236:S237"/>
    <mergeCell ref="T236:T237"/>
    <mergeCell ref="U236:U237"/>
    <mergeCell ref="B251:B252"/>
    <mergeCell ref="A253:U253"/>
    <mergeCell ref="A254:A255"/>
    <mergeCell ref="C254:G254"/>
    <mergeCell ref="H254:H255"/>
    <mergeCell ref="I254:L254"/>
    <mergeCell ref="M254:M255"/>
    <mergeCell ref="N254:N255"/>
    <mergeCell ref="O254:R254"/>
    <mergeCell ref="S254:S255"/>
    <mergeCell ref="T254:T255"/>
    <mergeCell ref="U254:U255"/>
    <mergeCell ref="B269:B270"/>
    <mergeCell ref="A271:U271"/>
    <mergeCell ref="A272:A273"/>
    <mergeCell ref="C272:G272"/>
    <mergeCell ref="H272:H273"/>
    <mergeCell ref="I272:L272"/>
    <mergeCell ref="M272:M273"/>
    <mergeCell ref="N272:N273"/>
    <mergeCell ref="O272:R272"/>
    <mergeCell ref="S272:S273"/>
    <mergeCell ref="T272:T273"/>
    <mergeCell ref="U272:U273"/>
    <mergeCell ref="B287:B288"/>
    <mergeCell ref="A289:U289"/>
    <mergeCell ref="A290:A291"/>
    <mergeCell ref="C290:G290"/>
    <mergeCell ref="H290:H291"/>
    <mergeCell ref="I290:L290"/>
    <mergeCell ref="M290:M291"/>
    <mergeCell ref="N290:N291"/>
    <mergeCell ref="O290:R290"/>
    <mergeCell ref="S290:S291"/>
    <mergeCell ref="T290:T291"/>
    <mergeCell ref="U290:U291"/>
    <mergeCell ref="B305:B306"/>
    <mergeCell ref="A307:U307"/>
    <mergeCell ref="A308:A309"/>
    <mergeCell ref="C308:G308"/>
    <mergeCell ref="H308:H309"/>
    <mergeCell ref="I308:L308"/>
    <mergeCell ref="M308:M309"/>
    <mergeCell ref="N308:N309"/>
    <mergeCell ref="O308:R308"/>
    <mergeCell ref="S308:S309"/>
    <mergeCell ref="T308:T309"/>
    <mergeCell ref="U308:U309"/>
    <mergeCell ref="B323:B324"/>
    <mergeCell ref="A325:U325"/>
    <mergeCell ref="A326:A327"/>
    <mergeCell ref="C326:G326"/>
    <mergeCell ref="H326:H327"/>
    <mergeCell ref="I326:L326"/>
    <mergeCell ref="M326:M327"/>
    <mergeCell ref="N326:N327"/>
    <mergeCell ref="O326:R326"/>
    <mergeCell ref="S326:S327"/>
    <mergeCell ref="T326:T327"/>
    <mergeCell ref="U326:U327"/>
    <mergeCell ref="B341:B342"/>
    <mergeCell ref="A343:U343"/>
    <mergeCell ref="A344:A345"/>
    <mergeCell ref="C344:G344"/>
    <mergeCell ref="H344:H345"/>
    <mergeCell ref="I344:L344"/>
    <mergeCell ref="M344:M345"/>
    <mergeCell ref="N344:N345"/>
    <mergeCell ref="O344:R344"/>
    <mergeCell ref="S344:S345"/>
    <mergeCell ref="T344:T345"/>
    <mergeCell ref="U344:U345"/>
    <mergeCell ref="B359:B360"/>
    <mergeCell ref="A361:U361"/>
    <mergeCell ref="A362:A363"/>
    <mergeCell ref="C362:G362"/>
    <mergeCell ref="H362:H363"/>
    <mergeCell ref="I362:L362"/>
    <mergeCell ref="M362:M363"/>
    <mergeCell ref="N362:N363"/>
    <mergeCell ref="O362:R362"/>
    <mergeCell ref="S362:S363"/>
    <mergeCell ref="T362:T363"/>
    <mergeCell ref="U362:U363"/>
    <mergeCell ref="B377:B378"/>
    <mergeCell ref="A379:U379"/>
    <mergeCell ref="A380:A381"/>
    <mergeCell ref="C380:G380"/>
    <mergeCell ref="H380:H381"/>
    <mergeCell ref="I380:L380"/>
    <mergeCell ref="M380:M381"/>
    <mergeCell ref="N380:N381"/>
    <mergeCell ref="O380:R380"/>
    <mergeCell ref="S380:S381"/>
    <mergeCell ref="T380:T381"/>
    <mergeCell ref="U380:U381"/>
    <mergeCell ref="B395:B396"/>
    <mergeCell ref="A397:U397"/>
    <mergeCell ref="A398:A399"/>
    <mergeCell ref="C398:G398"/>
    <mergeCell ref="H398:H399"/>
    <mergeCell ref="I398:L398"/>
    <mergeCell ref="M398:M399"/>
    <mergeCell ref="N398:N399"/>
    <mergeCell ref="O398:R398"/>
    <mergeCell ref="S398:S399"/>
    <mergeCell ref="T398:T399"/>
    <mergeCell ref="U398:U399"/>
    <mergeCell ref="B413:B414"/>
    <mergeCell ref="A415:U415"/>
    <mergeCell ref="A416:A417"/>
    <mergeCell ref="C416:G416"/>
    <mergeCell ref="H416:H417"/>
    <mergeCell ref="I416:L416"/>
    <mergeCell ref="M416:M417"/>
    <mergeCell ref="N416:N417"/>
    <mergeCell ref="O416:R416"/>
    <mergeCell ref="S416:S417"/>
    <mergeCell ref="T416:T417"/>
    <mergeCell ref="U416:U417"/>
    <mergeCell ref="B431:B432"/>
    <mergeCell ref="A433:U433"/>
    <mergeCell ref="A434:A435"/>
    <mergeCell ref="C434:G434"/>
    <mergeCell ref="H434:H435"/>
    <mergeCell ref="I434:L434"/>
    <mergeCell ref="M434:M435"/>
    <mergeCell ref="N434:N435"/>
    <mergeCell ref="O434:R434"/>
    <mergeCell ref="S434:S435"/>
    <mergeCell ref="T434:T435"/>
    <mergeCell ref="U434:U435"/>
    <mergeCell ref="B449:B450"/>
    <mergeCell ref="A451:U451"/>
    <mergeCell ref="A452:A453"/>
    <mergeCell ref="C452:G452"/>
    <mergeCell ref="H452:H453"/>
    <mergeCell ref="I452:L452"/>
    <mergeCell ref="M452:M453"/>
    <mergeCell ref="N452:N453"/>
    <mergeCell ref="O452:R452"/>
    <mergeCell ref="S452:S453"/>
    <mergeCell ref="T452:T453"/>
    <mergeCell ref="U452:U453"/>
    <mergeCell ref="B467:B468"/>
    <mergeCell ref="A469:U469"/>
    <mergeCell ref="A470:A471"/>
    <mergeCell ref="C470:G470"/>
    <mergeCell ref="H470:H471"/>
    <mergeCell ref="I470:L470"/>
    <mergeCell ref="M470:M471"/>
    <mergeCell ref="N470:N471"/>
    <mergeCell ref="O470:R470"/>
    <mergeCell ref="S470:S471"/>
    <mergeCell ref="T470:T471"/>
    <mergeCell ref="U470:U471"/>
    <mergeCell ref="B485:B486"/>
    <mergeCell ref="A487:U487"/>
    <mergeCell ref="A488:A489"/>
    <mergeCell ref="C488:G488"/>
    <mergeCell ref="H488:H489"/>
    <mergeCell ref="I488:L488"/>
    <mergeCell ref="M488:M489"/>
    <mergeCell ref="N488:N489"/>
    <mergeCell ref="O488:R488"/>
    <mergeCell ref="S488:S489"/>
    <mergeCell ref="T488:T489"/>
    <mergeCell ref="U488:U489"/>
    <mergeCell ref="B503:B504"/>
    <mergeCell ref="A505:U505"/>
    <mergeCell ref="A506:A507"/>
    <mergeCell ref="C506:G506"/>
    <mergeCell ref="H506:H507"/>
    <mergeCell ref="I506:L506"/>
    <mergeCell ref="M506:M507"/>
    <mergeCell ref="N506:N507"/>
    <mergeCell ref="O506:R506"/>
    <mergeCell ref="S506:S507"/>
    <mergeCell ref="T506:T507"/>
    <mergeCell ref="U506:U507"/>
    <mergeCell ref="B521:B522"/>
    <mergeCell ref="A523:U523"/>
    <mergeCell ref="A524:A525"/>
    <mergeCell ref="C524:G524"/>
    <mergeCell ref="H524:H525"/>
    <mergeCell ref="I524:L524"/>
    <mergeCell ref="M524:M525"/>
    <mergeCell ref="N524:N525"/>
    <mergeCell ref="O524:R524"/>
    <mergeCell ref="S524:S525"/>
    <mergeCell ref="T524:T525"/>
    <mergeCell ref="U524:U525"/>
    <mergeCell ref="B557:B558"/>
    <mergeCell ref="B539:B540"/>
    <mergeCell ref="A541:U541"/>
    <mergeCell ref="A542:A543"/>
    <mergeCell ref="C542:G542"/>
    <mergeCell ref="H542:H543"/>
    <mergeCell ref="I542:L542"/>
    <mergeCell ref="M542:M543"/>
    <mergeCell ref="N542:N543"/>
    <mergeCell ref="O542:R542"/>
    <mergeCell ref="S542:S543"/>
    <mergeCell ref="T542:T543"/>
    <mergeCell ref="U542:U543"/>
  </mergeCells>
  <conditionalFormatting sqref="C486:U486">
    <cfRule type="cellIs" dxfId="1380" priority="9" operator="equal">
      <formula>0</formula>
    </cfRule>
  </conditionalFormatting>
  <conditionalFormatting sqref="C468:U468">
    <cfRule type="cellIs" dxfId="1379" priority="10" operator="equal">
      <formula>0</formula>
    </cfRule>
  </conditionalFormatting>
  <conditionalFormatting sqref="C450:U450">
    <cfRule type="cellIs" dxfId="1378" priority="11" operator="equal">
      <formula>0</formula>
    </cfRule>
  </conditionalFormatting>
  <conditionalFormatting sqref="C432:U432">
    <cfRule type="cellIs" dxfId="1377" priority="12" operator="equal">
      <formula>0</formula>
    </cfRule>
  </conditionalFormatting>
  <conditionalFormatting sqref="C414:U414">
    <cfRule type="cellIs" dxfId="1376" priority="13" operator="equal">
      <formula>0</formula>
    </cfRule>
  </conditionalFormatting>
  <conditionalFormatting sqref="C396:U396">
    <cfRule type="cellIs" dxfId="1375" priority="14" operator="equal">
      <formula>0</formula>
    </cfRule>
  </conditionalFormatting>
  <conditionalFormatting sqref="C378:U378">
    <cfRule type="cellIs" dxfId="1374" priority="15" operator="equal">
      <formula>0</formula>
    </cfRule>
  </conditionalFormatting>
  <conditionalFormatting sqref="C360:U360">
    <cfRule type="cellIs" dxfId="1373" priority="16" operator="equal">
      <formula>0</formula>
    </cfRule>
  </conditionalFormatting>
  <conditionalFormatting sqref="C342:U342">
    <cfRule type="cellIs" dxfId="1372" priority="17" operator="equal">
      <formula>0</formula>
    </cfRule>
  </conditionalFormatting>
  <conditionalFormatting sqref="C324:U324">
    <cfRule type="cellIs" dxfId="1371" priority="18" operator="equal">
      <formula>0</formula>
    </cfRule>
  </conditionalFormatting>
  <conditionalFormatting sqref="C306:U306">
    <cfRule type="cellIs" dxfId="1370" priority="19" operator="equal">
      <formula>0</formula>
    </cfRule>
  </conditionalFormatting>
  <conditionalFormatting sqref="C288:U288">
    <cfRule type="cellIs" dxfId="1369" priority="20" operator="equal">
      <formula>0</formula>
    </cfRule>
  </conditionalFormatting>
  <conditionalFormatting sqref="C270:U270">
    <cfRule type="cellIs" dxfId="1368" priority="21" operator="equal">
      <formula>0</formula>
    </cfRule>
  </conditionalFormatting>
  <conditionalFormatting sqref="C252:U252">
    <cfRule type="cellIs" dxfId="1367" priority="22" operator="equal">
      <formula>0</formula>
    </cfRule>
  </conditionalFormatting>
  <conditionalFormatting sqref="C234:U234">
    <cfRule type="cellIs" dxfId="1366" priority="23" operator="equal">
      <formula>0</formula>
    </cfRule>
  </conditionalFormatting>
  <conditionalFormatting sqref="C216:U216">
    <cfRule type="cellIs" dxfId="1365" priority="24" operator="equal">
      <formula>0</formula>
    </cfRule>
  </conditionalFormatting>
  <conditionalFormatting sqref="C198:U198">
    <cfRule type="cellIs" dxfId="1364" priority="25" operator="equal">
      <formula>0</formula>
    </cfRule>
  </conditionalFormatting>
  <conditionalFormatting sqref="C180:U180">
    <cfRule type="cellIs" dxfId="1363" priority="26" operator="equal">
      <formula>0</formula>
    </cfRule>
  </conditionalFormatting>
  <conditionalFormatting sqref="C162:U162">
    <cfRule type="cellIs" dxfId="1362" priority="27" operator="equal">
      <formula>0</formula>
    </cfRule>
  </conditionalFormatting>
  <conditionalFormatting sqref="C144:U144">
    <cfRule type="cellIs" dxfId="1361" priority="28" operator="equal">
      <formula>0</formula>
    </cfRule>
  </conditionalFormatting>
  <conditionalFormatting sqref="C126:U126">
    <cfRule type="cellIs" dxfId="1360" priority="29" operator="equal">
      <formula>0</formula>
    </cfRule>
  </conditionalFormatting>
  <conditionalFormatting sqref="C108:U108">
    <cfRule type="cellIs" dxfId="1359" priority="30" operator="equal">
      <formula>0</formula>
    </cfRule>
  </conditionalFormatting>
  <conditionalFormatting sqref="C90:U90">
    <cfRule type="cellIs" dxfId="1358" priority="31" operator="equal">
      <formula>0</formula>
    </cfRule>
  </conditionalFormatting>
  <conditionalFormatting sqref="C558:U558">
    <cfRule type="cellIs" dxfId="1357" priority="35" operator="equal">
      <formula>0</formula>
    </cfRule>
  </conditionalFormatting>
  <conditionalFormatting sqref="B73:U89 B91:U107 B109:U125 B127:U143 B145:U161 B163:U179 B181:U197 B199:U215 B217:U233 B235:U251 B253:U269 B271:U287 B289:U305 B307:U323 B325:U341 B343:U359 B361:U377 B379:U395 B397:U413 B415:U431 B433:U449 B451:U467 B469:U485 B541:U557 B559:U1048576 B487:U503 B505:U521 B523:U539 B1:U17 B19:U35 B37:U53 B55:U71">
    <cfRule type="cellIs" dxfId="1356" priority="39" operator="equal">
      <formula>0</formula>
    </cfRule>
  </conditionalFormatting>
  <conditionalFormatting sqref="C504:U504">
    <cfRule type="cellIs" dxfId="1355" priority="7" operator="equal">
      <formula>0</formula>
    </cfRule>
  </conditionalFormatting>
  <conditionalFormatting sqref="C522:U522">
    <cfRule type="cellIs" dxfId="1354" priority="6" operator="equal">
      <formula>0</formula>
    </cfRule>
  </conditionalFormatting>
  <conditionalFormatting sqref="C540:U540">
    <cfRule type="cellIs" dxfId="1353" priority="5" operator="equal">
      <formula>0</formula>
    </cfRule>
  </conditionalFormatting>
  <conditionalFormatting sqref="C18:U18">
    <cfRule type="cellIs" dxfId="1352" priority="4" operator="equal">
      <formula>0</formula>
    </cfRule>
  </conditionalFormatting>
  <conditionalFormatting sqref="C36:U36">
    <cfRule type="cellIs" dxfId="1351" priority="3" operator="equal">
      <formula>0</formula>
    </cfRule>
  </conditionalFormatting>
  <conditionalFormatting sqref="C54:U54">
    <cfRule type="cellIs" dxfId="1350" priority="2" operator="equal">
      <formula>0</formula>
    </cfRule>
  </conditionalFormatting>
  <conditionalFormatting sqref="C72:U72">
    <cfRule type="cellIs" dxfId="1349" priority="1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X34"/>
  <sheetViews>
    <sheetView zoomScaleNormal="100" workbookViewId="0">
      <pane ySplit="2" topLeftCell="A3" activePane="bottomLeft" state="frozen"/>
      <selection pane="bottomLeft" activeCell="B4" sqref="B4:I6"/>
    </sheetView>
  </sheetViews>
  <sheetFormatPr defaultColWidth="8.7109375" defaultRowHeight="15" customHeight="1"/>
  <cols>
    <col min="1" max="1" width="10.7109375" style="266" customWidth="1"/>
    <col min="2" max="2" width="15.5703125" style="160" customWidth="1"/>
    <col min="3" max="5" width="13.85546875" style="160" customWidth="1"/>
    <col min="6" max="6" width="12.42578125" style="160" customWidth="1"/>
    <col min="7" max="7" width="13.140625" style="160" customWidth="1"/>
    <col min="8" max="8" width="13.85546875" style="160" customWidth="1"/>
    <col min="9" max="9" width="6.7109375" style="160" customWidth="1"/>
    <col min="10" max="11" width="7.5703125" style="160" hidden="1" customWidth="1"/>
    <col min="12" max="12" width="17.28515625" style="160" hidden="1" customWidth="1"/>
    <col min="13" max="13" width="8.5703125" style="160" hidden="1" customWidth="1"/>
    <col min="14" max="14" width="10" style="160" hidden="1" customWidth="1"/>
    <col min="15" max="16" width="8.7109375" style="160" hidden="1"/>
    <col min="17" max="17" width="15.5703125" customWidth="1"/>
    <col min="18" max="18" width="12.5703125" customWidth="1"/>
    <col min="19" max="19" width="18.5703125" customWidth="1"/>
    <col min="20" max="20" width="10.28515625" customWidth="1"/>
    <col min="21" max="21" width="14.140625" customWidth="1"/>
    <col min="22" max="22" width="13.140625" customWidth="1"/>
    <col min="23" max="23" width="11.28515625" customWidth="1"/>
  </cols>
  <sheetData>
    <row r="1" spans="1:23" ht="23.25" customHeight="1">
      <c r="A1" s="1300" t="s">
        <v>78</v>
      </c>
      <c r="B1" s="267">
        <f t="shared" ref="B1:I1" ca="1" si="0">SUM(B3:B33)</f>
        <v>0</v>
      </c>
      <c r="C1" s="267">
        <f t="shared" ca="1" si="0"/>
        <v>0</v>
      </c>
      <c r="D1" s="267">
        <f t="shared" ca="1" si="0"/>
        <v>0</v>
      </c>
      <c r="E1" s="267">
        <f t="shared" ca="1" si="0"/>
        <v>0</v>
      </c>
      <c r="F1" s="267">
        <f t="shared" ca="1" si="0"/>
        <v>0</v>
      </c>
      <c r="G1" s="267">
        <f t="shared" ca="1" si="0"/>
        <v>0</v>
      </c>
      <c r="H1" s="267">
        <f t="shared" ca="1" si="0"/>
        <v>0</v>
      </c>
      <c r="I1" s="268">
        <f t="shared" ca="1" si="0"/>
        <v>12</v>
      </c>
      <c r="J1" s="268"/>
      <c r="K1" s="268"/>
      <c r="L1" s="268"/>
      <c r="M1" s="268"/>
      <c r="N1" s="268"/>
      <c r="O1" s="268"/>
      <c r="P1" s="268"/>
      <c r="Q1" s="269">
        <f ca="1">B1/(COUNTA(B3:B33))</f>
        <v>0</v>
      </c>
      <c r="R1" s="270">
        <f ca="1">B1/I1</f>
        <v>0</v>
      </c>
    </row>
    <row r="2" spans="1:23" ht="56.25" customHeight="1">
      <c r="A2" s="1300"/>
      <c r="B2" s="271" t="s">
        <v>79</v>
      </c>
      <c r="C2" s="271" t="s">
        <v>80</v>
      </c>
      <c r="D2" s="272" t="s">
        <v>4</v>
      </c>
      <c r="E2" s="272" t="s">
        <v>81</v>
      </c>
      <c r="F2" s="271" t="s">
        <v>82</v>
      </c>
      <c r="G2" s="271" t="s">
        <v>83</v>
      </c>
      <c r="H2" s="273" t="s">
        <v>84</v>
      </c>
      <c r="I2" s="274" t="s">
        <v>85</v>
      </c>
      <c r="J2" s="275" t="s">
        <v>86</v>
      </c>
      <c r="K2" s="275" t="s">
        <v>87</v>
      </c>
      <c r="L2" s="275" t="s">
        <v>88</v>
      </c>
      <c r="M2" s="274" t="s">
        <v>89</v>
      </c>
      <c r="N2" s="275" t="s">
        <v>90</v>
      </c>
      <c r="O2" s="275" t="s">
        <v>91</v>
      </c>
      <c r="P2" s="275" t="s">
        <v>92</v>
      </c>
      <c r="Q2" s="273" t="s">
        <v>93</v>
      </c>
      <c r="R2" s="273" t="s">
        <v>94</v>
      </c>
      <c r="S2" s="276">
        <f ca="1">Q1*30</f>
        <v>0</v>
      </c>
      <c r="T2" s="277">
        <f ca="1">S2-10750</f>
        <v>-10750</v>
      </c>
      <c r="U2" s="278">
        <f ca="1">T2*350</f>
        <v>-3762500</v>
      </c>
      <c r="V2" s="278">
        <f ca="1">U2*18%</f>
        <v>-677250</v>
      </c>
      <c r="W2" s="279">
        <f ca="1">V2/18</f>
        <v>-37625</v>
      </c>
    </row>
    <row r="3" spans="1:23" ht="15.75" customHeight="1">
      <c r="A3" s="280">
        <v>46296</v>
      </c>
      <c r="B3" s="281">
        <f t="shared" ref="B3" ca="1" si="1">IF(INDIRECT("Prod.!AB" &amp; (ROW()-3)*18+18)&lt;&gt;0, INDIRECT("Prod.!AB" &amp; (ROW()-3)*18+18), 0)</f>
        <v>0</v>
      </c>
      <c r="C3" s="281">
        <f t="shared" ref="C3" ca="1" si="2">IF(INDIRECT("Prod.!U" &amp; (ROW()-3)*18+18)&lt;&gt;0, INDIRECT("Prod.!U" &amp; (ROW()-3)*18+18), 0)</f>
        <v>0</v>
      </c>
      <c r="D3" s="281">
        <f t="shared" ref="D3" ca="1" si="3">IF(INDIRECT("Prod.!O" &amp; (ROW()-3)*18+18)&lt;&gt;0, INDIRECT("Prod.!O" &amp; (ROW()-3)*18+18), 0)</f>
        <v>0</v>
      </c>
      <c r="E3" s="281">
        <f t="shared" ref="E3" ca="1" si="4">IF(INDIRECT("Prod.!AA" &amp; (ROW()-3)*18+18)&lt;&gt;0, INDIRECT("Prod.!AA" &amp; (ROW()-3)*18+18), 0)</f>
        <v>0</v>
      </c>
      <c r="F3" s="281">
        <f t="shared" ref="F3" ca="1" si="5">IF(INDIRECT("Prod.!AR" &amp; (ROW()-3)*18+18)&lt;&gt;0, INDIRECT("Prod.!AR" &amp; (ROW()-3)*18+18), 0)</f>
        <v>0</v>
      </c>
      <c r="G3" s="281">
        <f t="shared" ref="G3" ca="1" si="6">IF(INDIRECT("Prod.!AH" &amp; (ROW()-3)*18+18)&lt;&gt;0, INDIRECT("Prod.!AH" &amp; (ROW()-3)*18+18), 0)</f>
        <v>0</v>
      </c>
      <c r="H3" s="282">
        <f t="shared" ref="H3" ca="1" si="7">IF(INDIRECT("Prod.!T" &amp; (ROW()-3)*18+18)&lt;&gt;0, INDIRECT("Prod.!T" &amp; (ROW()-3)*18+18), 0)</f>
        <v>0</v>
      </c>
      <c r="I3" s="283">
        <f t="shared" ref="I3" ca="1" si="8">IF(INDIRECT("Prod.!A" &amp; (ROW()-3)*18+18)&lt;&gt;0, INDIRECT("Prod.!A" &amp; (ROW()-3)*18+18), 0)</f>
        <v>12</v>
      </c>
      <c r="J3" s="284">
        <v>109.81100000000001</v>
      </c>
      <c r="K3" s="284">
        <f t="shared" ref="K3:K10" ca="1" si="9">C3+D3-F3</f>
        <v>0</v>
      </c>
      <c r="L3" s="284">
        <v>179.84299999999999</v>
      </c>
      <c r="M3" s="284">
        <v>177.14500000000001</v>
      </c>
      <c r="N3" s="217"/>
      <c r="O3" s="284">
        <v>2.698</v>
      </c>
      <c r="P3" s="284">
        <f t="shared" ref="P3:P10" si="10">M3+N3+O3</f>
        <v>179.84300000000002</v>
      </c>
      <c r="Q3" s="160"/>
    </row>
    <row r="4" spans="1:23" ht="15" customHeight="1">
      <c r="A4" s="280">
        <v>46297</v>
      </c>
      <c r="B4" s="281"/>
      <c r="C4" s="281"/>
      <c r="D4" s="281"/>
      <c r="E4" s="281"/>
      <c r="F4" s="281"/>
      <c r="G4" s="281"/>
      <c r="H4" s="282"/>
      <c r="I4" s="283"/>
      <c r="J4" s="284">
        <v>-2.2040000000000002</v>
      </c>
      <c r="K4" s="284">
        <f t="shared" si="9"/>
        <v>0</v>
      </c>
      <c r="L4" s="284">
        <v>172.035</v>
      </c>
      <c r="M4" s="284">
        <v>169.45400000000001</v>
      </c>
      <c r="N4" s="217"/>
      <c r="O4" s="284">
        <v>2.581</v>
      </c>
      <c r="P4" s="284">
        <f t="shared" si="10"/>
        <v>172.035</v>
      </c>
      <c r="Q4" s="160"/>
      <c r="R4" s="285" t="s">
        <v>95</v>
      </c>
    </row>
    <row r="5" spans="1:23" ht="15" customHeight="1">
      <c r="A5" s="280">
        <v>46298</v>
      </c>
      <c r="B5" s="281"/>
      <c r="C5" s="281"/>
      <c r="D5" s="281"/>
      <c r="E5" s="281"/>
      <c r="F5" s="281"/>
      <c r="G5" s="281"/>
      <c r="H5" s="282"/>
      <c r="I5" s="283"/>
      <c r="J5" s="284"/>
      <c r="K5" s="284">
        <f t="shared" si="9"/>
        <v>0</v>
      </c>
      <c r="L5" s="284">
        <v>239.12799999999999</v>
      </c>
      <c r="M5" s="284">
        <v>228.90600000000001</v>
      </c>
      <c r="N5" s="217">
        <v>6.3520000000000003</v>
      </c>
      <c r="O5" s="284">
        <v>3.87</v>
      </c>
      <c r="P5" s="284">
        <f t="shared" si="10"/>
        <v>239.12800000000001</v>
      </c>
      <c r="Q5" s="160"/>
      <c r="R5" s="1301">
        <f ca="1">ROUND('Daily Stock'!Q15+B1-C1-D1+F1-H1,3)</f>
        <v>662.85400000000004</v>
      </c>
    </row>
    <row r="6" spans="1:23" ht="15.75" customHeight="1">
      <c r="A6" s="280">
        <v>46299</v>
      </c>
      <c r="B6" s="281"/>
      <c r="C6" s="281"/>
      <c r="D6" s="281"/>
      <c r="E6" s="281"/>
      <c r="F6" s="281"/>
      <c r="G6" s="281"/>
      <c r="H6" s="282"/>
      <c r="I6" s="283"/>
      <c r="J6" s="284"/>
      <c r="K6" s="284">
        <f t="shared" si="9"/>
        <v>0</v>
      </c>
      <c r="L6" s="284">
        <v>453.24799999999999</v>
      </c>
      <c r="M6" s="284">
        <v>429.53100000000001</v>
      </c>
      <c r="N6" s="284">
        <v>15.747999999999999</v>
      </c>
      <c r="O6" s="217">
        <v>7.9690000000000003</v>
      </c>
      <c r="P6" s="284">
        <f t="shared" si="10"/>
        <v>453.24799999999999</v>
      </c>
      <c r="Q6" s="286" t="s">
        <v>96</v>
      </c>
      <c r="R6" s="1301"/>
    </row>
    <row r="7" spans="1:23" ht="15" customHeight="1">
      <c r="A7" s="280">
        <v>46300</v>
      </c>
      <c r="B7" s="281"/>
      <c r="C7" s="281"/>
      <c r="D7" s="281"/>
      <c r="E7" s="281"/>
      <c r="F7" s="281"/>
      <c r="G7" s="281"/>
      <c r="H7" s="282"/>
      <c r="I7" s="283"/>
      <c r="J7" s="284"/>
      <c r="K7" s="284">
        <f t="shared" si="9"/>
        <v>0</v>
      </c>
      <c r="L7" s="284">
        <v>105.867</v>
      </c>
      <c r="M7" s="284">
        <v>97.647999999999996</v>
      </c>
      <c r="N7" s="284">
        <v>6.4829999999999997</v>
      </c>
      <c r="O7" s="284">
        <v>1.736</v>
      </c>
      <c r="P7" s="284">
        <f t="shared" si="10"/>
        <v>105.867</v>
      </c>
      <c r="Q7" s="286">
        <f>COUNTIFS(Prod.!B:B, "&gt;0.12", Prod.!A:A, "&lt;&gt;MAX")</f>
        <v>0</v>
      </c>
    </row>
    <row r="8" spans="1:23" ht="15" customHeight="1">
      <c r="A8" s="280">
        <v>46301</v>
      </c>
      <c r="B8" s="281"/>
      <c r="C8" s="281"/>
      <c r="D8" s="281"/>
      <c r="E8" s="281"/>
      <c r="F8" s="281"/>
      <c r="G8" s="281"/>
      <c r="H8" s="282"/>
      <c r="I8" s="283"/>
      <c r="J8" s="284"/>
      <c r="K8" s="284">
        <f t="shared" si="9"/>
        <v>0</v>
      </c>
      <c r="L8" s="284">
        <v>473.23</v>
      </c>
      <c r="M8" s="284">
        <v>456.51900000000001</v>
      </c>
      <c r="N8" s="284">
        <v>8.3369999999999997</v>
      </c>
      <c r="O8" s="284">
        <v>8.3740000000000006</v>
      </c>
      <c r="P8" s="284">
        <f t="shared" si="10"/>
        <v>473.23</v>
      </c>
      <c r="Q8" s="160"/>
      <c r="R8" s="160" t="str">
        <f>B2</f>
        <v>Total Prod</v>
      </c>
      <c r="S8" s="160">
        <f ca="1">B1</f>
        <v>0</v>
      </c>
    </row>
    <row r="9" spans="1:23" ht="15" customHeight="1">
      <c r="A9" s="280">
        <v>46302</v>
      </c>
      <c r="B9" s="281"/>
      <c r="C9" s="281"/>
      <c r="D9" s="281"/>
      <c r="E9" s="281"/>
      <c r="F9" s="281"/>
      <c r="G9" s="281"/>
      <c r="H9" s="282"/>
      <c r="I9" s="283"/>
      <c r="J9" s="284"/>
      <c r="K9" s="284">
        <f t="shared" si="9"/>
        <v>0</v>
      </c>
      <c r="L9" s="284">
        <v>375.43400000000003</v>
      </c>
      <c r="M9" s="284">
        <v>365.52699999999999</v>
      </c>
      <c r="N9" s="284">
        <v>3.3079999999999998</v>
      </c>
      <c r="O9" s="284">
        <v>6.5990000000000002</v>
      </c>
      <c r="P9" s="284">
        <f t="shared" si="10"/>
        <v>375.43399999999997</v>
      </c>
      <c r="Q9" s="160">
        <f ca="1">C1+D1-F1</f>
        <v>0</v>
      </c>
      <c r="R9" s="160" t="str">
        <f>C2</f>
        <v>Hot Charging</v>
      </c>
      <c r="S9" s="160">
        <f ca="1">C1</f>
        <v>0</v>
      </c>
    </row>
    <row r="10" spans="1:23" ht="15.75" customHeight="1">
      <c r="A10" s="280">
        <v>46303</v>
      </c>
      <c r="B10" s="281"/>
      <c r="C10" s="281"/>
      <c r="D10" s="281"/>
      <c r="E10" s="281"/>
      <c r="F10" s="281"/>
      <c r="G10" s="281"/>
      <c r="H10" s="282"/>
      <c r="I10" s="283"/>
      <c r="J10" s="287"/>
      <c r="K10" s="284">
        <f t="shared" si="9"/>
        <v>0</v>
      </c>
      <c r="L10" s="287">
        <v>404.036</v>
      </c>
      <c r="M10" s="287">
        <v>424.12200000000001</v>
      </c>
      <c r="N10" s="287">
        <v>7.41</v>
      </c>
      <c r="O10" s="287">
        <v>7.819</v>
      </c>
      <c r="P10" s="287">
        <f t="shared" si="10"/>
        <v>439.35100000000006</v>
      </c>
      <c r="Q10" s="160"/>
      <c r="R10" s="160" t="str">
        <f>D2</f>
        <v>RHF</v>
      </c>
      <c r="S10" s="160">
        <f ca="1">D1</f>
        <v>0</v>
      </c>
    </row>
    <row r="11" spans="1:23" ht="15.75" customHeight="1">
      <c r="A11" s="280">
        <v>46304</v>
      </c>
      <c r="B11" s="281"/>
      <c r="C11" s="281"/>
      <c r="D11" s="281"/>
      <c r="E11" s="281"/>
      <c r="F11" s="281"/>
      <c r="G11" s="281"/>
      <c r="H11" s="282"/>
      <c r="I11" s="283"/>
      <c r="J11" s="288" t="s">
        <v>92</v>
      </c>
      <c r="K11" s="289">
        <f t="shared" ref="K11:P11" ca="1" si="11">SUM(K3:K10)</f>
        <v>0</v>
      </c>
      <c r="L11" s="290">
        <f t="shared" si="11"/>
        <v>2402.8209999999999</v>
      </c>
      <c r="M11" s="290">
        <f t="shared" si="11"/>
        <v>2348.8519999999999</v>
      </c>
      <c r="N11" s="290">
        <f t="shared" si="11"/>
        <v>47.638000000000005</v>
      </c>
      <c r="O11" s="290">
        <f t="shared" si="11"/>
        <v>41.646000000000001</v>
      </c>
      <c r="P11" s="291">
        <f t="shared" si="11"/>
        <v>2438.136</v>
      </c>
      <c r="Q11" s="160"/>
      <c r="R11" s="160" t="str">
        <f>E2</f>
        <v>Bypass</v>
      </c>
      <c r="S11" s="160">
        <f ca="1">E1</f>
        <v>0</v>
      </c>
    </row>
    <row r="12" spans="1:23" ht="15" customHeight="1">
      <c r="A12" s="280">
        <v>46305</v>
      </c>
      <c r="B12" s="281"/>
      <c r="C12" s="281"/>
      <c r="D12" s="281"/>
      <c r="E12" s="281"/>
      <c r="F12" s="281"/>
      <c r="G12" s="281"/>
      <c r="H12" s="282"/>
      <c r="I12" s="283"/>
      <c r="J12" s="292"/>
      <c r="K12" s="292"/>
      <c r="L12" s="292"/>
      <c r="M12" s="292"/>
      <c r="N12" s="292"/>
      <c r="O12" s="292"/>
      <c r="P12" s="292"/>
      <c r="Q12" s="160"/>
      <c r="R12" s="160" t="str">
        <f>F2</f>
        <v>Hotout Net Weight</v>
      </c>
      <c r="S12" s="160">
        <f ca="1">F1</f>
        <v>0</v>
      </c>
    </row>
    <row r="13" spans="1:23" ht="15" customHeight="1">
      <c r="A13" s="280">
        <v>46306</v>
      </c>
      <c r="B13" s="281"/>
      <c r="C13" s="281"/>
      <c r="D13" s="281"/>
      <c r="E13" s="281"/>
      <c r="F13" s="281"/>
      <c r="G13" s="281"/>
      <c r="H13" s="282"/>
      <c r="I13" s="283"/>
      <c r="J13" s="292"/>
      <c r="K13" s="292"/>
      <c r="L13" s="254"/>
      <c r="M13" s="292"/>
      <c r="N13" s="292"/>
      <c r="O13" s="292"/>
      <c r="P13" s="292"/>
      <c r="Q13" s="160"/>
      <c r="R13" s="160" t="str">
        <f>H2</f>
        <v>Dispatch</v>
      </c>
      <c r="S13" s="160">
        <f ca="1">H1</f>
        <v>0</v>
      </c>
    </row>
    <row r="14" spans="1:23" ht="15" customHeight="1">
      <c r="A14" s="280">
        <v>46307</v>
      </c>
      <c r="B14" s="281"/>
      <c r="C14" s="281"/>
      <c r="D14" s="281"/>
      <c r="E14" s="281"/>
      <c r="F14" s="281"/>
      <c r="G14" s="281"/>
      <c r="H14" s="282"/>
      <c r="I14" s="283"/>
      <c r="J14" s="292"/>
      <c r="K14" s="292"/>
      <c r="L14" s="292"/>
      <c r="M14" s="292"/>
      <c r="N14" s="292"/>
      <c r="O14" s="292"/>
      <c r="P14" s="292"/>
      <c r="Q14" s="160"/>
      <c r="R14" s="160"/>
      <c r="S14" s="293"/>
    </row>
    <row r="15" spans="1:23" ht="15" customHeight="1">
      <c r="A15" s="280">
        <v>46308</v>
      </c>
      <c r="B15" s="281"/>
      <c r="C15" s="281"/>
      <c r="D15" s="281"/>
      <c r="E15" s="281"/>
      <c r="F15" s="281"/>
      <c r="G15" s="281"/>
      <c r="H15" s="282"/>
      <c r="I15" s="283"/>
      <c r="J15" s="292"/>
      <c r="K15" s="292"/>
      <c r="L15" s="254"/>
      <c r="M15" s="292"/>
      <c r="N15" s="292"/>
      <c r="O15" s="292"/>
      <c r="P15" s="292"/>
      <c r="Q15" s="160"/>
    </row>
    <row r="16" spans="1:23" ht="15" customHeight="1">
      <c r="A16" s="280">
        <v>46309</v>
      </c>
      <c r="B16" s="281"/>
      <c r="C16" s="281"/>
      <c r="D16" s="281"/>
      <c r="E16" s="281"/>
      <c r="F16" s="281"/>
      <c r="G16" s="281"/>
      <c r="H16" s="282"/>
      <c r="I16" s="283"/>
      <c r="J16" s="292"/>
      <c r="K16" s="292"/>
      <c r="L16" s="292"/>
      <c r="M16" s="292"/>
      <c r="N16" s="292"/>
      <c r="O16" s="292"/>
      <c r="P16" s="292"/>
      <c r="Q16" s="160"/>
      <c r="R16" s="160"/>
      <c r="S16" s="160"/>
    </row>
    <row r="17" spans="1:24" ht="15" customHeight="1">
      <c r="A17" s="280">
        <v>46310</v>
      </c>
      <c r="B17" s="281"/>
      <c r="C17" s="281"/>
      <c r="D17" s="281"/>
      <c r="E17" s="281"/>
      <c r="F17" s="281"/>
      <c r="G17" s="281"/>
      <c r="H17" s="282"/>
      <c r="I17" s="283"/>
      <c r="J17" s="292"/>
      <c r="K17" s="292"/>
      <c r="L17" s="292"/>
      <c r="M17" s="292"/>
      <c r="N17" s="292"/>
      <c r="O17" s="292"/>
      <c r="P17" s="292"/>
      <c r="Q17" s="160"/>
      <c r="S17" s="160"/>
    </row>
    <row r="18" spans="1:24" ht="15" customHeight="1">
      <c r="A18" s="280">
        <v>46311</v>
      </c>
      <c r="B18" s="281"/>
      <c r="C18" s="281"/>
      <c r="D18" s="281"/>
      <c r="E18" s="281"/>
      <c r="F18" s="281"/>
      <c r="G18" s="281"/>
      <c r="H18" s="282"/>
      <c r="I18" s="283"/>
      <c r="J18" s="292"/>
      <c r="K18" s="292"/>
      <c r="L18" s="292"/>
      <c r="M18" s="292"/>
      <c r="N18" s="292"/>
      <c r="O18" s="292"/>
      <c r="P18" s="292"/>
      <c r="Q18" s="160"/>
    </row>
    <row r="19" spans="1:24" ht="15" customHeight="1">
      <c r="A19" s="280">
        <v>46312</v>
      </c>
      <c r="B19" s="281"/>
      <c r="C19" s="281"/>
      <c r="D19" s="281"/>
      <c r="E19" s="281"/>
      <c r="F19" s="281"/>
      <c r="G19" s="281"/>
      <c r="H19" s="282"/>
      <c r="I19" s="283"/>
      <c r="J19" s="292"/>
      <c r="K19" s="292"/>
      <c r="L19" s="292"/>
      <c r="M19" s="292"/>
      <c r="N19" s="292"/>
      <c r="O19" s="292"/>
      <c r="P19" s="292"/>
      <c r="Q19" s="160"/>
    </row>
    <row r="20" spans="1:24" ht="15" customHeight="1">
      <c r="A20" s="280">
        <v>46313</v>
      </c>
      <c r="B20" s="281"/>
      <c r="C20" s="281"/>
      <c r="D20" s="281"/>
      <c r="E20" s="281"/>
      <c r="F20" s="281"/>
      <c r="G20" s="281"/>
      <c r="H20" s="282"/>
      <c r="I20" s="283"/>
      <c r="J20" s="292"/>
      <c r="K20" s="292"/>
      <c r="L20" s="292"/>
      <c r="M20" s="292"/>
      <c r="N20" s="292"/>
      <c r="O20" s="292"/>
      <c r="P20" s="292"/>
      <c r="Q20" s="160"/>
    </row>
    <row r="21" spans="1:24" ht="15" customHeight="1">
      <c r="A21" s="280">
        <v>46314</v>
      </c>
      <c r="B21" s="281"/>
      <c r="C21" s="281"/>
      <c r="D21" s="281"/>
      <c r="E21" s="281"/>
      <c r="F21" s="281"/>
      <c r="G21" s="281"/>
      <c r="H21" s="282"/>
      <c r="I21" s="283"/>
      <c r="J21" s="292"/>
      <c r="K21" s="292"/>
      <c r="L21" s="292"/>
      <c r="M21" s="292"/>
      <c r="N21" s="292"/>
      <c r="O21" s="292"/>
      <c r="P21" s="292"/>
      <c r="Q21" s="160"/>
      <c r="R21" s="160"/>
    </row>
    <row r="22" spans="1:24" ht="15" customHeight="1">
      <c r="A22" s="280">
        <v>46315</v>
      </c>
      <c r="B22" s="281"/>
      <c r="C22" s="281"/>
      <c r="D22" s="281"/>
      <c r="E22" s="281"/>
      <c r="F22" s="281"/>
      <c r="G22" s="281"/>
      <c r="H22" s="282"/>
      <c r="I22" s="283"/>
      <c r="J22" s="292"/>
      <c r="K22" s="292"/>
      <c r="L22" s="292"/>
      <c r="M22" s="292"/>
      <c r="N22" s="292"/>
      <c r="O22" s="292"/>
      <c r="P22" s="292"/>
      <c r="Q22" s="160"/>
      <c r="R22" s="160"/>
    </row>
    <row r="23" spans="1:24" ht="15" customHeight="1">
      <c r="A23" s="280">
        <v>46316</v>
      </c>
      <c r="B23" s="281"/>
      <c r="C23" s="281"/>
      <c r="D23" s="281"/>
      <c r="E23" s="281"/>
      <c r="F23" s="281"/>
      <c r="G23" s="281"/>
      <c r="H23" s="282"/>
      <c r="I23" s="283"/>
      <c r="J23" s="292"/>
      <c r="K23" s="292"/>
      <c r="L23" s="292"/>
      <c r="M23" s="292"/>
      <c r="N23" s="292"/>
      <c r="O23" s="292"/>
      <c r="P23" s="292"/>
      <c r="Q23" s="160"/>
      <c r="X23" s="294"/>
    </row>
    <row r="24" spans="1:24" ht="15" customHeight="1">
      <c r="A24" s="280">
        <v>46317</v>
      </c>
      <c r="B24" s="281"/>
      <c r="C24" s="281"/>
      <c r="D24" s="281"/>
      <c r="E24" s="281"/>
      <c r="F24" s="281"/>
      <c r="G24" s="281"/>
      <c r="H24" s="282"/>
      <c r="I24" s="283"/>
      <c r="J24" s="292"/>
      <c r="K24" s="292"/>
      <c r="L24" s="292"/>
      <c r="M24" s="292"/>
      <c r="N24" s="292"/>
      <c r="O24" s="292"/>
      <c r="P24" s="292"/>
      <c r="Q24" s="160"/>
      <c r="X24" s="180"/>
    </row>
    <row r="25" spans="1:24" ht="15" customHeight="1">
      <c r="A25" s="280">
        <v>46318</v>
      </c>
      <c r="B25" s="281"/>
      <c r="C25" s="281"/>
      <c r="D25" s="281"/>
      <c r="E25" s="281"/>
      <c r="F25" s="281"/>
      <c r="G25" s="281"/>
      <c r="H25" s="282"/>
      <c r="I25" s="283"/>
      <c r="J25" s="292"/>
      <c r="K25" s="292"/>
      <c r="L25" s="292"/>
      <c r="M25" s="292"/>
      <c r="N25" s="292"/>
      <c r="O25" s="292"/>
      <c r="P25" s="292"/>
      <c r="Q25" s="160"/>
    </row>
    <row r="26" spans="1:24" ht="15" customHeight="1">
      <c r="A26" s="280">
        <v>46319</v>
      </c>
      <c r="B26" s="281"/>
      <c r="C26" s="281"/>
      <c r="D26" s="281"/>
      <c r="E26" s="281"/>
      <c r="F26" s="281"/>
      <c r="G26" s="281"/>
      <c r="H26" s="282"/>
      <c r="I26" s="283"/>
      <c r="J26" s="292"/>
      <c r="K26" s="292"/>
      <c r="L26" s="292"/>
      <c r="M26" s="292"/>
      <c r="N26" s="292"/>
      <c r="O26" s="292"/>
      <c r="P26" s="292"/>
      <c r="Q26" s="160"/>
    </row>
    <row r="27" spans="1:24" ht="15" customHeight="1">
      <c r="A27" s="280">
        <v>46320</v>
      </c>
      <c r="B27" s="281"/>
      <c r="C27" s="281"/>
      <c r="D27" s="281"/>
      <c r="E27" s="281"/>
      <c r="F27" s="281"/>
      <c r="G27" s="281"/>
      <c r="H27" s="282"/>
      <c r="I27" s="283"/>
      <c r="J27" s="292"/>
      <c r="K27" s="292"/>
      <c r="L27" s="292"/>
      <c r="M27" s="292"/>
      <c r="N27" s="292"/>
      <c r="O27" s="292"/>
      <c r="P27" s="292"/>
      <c r="Q27" s="160"/>
    </row>
    <row r="28" spans="1:24" ht="15" customHeight="1">
      <c r="A28" s="280">
        <v>46321</v>
      </c>
      <c r="B28" s="281"/>
      <c r="C28" s="281"/>
      <c r="D28" s="281"/>
      <c r="E28" s="281"/>
      <c r="F28" s="281"/>
      <c r="G28" s="281"/>
      <c r="H28" s="282"/>
      <c r="I28" s="283"/>
      <c r="J28" s="292"/>
      <c r="K28" s="292"/>
      <c r="L28" s="292"/>
      <c r="M28" s="292"/>
      <c r="N28" s="292"/>
      <c r="O28" s="292"/>
      <c r="P28" s="292"/>
      <c r="Q28" s="160"/>
    </row>
    <row r="29" spans="1:24" ht="15" customHeight="1">
      <c r="A29" s="280">
        <v>46322</v>
      </c>
      <c r="B29" s="281"/>
      <c r="C29" s="281"/>
      <c r="D29" s="281"/>
      <c r="E29" s="281"/>
      <c r="F29" s="281"/>
      <c r="G29" s="281"/>
      <c r="H29" s="282"/>
      <c r="I29" s="283"/>
      <c r="J29" s="292"/>
      <c r="K29" s="292"/>
      <c r="L29" s="292"/>
      <c r="M29" s="292"/>
      <c r="N29" s="292"/>
      <c r="O29" s="292"/>
      <c r="P29" s="292"/>
      <c r="Q29" s="160"/>
    </row>
    <row r="30" spans="1:24" ht="15" customHeight="1">
      <c r="A30" s="280">
        <v>46323</v>
      </c>
      <c r="B30" s="281"/>
      <c r="C30" s="281"/>
      <c r="D30" s="281"/>
      <c r="E30" s="281"/>
      <c r="F30" s="281"/>
      <c r="G30" s="281"/>
      <c r="H30" s="282"/>
      <c r="I30" s="283"/>
      <c r="J30" s="292"/>
      <c r="K30" s="292"/>
      <c r="L30" s="292"/>
      <c r="M30" s="292"/>
      <c r="N30" s="292"/>
      <c r="O30" s="292"/>
      <c r="P30" s="292"/>
      <c r="Q30" s="160"/>
    </row>
    <row r="31" spans="1:24" ht="15" customHeight="1">
      <c r="A31" s="280">
        <v>46324</v>
      </c>
      <c r="B31" s="281"/>
      <c r="C31" s="281"/>
      <c r="D31" s="281"/>
      <c r="E31" s="281"/>
      <c r="F31" s="281"/>
      <c r="G31" s="281"/>
      <c r="H31" s="282"/>
      <c r="I31" s="283"/>
      <c r="J31" s="292"/>
      <c r="K31" s="292"/>
      <c r="L31" s="292"/>
      <c r="M31" s="292"/>
      <c r="N31" s="292"/>
      <c r="O31" s="292"/>
      <c r="P31" s="292"/>
      <c r="Q31" s="160"/>
    </row>
    <row r="32" spans="1:24" ht="15" customHeight="1">
      <c r="A32" s="280">
        <v>46325</v>
      </c>
      <c r="B32" s="281"/>
      <c r="C32" s="281"/>
      <c r="D32" s="281"/>
      <c r="E32" s="281"/>
      <c r="F32" s="281"/>
      <c r="G32" s="281"/>
      <c r="H32" s="282"/>
      <c r="I32" s="283"/>
      <c r="J32" s="292"/>
      <c r="K32" s="292"/>
      <c r="L32" s="292"/>
      <c r="M32" s="292"/>
      <c r="N32" s="292"/>
      <c r="O32" s="292"/>
      <c r="P32" s="292"/>
      <c r="Q32" s="160"/>
    </row>
    <row r="33" spans="1:17" ht="15" customHeight="1">
      <c r="A33" s="280">
        <v>46326</v>
      </c>
      <c r="B33" s="281"/>
      <c r="C33" s="281"/>
      <c r="D33" s="281"/>
      <c r="E33" s="281"/>
      <c r="F33" s="281"/>
      <c r="G33" s="281"/>
      <c r="H33" s="282"/>
      <c r="I33" s="283"/>
      <c r="J33" s="292"/>
      <c r="K33" s="292"/>
      <c r="L33" s="292"/>
      <c r="M33" s="292"/>
      <c r="N33" s="292"/>
      <c r="O33" s="292"/>
      <c r="P33" s="292"/>
      <c r="Q33" s="160"/>
    </row>
    <row r="34" spans="1:17" ht="15" customHeight="1">
      <c r="Q34" s="160"/>
    </row>
  </sheetData>
  <mergeCells count="2">
    <mergeCell ref="A1:A2"/>
    <mergeCell ref="R5:R6"/>
  </mergeCells>
  <pageMargins left="0.70833333333333304" right="0.70833333333333304" top="0.74791666666666701" bottom="0.74791666666666701" header="0.511811023622047" footer="0.511811023622047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992"/>
  <sheetViews>
    <sheetView zoomScaleNormal="100" workbookViewId="0">
      <selection activeCell="X45" sqref="X45:AA174"/>
    </sheetView>
  </sheetViews>
  <sheetFormatPr defaultColWidth="8.7109375" defaultRowHeight="15" customHeight="1"/>
  <cols>
    <col min="1" max="1" width="12.7109375" customWidth="1"/>
    <col min="2" max="2" width="20.140625" customWidth="1"/>
    <col min="3" max="3" width="9.5703125" customWidth="1"/>
    <col min="4" max="4" width="13.7109375" customWidth="1"/>
    <col min="5" max="5" width="13.140625" customWidth="1"/>
    <col min="6" max="6" width="10" customWidth="1"/>
    <col min="7" max="7" width="12.5703125" customWidth="1"/>
    <col min="8" max="8" width="23.42578125" customWidth="1"/>
    <col min="9" max="9" width="10.5703125" customWidth="1"/>
    <col min="10" max="10" width="9.140625" style="295" customWidth="1"/>
    <col min="11" max="11" width="11.28515625" hidden="1" customWidth="1"/>
    <col min="12" max="14" width="8.5703125" hidden="1" customWidth="1"/>
    <col min="15" max="15" width="7.5703125" hidden="1" customWidth="1"/>
    <col min="16" max="16" width="8.5703125" hidden="1" customWidth="1"/>
    <col min="17" max="17" width="9.42578125" hidden="1" customWidth="1"/>
    <col min="18" max="18" width="14.7109375" hidden="1" customWidth="1"/>
    <col min="19" max="19" width="8.28515625" hidden="1" customWidth="1"/>
    <col min="20" max="20" width="13.5703125" hidden="1" customWidth="1"/>
    <col min="21" max="21" width="16.85546875" hidden="1" customWidth="1"/>
    <col min="22" max="22" width="10" hidden="1" customWidth="1"/>
    <col min="23" max="23" width="9.140625" customWidth="1"/>
    <col min="24" max="24" width="17.5703125" customWidth="1"/>
    <col min="25" max="25" width="11.28515625" customWidth="1"/>
    <col min="26" max="27" width="10" customWidth="1"/>
  </cols>
  <sheetData>
    <row r="1" spans="1:27" ht="15.75" customHeight="1">
      <c r="A1" s="1370" t="s">
        <v>97</v>
      </c>
      <c r="B1" s="1370"/>
      <c r="C1" s="1370"/>
      <c r="D1" s="1370"/>
      <c r="E1" s="1370"/>
      <c r="F1" s="1370"/>
      <c r="G1" s="1370"/>
      <c r="H1" s="1370"/>
      <c r="I1" s="1370"/>
    </row>
    <row r="2" spans="1:27" ht="15" customHeight="1">
      <c r="A2" s="1371" t="str">
        <f>R6</f>
        <v>As on 01.10.2026</v>
      </c>
      <c r="B2" s="1371"/>
      <c r="C2" s="1371"/>
      <c r="D2" s="1371"/>
      <c r="E2" s="1371"/>
      <c r="F2" s="1371"/>
      <c r="G2" s="1371"/>
      <c r="H2" s="1371"/>
      <c r="I2" s="1371"/>
    </row>
    <row r="3" spans="1:27" ht="15" customHeight="1">
      <c r="A3" s="296"/>
      <c r="B3" s="297"/>
      <c r="C3" s="298"/>
      <c r="D3" s="298"/>
      <c r="E3" s="299"/>
      <c r="F3" s="300"/>
      <c r="G3" s="300"/>
      <c r="H3" s="301"/>
      <c r="I3" s="302"/>
    </row>
    <row r="4" spans="1:27" ht="15" customHeight="1">
      <c r="A4" s="1359" t="s">
        <v>98</v>
      </c>
      <c r="B4" s="1359" t="s">
        <v>99</v>
      </c>
      <c r="C4" s="1359" t="s">
        <v>100</v>
      </c>
      <c r="D4" s="1372" t="s">
        <v>101</v>
      </c>
      <c r="E4" s="1359" t="s">
        <v>102</v>
      </c>
      <c r="F4" s="1359"/>
      <c r="G4" s="1359"/>
      <c r="H4" s="1372" t="s">
        <v>103</v>
      </c>
      <c r="I4" s="1359" t="s">
        <v>104</v>
      </c>
    </row>
    <row r="5" spans="1:27" ht="38.25" customHeight="1">
      <c r="A5" s="1359"/>
      <c r="B5" s="1359"/>
      <c r="C5" s="1359"/>
      <c r="D5" s="1359"/>
      <c r="E5" s="303" t="s">
        <v>105</v>
      </c>
      <c r="F5" s="303" t="s">
        <v>106</v>
      </c>
      <c r="G5" s="303" t="s">
        <v>107</v>
      </c>
      <c r="H5" s="1372"/>
      <c r="I5" s="1372"/>
    </row>
    <row r="6" spans="1:27" ht="15.75" customHeight="1" thickBot="1">
      <c r="A6" s="304">
        <v>1</v>
      </c>
      <c r="B6" s="297" t="s">
        <v>108</v>
      </c>
      <c r="C6" s="305" t="s">
        <v>109</v>
      </c>
      <c r="D6" s="306">
        <v>6</v>
      </c>
      <c r="E6" s="306">
        <v>0</v>
      </c>
      <c r="F6" s="307">
        <f>D6*0.078</f>
        <v>0.46799999999999997</v>
      </c>
      <c r="G6" s="300">
        <f>E6*F6</f>
        <v>0</v>
      </c>
      <c r="H6" s="308">
        <v>0</v>
      </c>
      <c r="I6" s="1359"/>
      <c r="K6" s="8" t="s">
        <v>14</v>
      </c>
      <c r="L6" s="16">
        <f>'Daily Stock'!Q22</f>
        <v>0</v>
      </c>
      <c r="R6" s="309" t="s">
        <v>110</v>
      </c>
      <c r="S6" s="310"/>
    </row>
    <row r="7" spans="1:27" ht="18.75" customHeight="1">
      <c r="A7" s="304">
        <v>2</v>
      </c>
      <c r="B7" s="297" t="s">
        <v>108</v>
      </c>
      <c r="C7" s="305" t="s">
        <v>109</v>
      </c>
      <c r="D7" s="297" t="s">
        <v>111</v>
      </c>
      <c r="E7" s="306">
        <v>0</v>
      </c>
      <c r="F7" s="307">
        <v>7.8E-2</v>
      </c>
      <c r="G7" s="300">
        <f>E7*F7</f>
        <v>0</v>
      </c>
      <c r="H7" s="308">
        <v>0</v>
      </c>
      <c r="I7" s="1359"/>
      <c r="K7" s="8" t="s">
        <v>112</v>
      </c>
      <c r="L7" s="16">
        <f>'Daily Stock'!Q23</f>
        <v>0</v>
      </c>
      <c r="R7" s="311" t="s">
        <v>100</v>
      </c>
      <c r="S7" s="312"/>
      <c r="T7" s="313" t="s">
        <v>9</v>
      </c>
      <c r="U7" s="313" t="s">
        <v>113</v>
      </c>
      <c r="V7" s="314" t="s">
        <v>114</v>
      </c>
    </row>
    <row r="8" spans="1:27" ht="15" customHeight="1">
      <c r="A8" s="330">
        <v>3</v>
      </c>
      <c r="B8" s="331" t="s">
        <v>115</v>
      </c>
      <c r="C8" s="331" t="s">
        <v>116</v>
      </c>
      <c r="D8" s="331">
        <v>3</v>
      </c>
      <c r="E8" s="332">
        <v>1</v>
      </c>
      <c r="F8" s="333">
        <f>G8/E8</f>
        <v>0.57999999999999996</v>
      </c>
      <c r="G8" s="333">
        <v>0.57999999999999996</v>
      </c>
      <c r="H8" s="333">
        <v>0</v>
      </c>
      <c r="I8" s="1360">
        <f>SUM(H8:H10)</f>
        <v>6.9109999999999996</v>
      </c>
      <c r="K8" s="22" t="s">
        <v>117</v>
      </c>
      <c r="L8" s="16">
        <f>'Daily Stock'!Q24</f>
        <v>6.9109999999999996</v>
      </c>
      <c r="R8" s="317" t="s">
        <v>118</v>
      </c>
      <c r="S8" s="318">
        <v>6</v>
      </c>
      <c r="T8" s="319">
        <f>U8</f>
        <v>0</v>
      </c>
      <c r="U8" s="320">
        <f>H8</f>
        <v>0</v>
      </c>
      <c r="V8" s="321" t="s">
        <v>119</v>
      </c>
    </row>
    <row r="9" spans="1:27" ht="15" customHeight="1">
      <c r="A9" s="304">
        <v>4</v>
      </c>
      <c r="B9" s="297" t="s">
        <v>108</v>
      </c>
      <c r="C9" s="315" t="s">
        <v>120</v>
      </c>
      <c r="D9" s="297">
        <v>5.25</v>
      </c>
      <c r="E9" s="299">
        <f t="shared" ref="E9:E15" si="0">H9/F9</f>
        <v>0</v>
      </c>
      <c r="F9" s="300">
        <f>D9*0.095</f>
        <v>0.49875000000000003</v>
      </c>
      <c r="G9" s="300">
        <f t="shared" ref="G9:G15" si="1">E9*F9</f>
        <v>0</v>
      </c>
      <c r="H9" s="308"/>
      <c r="I9" s="1360"/>
      <c r="K9" s="22" t="s">
        <v>17</v>
      </c>
      <c r="L9" s="16">
        <f>'Daily Stock'!Q25</f>
        <v>74.87</v>
      </c>
      <c r="R9" s="317"/>
      <c r="S9" s="322"/>
      <c r="T9" s="323"/>
      <c r="U9" s="320">
        <v>0</v>
      </c>
      <c r="V9" s="324"/>
    </row>
    <row r="10" spans="1:27" ht="15" customHeight="1">
      <c r="A10" s="304">
        <v>5</v>
      </c>
      <c r="B10" s="297" t="s">
        <v>108</v>
      </c>
      <c r="C10" s="315" t="s">
        <v>120</v>
      </c>
      <c r="D10" s="297" t="s">
        <v>111</v>
      </c>
      <c r="E10" s="299">
        <f t="shared" si="0"/>
        <v>72.747368421052627</v>
      </c>
      <c r="F10" s="300">
        <v>9.5000000000000001E-2</v>
      </c>
      <c r="G10" s="300">
        <f t="shared" si="1"/>
        <v>6.9109999999999996</v>
      </c>
      <c r="H10" s="308">
        <f>L8</f>
        <v>6.9109999999999996</v>
      </c>
      <c r="I10" s="1360"/>
      <c r="K10" s="22" t="s">
        <v>18</v>
      </c>
      <c r="L10" s="16">
        <f>'Daily Stock'!Q26</f>
        <v>33.083999999999996</v>
      </c>
      <c r="R10" s="317"/>
      <c r="S10" s="236" t="s">
        <v>121</v>
      </c>
      <c r="T10" s="320">
        <v>0</v>
      </c>
      <c r="U10" s="320">
        <v>0</v>
      </c>
      <c r="V10" s="325"/>
    </row>
    <row r="11" spans="1:27" ht="15" customHeight="1">
      <c r="A11" s="304">
        <v>6</v>
      </c>
      <c r="B11" s="297" t="s">
        <v>108</v>
      </c>
      <c r="C11" s="315" t="s">
        <v>122</v>
      </c>
      <c r="D11" s="297">
        <v>3</v>
      </c>
      <c r="E11" s="299">
        <f t="shared" si="0"/>
        <v>308.00115867558338</v>
      </c>
      <c r="F11" s="300">
        <f>0.132335*D11</f>
        <v>0.39700500000000005</v>
      </c>
      <c r="G11" s="316">
        <f t="shared" si="1"/>
        <v>122.27799999999999</v>
      </c>
      <c r="H11" s="308">
        <f>L12</f>
        <v>122.27800000000001</v>
      </c>
      <c r="I11" s="1361">
        <f>SUM(H11:H15)</f>
        <v>263.32600000000002</v>
      </c>
      <c r="K11" s="22" t="s">
        <v>19</v>
      </c>
      <c r="L11" s="16">
        <f>'Daily Stock'!Q27</f>
        <v>33.094000000000001</v>
      </c>
      <c r="R11" s="326" t="s">
        <v>123</v>
      </c>
      <c r="S11" s="318">
        <v>6</v>
      </c>
      <c r="T11" s="319">
        <f>U11</f>
        <v>74.87</v>
      </c>
      <c r="U11" s="319">
        <f>H12</f>
        <v>74.87</v>
      </c>
      <c r="V11" s="321" t="s">
        <v>119</v>
      </c>
    </row>
    <row r="12" spans="1:27" ht="15" customHeight="1">
      <c r="A12" s="304">
        <v>7</v>
      </c>
      <c r="B12" s="297" t="s">
        <v>108</v>
      </c>
      <c r="C12" s="315" t="s">
        <v>122</v>
      </c>
      <c r="D12" s="297">
        <v>6</v>
      </c>
      <c r="E12" s="299">
        <f t="shared" si="0"/>
        <v>94.293522751602623</v>
      </c>
      <c r="F12" s="300">
        <f>0.132335*D12</f>
        <v>0.7940100000000001</v>
      </c>
      <c r="G12" s="300">
        <f t="shared" si="1"/>
        <v>74.87</v>
      </c>
      <c r="H12" s="308">
        <f>L9</f>
        <v>74.87</v>
      </c>
      <c r="I12" s="1361"/>
      <c r="K12" s="22" t="s">
        <v>20</v>
      </c>
      <c r="L12" s="16">
        <f>'Daily Stock'!Q28</f>
        <v>122.27800000000001</v>
      </c>
      <c r="R12" s="327"/>
      <c r="S12" s="328"/>
      <c r="T12" s="329"/>
      <c r="U12" s="329"/>
      <c r="V12" s="324"/>
    </row>
    <row r="13" spans="1:27" ht="15" customHeight="1" thickBot="1">
      <c r="A13" s="304">
        <v>8</v>
      </c>
      <c r="B13" s="297" t="s">
        <v>108</v>
      </c>
      <c r="C13" s="315" t="s">
        <v>122</v>
      </c>
      <c r="D13" s="297">
        <v>5</v>
      </c>
      <c r="E13" s="299">
        <f t="shared" si="0"/>
        <v>50.000377828994587</v>
      </c>
      <c r="F13" s="300">
        <f>0.132335*D13</f>
        <v>0.66167500000000001</v>
      </c>
      <c r="G13" s="300">
        <f t="shared" si="1"/>
        <v>33.083999999999996</v>
      </c>
      <c r="H13" s="308">
        <f>L10</f>
        <v>33.083999999999996</v>
      </c>
      <c r="I13" s="1361"/>
      <c r="K13" s="22" t="s">
        <v>124</v>
      </c>
      <c r="L13" s="16">
        <f>'Daily Stock'!Q29</f>
        <v>0</v>
      </c>
      <c r="R13" s="327"/>
      <c r="S13" s="318">
        <v>4</v>
      </c>
      <c r="T13" s="319">
        <f>U13</f>
        <v>33.094000000000001</v>
      </c>
      <c r="U13" s="319">
        <f>G14</f>
        <v>33.094000000000001</v>
      </c>
      <c r="V13" s="321" t="s">
        <v>119</v>
      </c>
      <c r="X13" s="1304" t="s">
        <v>110</v>
      </c>
      <c r="Y13" s="1304"/>
      <c r="Z13" s="1304"/>
      <c r="AA13" s="1304"/>
    </row>
    <row r="14" spans="1:27" ht="15" customHeight="1">
      <c r="A14" s="304">
        <v>9</v>
      </c>
      <c r="B14" s="297" t="s">
        <v>108</v>
      </c>
      <c r="C14" s="315" t="s">
        <v>122</v>
      </c>
      <c r="D14" s="297">
        <v>4</v>
      </c>
      <c r="E14" s="299">
        <f t="shared" si="0"/>
        <v>62.519363735973094</v>
      </c>
      <c r="F14" s="300">
        <f>0.132335*D14</f>
        <v>0.52934000000000003</v>
      </c>
      <c r="G14" s="300">
        <f t="shared" si="1"/>
        <v>33.094000000000001</v>
      </c>
      <c r="H14" s="308">
        <f>L11</f>
        <v>33.094000000000001</v>
      </c>
      <c r="I14" s="1361"/>
      <c r="K14" s="22" t="s">
        <v>22</v>
      </c>
      <c r="L14" s="16">
        <f>'Daily Stock'!Q30</f>
        <v>50.54</v>
      </c>
      <c r="R14" s="327"/>
      <c r="S14" s="328"/>
      <c r="T14" s="329"/>
      <c r="U14" s="329"/>
      <c r="V14" s="324"/>
      <c r="X14" s="363" t="s">
        <v>125</v>
      </c>
      <c r="Y14" s="364" t="s">
        <v>126</v>
      </c>
      <c r="Z14" s="364" t="s">
        <v>127</v>
      </c>
      <c r="AA14" s="365" t="s">
        <v>128</v>
      </c>
    </row>
    <row r="15" spans="1:27" ht="15" customHeight="1">
      <c r="A15" s="304">
        <v>10</v>
      </c>
      <c r="B15" s="297" t="s">
        <v>108</v>
      </c>
      <c r="C15" s="315" t="s">
        <v>122</v>
      </c>
      <c r="D15" s="297" t="s">
        <v>111</v>
      </c>
      <c r="E15" s="299">
        <f t="shared" si="0"/>
        <v>0</v>
      </c>
      <c r="F15" s="300">
        <f>0.132335</f>
        <v>0.13233500000000001</v>
      </c>
      <c r="G15" s="316">
        <f t="shared" si="1"/>
        <v>0</v>
      </c>
      <c r="H15" s="308">
        <v>0</v>
      </c>
      <c r="I15" s="1361"/>
      <c r="K15" s="22" t="s">
        <v>23</v>
      </c>
      <c r="L15" s="16">
        <f>'Daily Stock'!Q31</f>
        <v>82.29</v>
      </c>
      <c r="R15" s="327"/>
      <c r="S15" s="318">
        <v>3</v>
      </c>
      <c r="T15" s="319">
        <f>U15</f>
        <v>122.27799999999999</v>
      </c>
      <c r="U15" s="319">
        <f>G11</f>
        <v>122.27799999999999</v>
      </c>
      <c r="V15" s="321" t="s">
        <v>119</v>
      </c>
      <c r="X15" s="366" t="s">
        <v>129</v>
      </c>
      <c r="Y15" s="367">
        <f>I8</f>
        <v>6.9109999999999996</v>
      </c>
      <c r="Z15" s="367">
        <f>I11</f>
        <v>263.32600000000002</v>
      </c>
      <c r="AA15" s="368">
        <f>I18</f>
        <v>392.61700000000002</v>
      </c>
    </row>
    <row r="16" spans="1:27" ht="15.75" customHeight="1" thickBot="1">
      <c r="A16" s="330">
        <v>11</v>
      </c>
      <c r="B16" s="331" t="s">
        <v>130</v>
      </c>
      <c r="C16" s="331" t="s">
        <v>122</v>
      </c>
      <c r="D16" s="331">
        <v>6</v>
      </c>
      <c r="E16" s="332">
        <f>45+43+3-88</f>
        <v>3</v>
      </c>
      <c r="F16" s="333">
        <f>G16/E16</f>
        <v>0.78333333333333144</v>
      </c>
      <c r="G16" s="333">
        <f>35.99+34.37+2.35-70.36</f>
        <v>2.3499999999999943</v>
      </c>
      <c r="H16" s="334">
        <v>0</v>
      </c>
      <c r="I16" s="335" t="s">
        <v>131</v>
      </c>
      <c r="K16" s="25" t="s">
        <v>24</v>
      </c>
      <c r="L16" s="16">
        <f>'Daily Stock'!Q32</f>
        <v>259.78699999999998</v>
      </c>
      <c r="R16" s="327"/>
      <c r="S16" s="328"/>
      <c r="T16" s="329"/>
      <c r="U16" s="329"/>
      <c r="V16" s="324"/>
      <c r="X16" s="366" t="s">
        <v>132</v>
      </c>
      <c r="Y16" s="206"/>
      <c r="Z16" s="367">
        <f>G17+G16</f>
        <v>19.839999999999996</v>
      </c>
      <c r="AA16" s="368">
        <f>G22+G21+G23+G8</f>
        <v>1665.8</v>
      </c>
    </row>
    <row r="17" spans="1:27" ht="15" customHeight="1">
      <c r="A17" s="330">
        <v>12</v>
      </c>
      <c r="B17" s="331" t="s">
        <v>133</v>
      </c>
      <c r="C17" s="331" t="s">
        <v>123</v>
      </c>
      <c r="D17" s="331">
        <v>6</v>
      </c>
      <c r="E17" s="332">
        <f>265+2+180+264+94+93+7-80-182-59-149-313-93-7</f>
        <v>22</v>
      </c>
      <c r="F17" s="333">
        <v>0.79500000000000004</v>
      </c>
      <c r="G17" s="333">
        <f>E17*F17</f>
        <v>17.490000000000002</v>
      </c>
      <c r="H17" s="334">
        <v>0</v>
      </c>
      <c r="I17" s="335"/>
      <c r="R17" s="327"/>
      <c r="S17" s="318">
        <v>5</v>
      </c>
      <c r="T17" s="319">
        <f>U17</f>
        <v>33.083999999999996</v>
      </c>
      <c r="U17" s="319">
        <f>G13</f>
        <v>33.083999999999996</v>
      </c>
      <c r="V17" s="321" t="s">
        <v>119</v>
      </c>
      <c r="X17" s="366"/>
      <c r="Y17" s="206"/>
      <c r="Z17" s="206"/>
      <c r="AA17" s="368"/>
    </row>
    <row r="18" spans="1:27" ht="15" customHeight="1">
      <c r="A18" s="336">
        <v>13</v>
      </c>
      <c r="B18" s="297" t="s">
        <v>108</v>
      </c>
      <c r="C18" s="315" t="s">
        <v>116</v>
      </c>
      <c r="D18" s="297">
        <v>3</v>
      </c>
      <c r="E18" s="299">
        <f>H18/F18</f>
        <v>437.3408078920566</v>
      </c>
      <c r="F18" s="300">
        <f>0.198005*D18</f>
        <v>0.59401499999999996</v>
      </c>
      <c r="G18" s="300">
        <f>E18*F18</f>
        <v>259.78699999999998</v>
      </c>
      <c r="H18" s="337">
        <f>L16</f>
        <v>259.78699999999998</v>
      </c>
      <c r="I18" s="1362">
        <f>SUM(H18:H23)</f>
        <v>392.61700000000002</v>
      </c>
      <c r="K18" s="338">
        <f ca="1">'Monthly Prod'!B3</f>
        <v>0</v>
      </c>
      <c r="L18" s="338">
        <f ca="1">'Monthly Prod'!C3</f>
        <v>0</v>
      </c>
      <c r="M18" s="338">
        <f ca="1">'Monthly Prod'!D3</f>
        <v>0</v>
      </c>
      <c r="N18" s="338">
        <f ca="1">'Monthly Prod'!E3</f>
        <v>0</v>
      </c>
      <c r="O18" s="338">
        <f ca="1">'Monthly Prod'!F3</f>
        <v>0</v>
      </c>
      <c r="P18" s="338">
        <f ca="1">'Monthly Prod'!H3</f>
        <v>0</v>
      </c>
      <c r="Q18" t="s">
        <v>134</v>
      </c>
      <c r="R18" s="339"/>
      <c r="S18" s="340" t="s">
        <v>121</v>
      </c>
      <c r="T18" s="319">
        <f>U18</f>
        <v>0</v>
      </c>
      <c r="U18" s="319">
        <f>G15</f>
        <v>0</v>
      </c>
      <c r="V18" s="321" t="s">
        <v>119</v>
      </c>
      <c r="X18" s="380" t="s">
        <v>135</v>
      </c>
      <c r="Y18" s="381">
        <f>SUM(Y15:Y17)</f>
        <v>6.9109999999999996</v>
      </c>
      <c r="Z18" s="381">
        <f>SUM(Z15:Z17)</f>
        <v>283.166</v>
      </c>
      <c r="AA18" s="381">
        <f>SUM(AA15:AA17)</f>
        <v>2058.4169999999999</v>
      </c>
    </row>
    <row r="19" spans="1:27" ht="15" customHeight="1">
      <c r="A19" s="304">
        <v>14</v>
      </c>
      <c r="B19" s="297" t="s">
        <v>108</v>
      </c>
      <c r="C19" s="315" t="s">
        <v>116</v>
      </c>
      <c r="D19" s="297">
        <v>4</v>
      </c>
      <c r="E19" s="299">
        <f>H19/F19</f>
        <v>103.89889144213531</v>
      </c>
      <c r="F19" s="300">
        <f>0.198005*D19</f>
        <v>0.79201999999999995</v>
      </c>
      <c r="G19" s="300">
        <f>E19*F19</f>
        <v>82.29</v>
      </c>
      <c r="H19" s="308">
        <f>L15</f>
        <v>82.29</v>
      </c>
      <c r="I19" s="1362"/>
      <c r="K19" s="286" t="s">
        <v>136</v>
      </c>
      <c r="L19" s="286" t="s">
        <v>137</v>
      </c>
      <c r="M19" s="277" t="s">
        <v>4</v>
      </c>
      <c r="N19" s="277" t="s">
        <v>138</v>
      </c>
      <c r="O19" s="286" t="s">
        <v>139</v>
      </c>
      <c r="P19" s="286" t="s">
        <v>140</v>
      </c>
      <c r="R19" s="326" t="s">
        <v>141</v>
      </c>
      <c r="S19" s="236">
        <v>6</v>
      </c>
      <c r="T19" s="320">
        <v>0</v>
      </c>
      <c r="U19" s="320">
        <v>0</v>
      </c>
      <c r="V19" s="325"/>
    </row>
    <row r="20" spans="1:27" ht="15" customHeight="1">
      <c r="A20" s="304">
        <v>15</v>
      </c>
      <c r="B20" s="297" t="s">
        <v>108</v>
      </c>
      <c r="C20" s="315" t="s">
        <v>116</v>
      </c>
      <c r="D20" s="297">
        <v>5</v>
      </c>
      <c r="E20" s="299">
        <f>H20/F20</f>
        <v>51.049215928890689</v>
      </c>
      <c r="F20" s="300">
        <f>0.198005*D20</f>
        <v>0.99002499999999993</v>
      </c>
      <c r="G20" s="300">
        <f>E20*F20</f>
        <v>50.54</v>
      </c>
      <c r="H20" s="308">
        <f>L14</f>
        <v>50.54</v>
      </c>
      <c r="I20" s="1362"/>
      <c r="K20" s="282">
        <f ca="1">SUM('Monthly Prod'!B3)</f>
        <v>0</v>
      </c>
      <c r="L20" s="282">
        <f ca="1">SUM('Monthly Prod'!C3)</f>
        <v>0</v>
      </c>
      <c r="M20" s="282">
        <f ca="1">SUM('Monthly Prod'!D3)</f>
        <v>0</v>
      </c>
      <c r="N20" s="282">
        <f ca="1">SUM('Monthly Prod'!E3)</f>
        <v>0</v>
      </c>
      <c r="O20" s="282">
        <f ca="1">SUM('Monthly Prod'!F3)</f>
        <v>0</v>
      </c>
      <c r="P20" s="282">
        <f ca="1">SUM('Monthly Prod'!H3)</f>
        <v>0</v>
      </c>
      <c r="Q20" t="s">
        <v>142</v>
      </c>
      <c r="R20" s="327"/>
      <c r="S20" s="341">
        <v>4.8</v>
      </c>
      <c r="T20" s="342"/>
      <c r="U20" s="342"/>
      <c r="V20" s="343"/>
      <c r="X20" s="370" t="s">
        <v>143</v>
      </c>
      <c r="Y20" s="371"/>
      <c r="Z20" s="371" t="s">
        <v>127</v>
      </c>
      <c r="AA20" s="372" t="s">
        <v>128</v>
      </c>
    </row>
    <row r="21" spans="1:27" ht="15" customHeight="1">
      <c r="A21" s="330">
        <v>16</v>
      </c>
      <c r="B21" s="331" t="s">
        <v>144</v>
      </c>
      <c r="C21" s="331" t="s">
        <v>116</v>
      </c>
      <c r="D21" s="331">
        <v>6</v>
      </c>
      <c r="E21" s="332">
        <f>67+117+251+80+45</f>
        <v>560</v>
      </c>
      <c r="F21" s="333">
        <f>G21/E21</f>
        <v>1.2022321428571427</v>
      </c>
      <c r="G21" s="333">
        <f>80.75+140.64+301.61+34.93+80.59+34.73</f>
        <v>673.25</v>
      </c>
      <c r="H21" s="334">
        <v>0</v>
      </c>
      <c r="I21" s="1362"/>
      <c r="R21" s="327"/>
      <c r="S21" s="318">
        <v>4</v>
      </c>
      <c r="T21" s="319">
        <f>U21</f>
        <v>82.29</v>
      </c>
      <c r="U21" s="319">
        <f>G19</f>
        <v>82.29</v>
      </c>
      <c r="V21" s="321" t="s">
        <v>119</v>
      </c>
      <c r="X21" s="366"/>
      <c r="Y21" s="206" t="s">
        <v>145</v>
      </c>
      <c r="Z21" s="282">
        <f>400+10-69.71-140.17-34.22-65.36-35.99-34.37</f>
        <v>30.180000000000042</v>
      </c>
      <c r="AA21" s="373" t="s">
        <v>146</v>
      </c>
    </row>
    <row r="22" spans="1:27" ht="15" customHeight="1">
      <c r="A22" s="330">
        <v>17</v>
      </c>
      <c r="B22" s="331" t="s">
        <v>147</v>
      </c>
      <c r="C22" s="331" t="s">
        <v>116</v>
      </c>
      <c r="D22" s="331">
        <v>6</v>
      </c>
      <c r="E22" s="332">
        <f>340+84+318+100+134+6+92+133+25+307+82+0.5+29+29-220-120-85-417-140</f>
        <v>697.5</v>
      </c>
      <c r="F22" s="333">
        <f>G22/E22</f>
        <v>1.2017060931899641</v>
      </c>
      <c r="G22" s="333">
        <f>109.37+159.53+29.74+370.26+99.63+34.5+0.58+34.58</f>
        <v>838.19</v>
      </c>
      <c r="H22" s="334">
        <v>0</v>
      </c>
      <c r="I22" s="1362"/>
      <c r="R22" s="327"/>
      <c r="S22" s="328"/>
      <c r="T22" s="329"/>
      <c r="U22" s="329"/>
      <c r="V22" s="324"/>
      <c r="X22" s="374"/>
      <c r="Y22" s="206" t="s">
        <v>148</v>
      </c>
      <c r="Z22" s="282">
        <v>30.79</v>
      </c>
      <c r="AA22" s="369"/>
    </row>
    <row r="23" spans="1:27" ht="15" customHeight="1">
      <c r="A23" s="330">
        <v>18</v>
      </c>
      <c r="B23" s="331" t="s">
        <v>133</v>
      </c>
      <c r="C23" s="331" t="s">
        <v>116</v>
      </c>
      <c r="D23" s="331">
        <v>6</v>
      </c>
      <c r="E23" s="332">
        <f>62+66</f>
        <v>128</v>
      </c>
      <c r="F23" s="333">
        <f>G23/E23</f>
        <v>1.20140625</v>
      </c>
      <c r="G23" s="333">
        <f>74.38+79.4</f>
        <v>153.78</v>
      </c>
      <c r="H23" s="334">
        <f>L13</f>
        <v>0</v>
      </c>
      <c r="I23" s="297"/>
      <c r="R23" s="327"/>
      <c r="S23" s="318">
        <v>3</v>
      </c>
      <c r="T23" s="319">
        <f>U23</f>
        <v>259.78699999999998</v>
      </c>
      <c r="U23" s="319">
        <f>G18</f>
        <v>259.78699999999998</v>
      </c>
      <c r="V23" s="321" t="s">
        <v>119</v>
      </c>
      <c r="X23" s="374"/>
      <c r="Y23" s="206" t="s">
        <v>133</v>
      </c>
      <c r="Z23" s="282">
        <v>0</v>
      </c>
      <c r="AA23" s="369">
        <f>320-74.38-79.4</f>
        <v>166.22</v>
      </c>
    </row>
    <row r="24" spans="1:27" ht="15" customHeight="1">
      <c r="A24" s="1363" t="s">
        <v>149</v>
      </c>
      <c r="B24" s="1363"/>
      <c r="C24" s="1363"/>
      <c r="D24" s="1363"/>
      <c r="E24" s="1363"/>
      <c r="F24" s="1363"/>
      <c r="G24" s="344">
        <f>SUM(G6:G23)</f>
        <v>2348.4940000000001</v>
      </c>
      <c r="H24" s="344">
        <f>SUM(H6:H23)</f>
        <v>662.85399999999993</v>
      </c>
      <c r="I24" s="345">
        <f>H24-G24</f>
        <v>-1685.6400000000003</v>
      </c>
      <c r="R24" s="327"/>
      <c r="S24" s="328"/>
      <c r="T24" s="329"/>
      <c r="U24" s="329"/>
      <c r="V24" s="324"/>
      <c r="X24" s="366"/>
      <c r="Y24" s="206" t="s">
        <v>150</v>
      </c>
      <c r="Z24" s="282"/>
      <c r="AA24" s="368">
        <f>1000-80.75-140.64-301.61-34.93-80.59-34.73</f>
        <v>326.75</v>
      </c>
    </row>
    <row r="25" spans="1:27" ht="15" customHeight="1" thickBot="1">
      <c r="A25" s="1364" t="s">
        <v>151</v>
      </c>
      <c r="B25" s="1364" t="s">
        <v>152</v>
      </c>
      <c r="C25" s="1364" t="s">
        <v>153</v>
      </c>
      <c r="D25" s="1364" t="s">
        <v>80</v>
      </c>
      <c r="E25" s="1365" t="s">
        <v>154</v>
      </c>
      <c r="F25" s="1366" t="s">
        <v>84</v>
      </c>
      <c r="G25" s="1367" t="s">
        <v>155</v>
      </c>
      <c r="H25" s="1368" t="s">
        <v>156</v>
      </c>
      <c r="I25" s="1369" t="s">
        <v>157</v>
      </c>
      <c r="R25" s="327"/>
      <c r="S25" s="236">
        <v>5</v>
      </c>
      <c r="T25" s="320">
        <f>U25</f>
        <v>50.54</v>
      </c>
      <c r="U25" s="320">
        <f>G20</f>
        <v>50.54</v>
      </c>
      <c r="V25" s="325" t="s">
        <v>119</v>
      </c>
      <c r="X25" s="375"/>
      <c r="Y25" s="245" t="s">
        <v>158</v>
      </c>
      <c r="Z25" s="376"/>
      <c r="AA25" s="377">
        <f>400.91+500-370.26-99.63-69.08-80.1-109.37-159.53-29.74</f>
        <v>-16.799999999999859</v>
      </c>
    </row>
    <row r="26" spans="1:27" ht="15" customHeight="1">
      <c r="A26" s="1364"/>
      <c r="B26" s="1364"/>
      <c r="C26" s="1364"/>
      <c r="D26" s="1364"/>
      <c r="E26" s="1364"/>
      <c r="F26" s="1364"/>
      <c r="G26" s="1364"/>
      <c r="H26" s="1364"/>
      <c r="I26" s="1364"/>
      <c r="R26" s="327"/>
      <c r="S26" s="236">
        <v>4.8</v>
      </c>
      <c r="T26" s="320">
        <v>0</v>
      </c>
      <c r="U26" s="320">
        <v>0</v>
      </c>
      <c r="V26" s="325" t="s">
        <v>119</v>
      </c>
      <c r="X26" s="1305" t="s">
        <v>159</v>
      </c>
      <c r="Y26" s="1305"/>
      <c r="Z26" s="1305" t="s">
        <v>160</v>
      </c>
      <c r="AA26" s="1305"/>
    </row>
    <row r="27" spans="1:27" ht="15" customHeight="1">
      <c r="A27" s="346">
        <v>662.85400000000004</v>
      </c>
      <c r="B27" s="346">
        <f ca="1">O18</f>
        <v>0</v>
      </c>
      <c r="C27" s="346">
        <f ca="1">K18</f>
        <v>0</v>
      </c>
      <c r="D27" s="346">
        <f ca="1">L18</f>
        <v>0</v>
      </c>
      <c r="E27" s="346">
        <f ca="1">M18</f>
        <v>0</v>
      </c>
      <c r="F27" s="346">
        <f ca="1">P18</f>
        <v>0</v>
      </c>
      <c r="G27" s="347">
        <f ca="1">A27+B27+C27-D27-E27-F27</f>
        <v>662.85400000000004</v>
      </c>
      <c r="H27" s="348"/>
      <c r="I27" s="349"/>
      <c r="R27" s="339"/>
      <c r="S27" s="236" t="s">
        <v>121</v>
      </c>
      <c r="T27" s="320">
        <v>0</v>
      </c>
      <c r="U27" s="320">
        <v>0</v>
      </c>
      <c r="V27" s="325" t="s">
        <v>119</v>
      </c>
      <c r="X27" s="1306" t="s">
        <v>161</v>
      </c>
      <c r="Y27" s="1306"/>
      <c r="Z27" s="1306"/>
      <c r="AA27" s="1306"/>
    </row>
    <row r="28" spans="1:27" ht="15" customHeight="1">
      <c r="A28" s="298"/>
      <c r="B28" s="297"/>
      <c r="C28" s="298"/>
      <c r="D28" s="1356">
        <f ca="1">D27+E27+F27</f>
        <v>0</v>
      </c>
      <c r="E28" s="1356"/>
      <c r="F28" s="1356"/>
      <c r="G28" s="300"/>
      <c r="H28" s="301"/>
      <c r="I28" s="302"/>
      <c r="R28" s="339"/>
      <c r="S28" s="236">
        <v>5</v>
      </c>
      <c r="T28" s="320">
        <v>0</v>
      </c>
      <c r="U28" s="320">
        <v>0</v>
      </c>
      <c r="V28" s="325"/>
      <c r="X28" s="383" t="s">
        <v>150</v>
      </c>
      <c r="Y28" s="384">
        <f>523+34.93+80.59+34.73</f>
        <v>673.25</v>
      </c>
      <c r="Z28" s="1307"/>
      <c r="AA28" s="1307"/>
    </row>
    <row r="29" spans="1:27" ht="15" customHeight="1">
      <c r="A29" s="1357" t="s">
        <v>162</v>
      </c>
      <c r="B29" s="1357"/>
      <c r="C29" s="1357"/>
      <c r="D29" s="1357"/>
      <c r="E29" s="1357"/>
      <c r="F29" s="1357"/>
      <c r="G29" s="1357"/>
      <c r="H29" s="301"/>
      <c r="I29" s="286"/>
      <c r="R29" s="350"/>
      <c r="S29" s="211"/>
      <c r="T29" s="351">
        <f>SUM(T8:T28)</f>
        <v>655.94299999999998</v>
      </c>
      <c r="U29" s="351">
        <f>SUM(U8:U28)</f>
        <v>655.94299999999998</v>
      </c>
      <c r="V29" s="352"/>
      <c r="X29" s="385" t="s">
        <v>158</v>
      </c>
      <c r="Y29" s="384">
        <f>668.9+49.82+34.5+34.58</f>
        <v>787.80000000000007</v>
      </c>
      <c r="Z29" s="1307"/>
      <c r="AA29" s="1307"/>
    </row>
    <row r="30" spans="1:27" ht="25.5" customHeight="1">
      <c r="A30" s="353" t="s">
        <v>163</v>
      </c>
      <c r="B30" s="353" t="s">
        <v>164</v>
      </c>
      <c r="C30" s="354" t="s">
        <v>153</v>
      </c>
      <c r="D30" s="355" t="s">
        <v>165</v>
      </c>
      <c r="E30" s="356" t="s">
        <v>154</v>
      </c>
      <c r="F30" s="357" t="s">
        <v>166</v>
      </c>
      <c r="G30" s="358" t="s">
        <v>167</v>
      </c>
      <c r="H30" s="301"/>
      <c r="I30" s="286"/>
      <c r="R30" s="350"/>
      <c r="S30" s="211"/>
      <c r="T30" s="211"/>
      <c r="U30" s="211"/>
      <c r="V30" s="352"/>
    </row>
    <row r="31" spans="1:27" ht="15" customHeight="1">
      <c r="A31" s="359">
        <v>662.85400000000004</v>
      </c>
      <c r="B31" s="359">
        <f ca="1">O20</f>
        <v>0</v>
      </c>
      <c r="C31" s="347">
        <f ca="1">K20</f>
        <v>0</v>
      </c>
      <c r="D31" s="347">
        <f ca="1">L20</f>
        <v>0</v>
      </c>
      <c r="E31" s="360">
        <f ca="1">M20</f>
        <v>0</v>
      </c>
      <c r="F31" s="347">
        <f ca="1">P20</f>
        <v>0</v>
      </c>
      <c r="G31" s="347">
        <f ca="1">A31+B31+C31-D31-E31-F31+H31</f>
        <v>662.85400000000004</v>
      </c>
      <c r="H31" s="361"/>
      <c r="I31" s="286"/>
      <c r="R31" s="350"/>
      <c r="S31" s="211"/>
      <c r="T31" s="211"/>
      <c r="U31" s="211"/>
      <c r="V31" s="352"/>
    </row>
    <row r="32" spans="1:27" ht="15" customHeight="1">
      <c r="D32" s="1358">
        <f ca="1">D31+E31+F31</f>
        <v>0</v>
      </c>
      <c r="E32" s="1358"/>
      <c r="R32" s="350"/>
      <c r="S32" s="211"/>
      <c r="T32" s="211"/>
      <c r="U32" s="211"/>
      <c r="V32" s="352"/>
    </row>
    <row r="33" spans="1:27" ht="15.75" customHeight="1">
      <c r="A33" s="1330"/>
      <c r="B33" s="1330"/>
      <c r="C33" s="1330"/>
      <c r="D33" s="1330"/>
      <c r="E33" s="1330"/>
      <c r="F33" s="1330"/>
      <c r="G33" s="1330"/>
      <c r="H33" s="1330"/>
      <c r="I33" s="1330"/>
    </row>
    <row r="34" spans="1:27" ht="15" customHeight="1">
      <c r="A34" s="1331"/>
      <c r="B34" s="1331"/>
      <c r="C34" s="1331"/>
      <c r="D34" s="1331"/>
      <c r="E34" s="1331"/>
      <c r="F34" s="1331"/>
      <c r="G34" s="1331"/>
      <c r="H34" s="1331"/>
      <c r="I34" s="1331"/>
    </row>
    <row r="35" spans="1:27" ht="15" customHeight="1">
      <c r="A35" s="1054"/>
      <c r="B35" s="1055"/>
      <c r="C35" s="1056"/>
      <c r="D35" s="1056"/>
      <c r="E35" s="1057"/>
      <c r="F35" s="1058"/>
      <c r="G35" s="1058"/>
      <c r="H35" s="1059"/>
      <c r="I35" s="286"/>
    </row>
    <row r="36" spans="1:27" ht="15" customHeight="1">
      <c r="A36" s="1332"/>
      <c r="B36" s="1332"/>
      <c r="C36" s="1332"/>
      <c r="D36" s="1333"/>
      <c r="E36" s="1332"/>
      <c r="F36" s="1332"/>
      <c r="G36" s="1332"/>
      <c r="H36" s="1333"/>
      <c r="I36" s="1332"/>
    </row>
    <row r="37" spans="1:27" ht="38.25" customHeight="1">
      <c r="A37" s="1332"/>
      <c r="B37" s="1332"/>
      <c r="C37" s="1332"/>
      <c r="D37" s="1332"/>
      <c r="E37" s="1061"/>
      <c r="F37" s="1061"/>
      <c r="G37" s="1061"/>
      <c r="H37" s="1333"/>
      <c r="I37" s="1333"/>
    </row>
    <row r="38" spans="1:27" ht="15.75" customHeight="1" thickBot="1">
      <c r="A38" s="1062"/>
      <c r="B38" s="1055"/>
      <c r="C38" s="1060"/>
      <c r="D38" s="1063"/>
      <c r="E38" s="1063"/>
      <c r="F38" s="1064"/>
      <c r="G38" s="1058"/>
      <c r="H38" s="1065"/>
      <c r="I38" s="1332"/>
      <c r="K38" s="8" t="s">
        <v>14</v>
      </c>
      <c r="L38" s="16">
        <f>'Daily Stock'!Q40</f>
        <v>0</v>
      </c>
      <c r="R38" s="309" t="s">
        <v>168</v>
      </c>
      <c r="S38" s="310"/>
    </row>
    <row r="39" spans="1:27" ht="18.75" customHeight="1">
      <c r="A39" s="1062"/>
      <c r="B39" s="1055"/>
      <c r="C39" s="1060"/>
      <c r="D39" s="1055"/>
      <c r="E39" s="1063"/>
      <c r="F39" s="1064"/>
      <c r="G39" s="1058"/>
      <c r="H39" s="1065"/>
      <c r="I39" s="1332"/>
      <c r="K39" s="8" t="s">
        <v>112</v>
      </c>
      <c r="L39" s="16">
        <f>'Daily Stock'!Q41</f>
        <v>0</v>
      </c>
      <c r="R39" s="311" t="s">
        <v>100</v>
      </c>
      <c r="S39" s="312"/>
      <c r="T39" s="313" t="s">
        <v>9</v>
      </c>
      <c r="U39" s="313" t="s">
        <v>113</v>
      </c>
      <c r="V39" s="314" t="s">
        <v>114</v>
      </c>
    </row>
    <row r="40" spans="1:27" ht="15" customHeight="1">
      <c r="A40" s="1062"/>
      <c r="B40" s="1055"/>
      <c r="C40" s="1055"/>
      <c r="D40" s="1055"/>
      <c r="E40" s="1057"/>
      <c r="F40" s="1058"/>
      <c r="G40" s="1058"/>
      <c r="H40" s="1058"/>
      <c r="I40" s="1334"/>
      <c r="K40" s="22" t="s">
        <v>117</v>
      </c>
      <c r="L40" s="16">
        <f>'Daily Stock'!Q42</f>
        <v>0</v>
      </c>
      <c r="R40" s="317" t="s">
        <v>118</v>
      </c>
      <c r="S40" s="318">
        <v>6</v>
      </c>
      <c r="T40" s="319">
        <f>U40</f>
        <v>0</v>
      </c>
      <c r="U40" s="320">
        <f>H40</f>
        <v>0</v>
      </c>
      <c r="V40" s="321" t="s">
        <v>119</v>
      </c>
    </row>
    <row r="41" spans="1:27" ht="15" customHeight="1">
      <c r="A41" s="1062"/>
      <c r="B41" s="1055"/>
      <c r="C41" s="1055"/>
      <c r="D41" s="1055"/>
      <c r="E41" s="1057"/>
      <c r="F41" s="1058"/>
      <c r="G41" s="1058"/>
      <c r="H41" s="1065"/>
      <c r="I41" s="1334"/>
      <c r="K41" s="22" t="s">
        <v>17</v>
      </c>
      <c r="L41" s="16">
        <f>'Daily Stock'!Q43</f>
        <v>0</v>
      </c>
      <c r="R41" s="317"/>
      <c r="S41" s="322"/>
      <c r="T41" s="323"/>
      <c r="U41" s="320">
        <v>0</v>
      </c>
      <c r="V41" s="324"/>
    </row>
    <row r="42" spans="1:27" ht="15" customHeight="1">
      <c r="A42" s="1062"/>
      <c r="B42" s="1055"/>
      <c r="C42" s="1055"/>
      <c r="D42" s="1055"/>
      <c r="E42" s="1057"/>
      <c r="F42" s="1058"/>
      <c r="G42" s="1058"/>
      <c r="H42" s="1065"/>
      <c r="I42" s="1334"/>
      <c r="K42" s="22" t="s">
        <v>18</v>
      </c>
      <c r="L42" s="16">
        <f>'Daily Stock'!Q44</f>
        <v>0</v>
      </c>
      <c r="R42" s="317"/>
      <c r="S42" s="236" t="s">
        <v>121</v>
      </c>
      <c r="T42" s="320">
        <v>0</v>
      </c>
      <c r="U42" s="320">
        <v>0</v>
      </c>
      <c r="V42" s="325"/>
    </row>
    <row r="43" spans="1:27" ht="15" customHeight="1">
      <c r="A43" s="1062"/>
      <c r="B43" s="1055"/>
      <c r="C43" s="1055"/>
      <c r="D43" s="1055"/>
      <c r="E43" s="1057"/>
      <c r="F43" s="1058"/>
      <c r="G43" s="1058"/>
      <c r="H43" s="1065"/>
      <c r="I43" s="1335"/>
      <c r="K43" s="22" t="s">
        <v>19</v>
      </c>
      <c r="L43" s="16">
        <f>'Daily Stock'!Q45</f>
        <v>0</v>
      </c>
      <c r="R43" s="326" t="s">
        <v>123</v>
      </c>
      <c r="S43" s="318">
        <v>6</v>
      </c>
      <c r="T43" s="319">
        <f>U43</f>
        <v>0</v>
      </c>
      <c r="U43" s="319">
        <f>H44</f>
        <v>0</v>
      </c>
      <c r="V43" s="321" t="s">
        <v>119</v>
      </c>
    </row>
    <row r="44" spans="1:27" ht="15" customHeight="1">
      <c r="A44" s="1062"/>
      <c r="B44" s="1055"/>
      <c r="C44" s="1055"/>
      <c r="D44" s="1055"/>
      <c r="E44" s="1057"/>
      <c r="F44" s="1058"/>
      <c r="G44" s="1058"/>
      <c r="H44" s="1065"/>
      <c r="I44" s="1335"/>
      <c r="K44" s="22" t="s">
        <v>20</v>
      </c>
      <c r="L44" s="16">
        <f>'Daily Stock'!Q46</f>
        <v>0</v>
      </c>
      <c r="R44" s="327"/>
      <c r="S44" s="328"/>
      <c r="T44" s="329"/>
      <c r="U44" s="329"/>
      <c r="V44" s="324"/>
    </row>
    <row r="45" spans="1:27" ht="15" customHeight="1">
      <c r="A45" s="1062"/>
      <c r="B45" s="1055"/>
      <c r="C45" s="1055"/>
      <c r="D45" s="1055"/>
      <c r="E45" s="1057"/>
      <c r="F45" s="1058"/>
      <c r="G45" s="1058"/>
      <c r="H45" s="1065"/>
      <c r="I45" s="1335"/>
      <c r="K45" s="22" t="s">
        <v>124</v>
      </c>
      <c r="L45" s="16">
        <f>'Daily Stock'!Q47</f>
        <v>0</v>
      </c>
      <c r="R45" s="327"/>
      <c r="S45" s="318">
        <v>4</v>
      </c>
      <c r="T45" s="319">
        <f>U45</f>
        <v>0</v>
      </c>
      <c r="U45" s="319">
        <f>G46</f>
        <v>0</v>
      </c>
      <c r="V45" s="321" t="s">
        <v>119</v>
      </c>
      <c r="X45" s="1302"/>
      <c r="Y45" s="1302"/>
      <c r="Z45" s="1302"/>
      <c r="AA45" s="1302"/>
    </row>
    <row r="46" spans="1:27" ht="15" customHeight="1">
      <c r="A46" s="1062"/>
      <c r="B46" s="1055"/>
      <c r="C46" s="1055"/>
      <c r="D46" s="1055"/>
      <c r="E46" s="1057"/>
      <c r="F46" s="1058"/>
      <c r="G46" s="1058"/>
      <c r="H46" s="1065"/>
      <c r="I46" s="1335"/>
      <c r="K46" s="22" t="s">
        <v>22</v>
      </c>
      <c r="L46" s="16">
        <f>'Daily Stock'!Q48</f>
        <v>0</v>
      </c>
      <c r="R46" s="327"/>
      <c r="S46" s="328"/>
      <c r="T46" s="329"/>
      <c r="U46" s="329"/>
      <c r="V46" s="324"/>
    </row>
    <row r="47" spans="1:27" ht="15" customHeight="1">
      <c r="A47" s="1062"/>
      <c r="B47" s="1055"/>
      <c r="C47" s="1055"/>
      <c r="D47" s="1055"/>
      <c r="E47" s="1057"/>
      <c r="F47" s="1058"/>
      <c r="G47" s="1058"/>
      <c r="H47" s="1065"/>
      <c r="I47" s="1335"/>
      <c r="K47" s="22" t="s">
        <v>23</v>
      </c>
      <c r="L47" s="16">
        <f>'Daily Stock'!Q49</f>
        <v>0</v>
      </c>
      <c r="R47" s="327"/>
      <c r="S47" s="318">
        <v>3</v>
      </c>
      <c r="T47" s="319">
        <f>U47</f>
        <v>0</v>
      </c>
      <c r="U47" s="319">
        <f>G43</f>
        <v>0</v>
      </c>
      <c r="V47" s="321" t="s">
        <v>119</v>
      </c>
      <c r="Y47" s="1065"/>
      <c r="Z47" s="1065"/>
      <c r="AA47" s="160"/>
    </row>
    <row r="48" spans="1:27" ht="15.75" customHeight="1" thickBot="1">
      <c r="A48" s="1062"/>
      <c r="B48" s="1055"/>
      <c r="C48" s="1055"/>
      <c r="D48" s="1055"/>
      <c r="E48" s="1057"/>
      <c r="F48" s="1058"/>
      <c r="G48" s="1058"/>
      <c r="H48" s="1065"/>
      <c r="I48" s="1066"/>
      <c r="K48" s="25" t="s">
        <v>24</v>
      </c>
      <c r="L48" s="16">
        <f>'Daily Stock'!Q50</f>
        <v>0</v>
      </c>
      <c r="R48" s="327"/>
      <c r="S48" s="328"/>
      <c r="T48" s="329"/>
      <c r="U48" s="329"/>
      <c r="V48" s="324"/>
      <c r="Z48" s="1065"/>
      <c r="AA48" s="160"/>
    </row>
    <row r="49" spans="1:27" ht="15" customHeight="1">
      <c r="A49" s="1062"/>
      <c r="B49" s="1055"/>
      <c r="C49" s="1055"/>
      <c r="D49" s="1055"/>
      <c r="E49" s="1057"/>
      <c r="F49" s="1058"/>
      <c r="G49" s="1058"/>
      <c r="H49" s="1065"/>
      <c r="I49" s="1066"/>
      <c r="R49" s="327"/>
      <c r="S49" s="318">
        <v>5</v>
      </c>
      <c r="T49" s="319">
        <f>U49</f>
        <v>0</v>
      </c>
      <c r="U49" s="319">
        <f>G45</f>
        <v>0</v>
      </c>
      <c r="V49" s="321" t="s">
        <v>119</v>
      </c>
      <c r="AA49" s="160"/>
    </row>
    <row r="50" spans="1:27" ht="15" customHeight="1">
      <c r="A50" s="1062"/>
      <c r="B50" s="1055"/>
      <c r="C50" s="1055"/>
      <c r="D50" s="1055"/>
      <c r="E50" s="1057"/>
      <c r="F50" s="1058"/>
      <c r="G50" s="1058"/>
      <c r="H50" s="401"/>
      <c r="I50" s="1336"/>
      <c r="K50" s="338">
        <f>'Monthly Prod'!B4</f>
        <v>0</v>
      </c>
      <c r="L50" s="338">
        <f>'Monthly Prod'!C4</f>
        <v>0</v>
      </c>
      <c r="M50" s="338">
        <f>'Monthly Prod'!D4</f>
        <v>0</v>
      </c>
      <c r="N50" s="338">
        <f>'Monthly Prod'!E4</f>
        <v>0</v>
      </c>
      <c r="O50" s="338">
        <f>'Monthly Prod'!F4</f>
        <v>0</v>
      </c>
      <c r="P50" s="338">
        <f>'Monthly Prod'!H4</f>
        <v>0</v>
      </c>
      <c r="Q50" t="s">
        <v>134</v>
      </c>
      <c r="R50" s="339"/>
      <c r="S50" s="340" t="s">
        <v>121</v>
      </c>
      <c r="T50" s="319">
        <f>U50</f>
        <v>0</v>
      </c>
      <c r="U50" s="319">
        <f>G47</f>
        <v>0</v>
      </c>
      <c r="V50" s="321" t="s">
        <v>119</v>
      </c>
      <c r="Y50" s="1065"/>
      <c r="Z50" s="1065"/>
      <c r="AA50" s="1065"/>
    </row>
    <row r="51" spans="1:27" ht="15" customHeight="1">
      <c r="A51" s="1062"/>
      <c r="B51" s="1055"/>
      <c r="C51" s="1055"/>
      <c r="D51" s="1055"/>
      <c r="E51" s="1057"/>
      <c r="F51" s="1058"/>
      <c r="G51" s="1058"/>
      <c r="H51" s="1065"/>
      <c r="I51" s="1336"/>
      <c r="K51" s="286" t="s">
        <v>136</v>
      </c>
      <c r="L51" s="286" t="s">
        <v>137</v>
      </c>
      <c r="M51" s="277" t="s">
        <v>4</v>
      </c>
      <c r="N51" s="277" t="s">
        <v>138</v>
      </c>
      <c r="O51" s="286" t="s">
        <v>139</v>
      </c>
      <c r="P51" s="286" t="s">
        <v>140</v>
      </c>
      <c r="R51" s="326" t="s">
        <v>141</v>
      </c>
      <c r="S51" s="236">
        <v>6</v>
      </c>
      <c r="T51" s="320">
        <v>0</v>
      </c>
      <c r="U51" s="320">
        <v>0</v>
      </c>
      <c r="V51" s="325"/>
    </row>
    <row r="52" spans="1:27" ht="15" customHeight="1">
      <c r="A52" s="1062"/>
      <c r="B52" s="1055"/>
      <c r="C52" s="1055"/>
      <c r="D52" s="1055"/>
      <c r="E52" s="1057"/>
      <c r="F52" s="1058"/>
      <c r="G52" s="1058"/>
      <c r="H52" s="1065"/>
      <c r="I52" s="1336"/>
      <c r="K52" s="282">
        <f ca="1">SUM('Monthly Prod'!B3:B4)</f>
        <v>0</v>
      </c>
      <c r="L52" s="282">
        <f ca="1">SUM('Monthly Prod'!C3:C4)</f>
        <v>0</v>
      </c>
      <c r="M52" s="282">
        <f ca="1">SUM('Monthly Prod'!D3:D4)</f>
        <v>0</v>
      </c>
      <c r="N52" s="282">
        <f ca="1">SUM('Monthly Prod'!E3:E4)</f>
        <v>0</v>
      </c>
      <c r="O52" s="282">
        <f ca="1">SUM('Monthly Prod'!F3:F4)</f>
        <v>0</v>
      </c>
      <c r="P52" s="282">
        <f ca="1">SUM('Monthly Prod'!H3:H4)</f>
        <v>0</v>
      </c>
      <c r="Q52" t="s">
        <v>142</v>
      </c>
      <c r="R52" s="327"/>
      <c r="S52" s="341">
        <v>4.8</v>
      </c>
      <c r="T52" s="342"/>
      <c r="U52" s="342"/>
      <c r="V52" s="343"/>
    </row>
    <row r="53" spans="1:27" ht="15" customHeight="1">
      <c r="A53" s="1062"/>
      <c r="B53" s="1055"/>
      <c r="C53" s="1055"/>
      <c r="D53" s="1055"/>
      <c r="E53" s="1057"/>
      <c r="F53" s="1058"/>
      <c r="G53" s="1058"/>
      <c r="H53" s="1065"/>
      <c r="I53" s="1336"/>
      <c r="R53" s="327"/>
      <c r="S53" s="318">
        <v>4</v>
      </c>
      <c r="T53" s="319">
        <f>U53</f>
        <v>0</v>
      </c>
      <c r="U53" s="319">
        <f>G51</f>
        <v>0</v>
      </c>
      <c r="V53" s="321" t="s">
        <v>119</v>
      </c>
      <c r="Z53" s="160"/>
      <c r="AA53" s="286"/>
    </row>
    <row r="54" spans="1:27" ht="15" customHeight="1">
      <c r="A54" s="1062"/>
      <c r="B54" s="1055"/>
      <c r="C54" s="1055"/>
      <c r="D54" s="1055"/>
      <c r="E54" s="1057"/>
      <c r="F54" s="1058"/>
      <c r="G54" s="1058"/>
      <c r="H54" s="1065"/>
      <c r="I54" s="1336"/>
      <c r="R54" s="327"/>
      <c r="S54" s="328"/>
      <c r="T54" s="329"/>
      <c r="U54" s="329"/>
      <c r="V54" s="324"/>
      <c r="Z54" s="160"/>
    </row>
    <row r="55" spans="1:27" ht="15" customHeight="1">
      <c r="A55" s="1062"/>
      <c r="B55" s="1055"/>
      <c r="C55" s="1055"/>
      <c r="D55" s="1055"/>
      <c r="E55" s="1057"/>
      <c r="F55" s="1058"/>
      <c r="G55" s="1058"/>
      <c r="H55" s="1065"/>
      <c r="I55" s="1055"/>
      <c r="R55" s="327"/>
      <c r="S55" s="318">
        <v>3</v>
      </c>
      <c r="T55" s="319">
        <f>U55</f>
        <v>0</v>
      </c>
      <c r="U55" s="319">
        <f>G50</f>
        <v>0</v>
      </c>
      <c r="V55" s="321" t="s">
        <v>119</v>
      </c>
      <c r="Z55" s="160"/>
    </row>
    <row r="56" spans="1:27" ht="15" customHeight="1">
      <c r="A56" s="1337"/>
      <c r="B56" s="1337"/>
      <c r="C56" s="1337"/>
      <c r="D56" s="1337"/>
      <c r="E56" s="1337"/>
      <c r="F56" s="1337"/>
      <c r="G56" s="1067"/>
      <c r="H56" s="1067"/>
      <c r="I56" s="1068"/>
      <c r="R56" s="327"/>
      <c r="S56" s="328"/>
      <c r="T56" s="329"/>
      <c r="U56" s="329"/>
      <c r="V56" s="324"/>
      <c r="Z56" s="160"/>
      <c r="AA56" s="160"/>
    </row>
    <row r="57" spans="1:27" ht="15" customHeight="1">
      <c r="A57" s="1320"/>
      <c r="B57" s="1320"/>
      <c r="C57" s="1320"/>
      <c r="D57" s="1320"/>
      <c r="E57" s="1321"/>
      <c r="F57" s="1322"/>
      <c r="G57" s="1323"/>
      <c r="H57" s="1321"/>
      <c r="I57" s="1320"/>
      <c r="J57" s="1118"/>
      <c r="R57" s="327"/>
      <c r="S57" s="236">
        <v>5</v>
      </c>
      <c r="T57" s="320">
        <f>U57</f>
        <v>0</v>
      </c>
      <c r="U57" s="320">
        <f>G52</f>
        <v>0</v>
      </c>
      <c r="V57" s="325" t="s">
        <v>119</v>
      </c>
      <c r="Z57" s="160"/>
      <c r="AA57" s="160"/>
    </row>
    <row r="58" spans="1:27" ht="15" customHeight="1">
      <c r="A58" s="1320"/>
      <c r="B58" s="1320"/>
      <c r="C58" s="1320"/>
      <c r="D58" s="1320"/>
      <c r="E58" s="1320"/>
      <c r="F58" s="1320"/>
      <c r="G58" s="1320"/>
      <c r="H58" s="1320"/>
      <c r="I58" s="1320"/>
      <c r="R58" s="327"/>
      <c r="S58" s="236">
        <v>4.8</v>
      </c>
      <c r="T58" s="320">
        <v>0</v>
      </c>
      <c r="U58" s="320">
        <v>0</v>
      </c>
      <c r="V58" s="325" t="s">
        <v>119</v>
      </c>
      <c r="X58" s="1287"/>
      <c r="Y58" s="1287"/>
      <c r="Z58" s="1287"/>
      <c r="AA58" s="1287"/>
    </row>
    <row r="59" spans="1:27" ht="15" customHeight="1">
      <c r="A59" s="1072"/>
      <c r="B59" s="1072"/>
      <c r="C59" s="1072"/>
      <c r="D59" s="1072"/>
      <c r="E59" s="1072"/>
      <c r="F59" s="1072"/>
      <c r="G59" s="1073"/>
      <c r="H59" s="1074"/>
      <c r="I59" s="1075"/>
      <c r="R59" s="339"/>
      <c r="S59" s="236" t="s">
        <v>121</v>
      </c>
      <c r="T59" s="320">
        <v>0</v>
      </c>
      <c r="U59" s="320">
        <v>0</v>
      </c>
      <c r="V59" s="325" t="s">
        <v>119</v>
      </c>
      <c r="X59" s="1287"/>
      <c r="Y59" s="1287"/>
      <c r="Z59" s="1287"/>
      <c r="AA59" s="1287"/>
    </row>
    <row r="60" spans="1:27" ht="15" customHeight="1">
      <c r="A60" s="1056"/>
      <c r="B60" s="1055"/>
      <c r="C60" s="1056"/>
      <c r="D60" s="1325"/>
      <c r="E60" s="1325"/>
      <c r="F60" s="1325"/>
      <c r="G60" s="1058"/>
      <c r="H60" s="1059"/>
      <c r="I60" s="286"/>
      <c r="R60" s="339"/>
      <c r="S60" s="236">
        <v>5</v>
      </c>
      <c r="T60" s="320">
        <v>0</v>
      </c>
      <c r="U60" s="320">
        <v>0</v>
      </c>
      <c r="V60" s="325"/>
      <c r="X60" s="1217"/>
      <c r="Y60" s="160"/>
      <c r="Z60" s="1303"/>
      <c r="AA60" s="1303"/>
    </row>
    <row r="61" spans="1:27" ht="15" customHeight="1">
      <c r="A61" s="1326"/>
      <c r="B61" s="1326"/>
      <c r="C61" s="1326"/>
      <c r="D61" s="1326"/>
      <c r="E61" s="1326"/>
      <c r="F61" s="1326"/>
      <c r="G61" s="1326"/>
      <c r="H61" s="1059"/>
      <c r="I61" s="286"/>
      <c r="R61" s="350"/>
      <c r="S61" s="211"/>
      <c r="T61" s="351">
        <f>SUM(T40:T60)</f>
        <v>0</v>
      </c>
      <c r="U61" s="351">
        <f>SUM(U40:U60)</f>
        <v>0</v>
      </c>
      <c r="V61" s="352"/>
      <c r="X61" s="1218"/>
      <c r="Y61" s="160"/>
      <c r="Z61" s="1303"/>
      <c r="AA61" s="1303"/>
    </row>
    <row r="62" spans="1:27" ht="25.5" customHeight="1">
      <c r="A62" s="1076"/>
      <c r="B62" s="1076"/>
      <c r="C62" s="1075"/>
      <c r="D62" s="1069"/>
      <c r="E62" s="1070"/>
      <c r="F62" s="1071"/>
      <c r="G62" s="1067"/>
      <c r="H62" s="1059"/>
      <c r="I62" s="286"/>
      <c r="R62" s="350"/>
      <c r="S62" s="211"/>
      <c r="T62" s="211"/>
      <c r="U62" s="211"/>
      <c r="V62" s="352"/>
    </row>
    <row r="63" spans="1:27" ht="15" customHeight="1">
      <c r="A63" s="1067"/>
      <c r="B63" s="1067"/>
      <c r="C63" s="1073"/>
      <c r="D63" s="1073"/>
      <c r="E63" s="1077"/>
      <c r="F63" s="1073"/>
      <c r="G63" s="1073"/>
      <c r="H63" s="1078"/>
      <c r="I63" s="286"/>
      <c r="R63" s="350"/>
      <c r="S63" s="211"/>
      <c r="T63" s="211"/>
      <c r="U63" s="211"/>
      <c r="V63" s="352"/>
    </row>
    <row r="64" spans="1:27" ht="15" customHeight="1">
      <c r="D64" s="1327"/>
      <c r="E64" s="1327"/>
      <c r="R64" s="350"/>
      <c r="S64" s="211"/>
      <c r="T64" s="211"/>
      <c r="U64" s="211"/>
      <c r="V64" s="352"/>
    </row>
    <row r="65" spans="1:27" ht="15.75" customHeight="1">
      <c r="A65" s="1330"/>
      <c r="B65" s="1330"/>
      <c r="C65" s="1330"/>
      <c r="D65" s="1330"/>
      <c r="E65" s="1330"/>
      <c r="F65" s="1330"/>
      <c r="G65" s="1330"/>
      <c r="H65" s="1330"/>
      <c r="I65" s="1330"/>
    </row>
    <row r="66" spans="1:27" ht="15" customHeight="1">
      <c r="A66" s="1331"/>
      <c r="B66" s="1331"/>
      <c r="C66" s="1331"/>
      <c r="D66" s="1331"/>
      <c r="E66" s="1331"/>
      <c r="F66" s="1331"/>
      <c r="G66" s="1331"/>
      <c r="H66" s="1331"/>
      <c r="I66" s="1331"/>
    </row>
    <row r="67" spans="1:27" ht="15" customHeight="1">
      <c r="A67" s="1054"/>
      <c r="B67" s="1055"/>
      <c r="C67" s="1056"/>
      <c r="D67" s="1056"/>
      <c r="E67" s="1057"/>
      <c r="F67" s="1058"/>
      <c r="G67" s="1058"/>
      <c r="H67" s="1059"/>
      <c r="I67" s="286"/>
    </row>
    <row r="68" spans="1:27" ht="15" customHeight="1">
      <c r="A68" s="1332"/>
      <c r="B68" s="1332"/>
      <c r="C68" s="1332"/>
      <c r="D68" s="1333"/>
      <c r="E68" s="1332"/>
      <c r="F68" s="1332"/>
      <c r="G68" s="1332"/>
      <c r="H68" s="1333"/>
      <c r="I68" s="1332"/>
    </row>
    <row r="69" spans="1:27" ht="38.25" customHeight="1">
      <c r="A69" s="1332"/>
      <c r="B69" s="1332"/>
      <c r="C69" s="1332"/>
      <c r="D69" s="1332"/>
      <c r="E69" s="1061"/>
      <c r="F69" s="1061"/>
      <c r="G69" s="1061"/>
      <c r="H69" s="1333"/>
      <c r="I69" s="1333"/>
    </row>
    <row r="70" spans="1:27" ht="15.75" customHeight="1" thickBot="1">
      <c r="A70" s="1062"/>
      <c r="B70" s="1055"/>
      <c r="C70" s="1060"/>
      <c r="D70" s="1063"/>
      <c r="E70" s="1063"/>
      <c r="F70" s="1064"/>
      <c r="G70" s="1058"/>
      <c r="H70" s="1065"/>
      <c r="I70" s="1332"/>
      <c r="K70" s="8" t="s">
        <v>14</v>
      </c>
      <c r="L70" s="16">
        <f>'Daily Stock'!Q58</f>
        <v>0</v>
      </c>
      <c r="R70" s="309" t="s">
        <v>169</v>
      </c>
      <c r="S70" s="310"/>
    </row>
    <row r="71" spans="1:27" ht="18.75" customHeight="1">
      <c r="A71" s="1062"/>
      <c r="B71" s="1055"/>
      <c r="C71" s="1060"/>
      <c r="D71" s="1055"/>
      <c r="E71" s="1063"/>
      <c r="F71" s="1064"/>
      <c r="G71" s="1058"/>
      <c r="H71" s="1065"/>
      <c r="I71" s="1332"/>
      <c r="K71" s="8" t="s">
        <v>112</v>
      </c>
      <c r="L71" s="16">
        <f>'Daily Stock'!Q59</f>
        <v>0</v>
      </c>
      <c r="R71" s="311" t="s">
        <v>100</v>
      </c>
      <c r="S71" s="312"/>
      <c r="T71" s="313" t="s">
        <v>9</v>
      </c>
      <c r="U71" s="313" t="s">
        <v>113</v>
      </c>
      <c r="V71" s="314" t="s">
        <v>114</v>
      </c>
    </row>
    <row r="72" spans="1:27" ht="15" customHeight="1">
      <c r="A72" s="1062"/>
      <c r="B72" s="1055"/>
      <c r="C72" s="1055"/>
      <c r="D72" s="1055"/>
      <c r="E72" s="1057"/>
      <c r="F72" s="1058"/>
      <c r="G72" s="1058"/>
      <c r="H72" s="1058"/>
      <c r="I72" s="1334"/>
      <c r="K72" s="22" t="s">
        <v>117</v>
      </c>
      <c r="L72" s="16">
        <f>'Daily Stock'!Q60</f>
        <v>0</v>
      </c>
      <c r="R72" s="317" t="s">
        <v>118</v>
      </c>
      <c r="S72" s="318">
        <v>6</v>
      </c>
      <c r="T72" s="319">
        <f>U72</f>
        <v>0</v>
      </c>
      <c r="U72" s="320">
        <f>H72</f>
        <v>0</v>
      </c>
      <c r="V72" s="321" t="s">
        <v>119</v>
      </c>
    </row>
    <row r="73" spans="1:27" ht="15" customHeight="1">
      <c r="A73" s="1062"/>
      <c r="B73" s="1055"/>
      <c r="C73" s="1055"/>
      <c r="D73" s="1055"/>
      <c r="E73" s="1057"/>
      <c r="F73" s="1058"/>
      <c r="G73" s="1058"/>
      <c r="H73" s="1065"/>
      <c r="I73" s="1334"/>
      <c r="K73" s="22" t="s">
        <v>17</v>
      </c>
      <c r="L73" s="16">
        <f>'Daily Stock'!Q61</f>
        <v>0</v>
      </c>
      <c r="R73" s="317"/>
      <c r="S73" s="322"/>
      <c r="T73" s="323"/>
      <c r="U73" s="320">
        <v>0</v>
      </c>
      <c r="V73" s="324"/>
    </row>
    <row r="74" spans="1:27" ht="15" customHeight="1">
      <c r="A74" s="1062"/>
      <c r="B74" s="1055"/>
      <c r="C74" s="1055"/>
      <c r="D74" s="1055"/>
      <c r="E74" s="1057"/>
      <c r="F74" s="1058"/>
      <c r="G74" s="1058"/>
      <c r="H74" s="1065"/>
      <c r="I74" s="1334"/>
      <c r="K74" s="22" t="s">
        <v>18</v>
      </c>
      <c r="L74" s="16">
        <f>'Daily Stock'!Q62</f>
        <v>0</v>
      </c>
      <c r="R74" s="317"/>
      <c r="S74" s="236" t="s">
        <v>121</v>
      </c>
      <c r="T74" s="320">
        <v>0</v>
      </c>
      <c r="U74" s="320">
        <v>0</v>
      </c>
      <c r="V74" s="325"/>
    </row>
    <row r="75" spans="1:27" ht="15" customHeight="1">
      <c r="A75" s="1062"/>
      <c r="B75" s="1055"/>
      <c r="C75" s="1055"/>
      <c r="D75" s="1055"/>
      <c r="E75" s="1057"/>
      <c r="F75" s="1058"/>
      <c r="G75" s="1058"/>
      <c r="H75" s="1065"/>
      <c r="I75" s="1335"/>
      <c r="K75" s="22" t="s">
        <v>19</v>
      </c>
      <c r="L75" s="16">
        <f>'Daily Stock'!Q63</f>
        <v>0</v>
      </c>
      <c r="R75" s="326" t="s">
        <v>123</v>
      </c>
      <c r="S75" s="318">
        <v>6</v>
      </c>
      <c r="T75" s="319">
        <f>U75</f>
        <v>0</v>
      </c>
      <c r="U75" s="319">
        <f>H76</f>
        <v>0</v>
      </c>
      <c r="V75" s="321" t="s">
        <v>119</v>
      </c>
    </row>
    <row r="76" spans="1:27" ht="15" customHeight="1">
      <c r="A76" s="1062"/>
      <c r="B76" s="1055"/>
      <c r="C76" s="1055"/>
      <c r="D76" s="1055"/>
      <c r="E76" s="1057"/>
      <c r="F76" s="1058"/>
      <c r="G76" s="1058"/>
      <c r="H76" s="1192"/>
      <c r="I76" s="1335"/>
      <c r="K76" s="22" t="s">
        <v>20</v>
      </c>
      <c r="L76" s="16">
        <f>'Daily Stock'!Q64</f>
        <v>0</v>
      </c>
      <c r="R76" s="327"/>
      <c r="S76" s="328"/>
      <c r="T76" s="329"/>
      <c r="U76" s="329"/>
      <c r="V76" s="324"/>
    </row>
    <row r="77" spans="1:27" ht="15" customHeight="1">
      <c r="A77" s="1062"/>
      <c r="B77" s="1055"/>
      <c r="C77" s="1055"/>
      <c r="D77" s="1055"/>
      <c r="E77" s="1057"/>
      <c r="F77" s="1058"/>
      <c r="G77" s="1058"/>
      <c r="H77" s="1065"/>
      <c r="I77" s="1335"/>
      <c r="K77" s="22" t="s">
        <v>124</v>
      </c>
      <c r="L77" s="16">
        <f>'Daily Stock'!Q65</f>
        <v>0</v>
      </c>
      <c r="R77" s="327"/>
      <c r="S77" s="318">
        <v>4</v>
      </c>
      <c r="T77" s="319">
        <f>U77</f>
        <v>0</v>
      </c>
      <c r="U77" s="319">
        <f>G78</f>
        <v>0</v>
      </c>
      <c r="V77" s="321" t="s">
        <v>119</v>
      </c>
      <c r="X77" s="1302"/>
      <c r="Y77" s="1302"/>
      <c r="Z77" s="1302"/>
      <c r="AA77" s="1302"/>
    </row>
    <row r="78" spans="1:27" ht="15" customHeight="1">
      <c r="A78" s="1062"/>
      <c r="B78" s="1055"/>
      <c r="C78" s="1055"/>
      <c r="D78" s="1055"/>
      <c r="E78" s="1057"/>
      <c r="F78" s="1058"/>
      <c r="G78" s="1058"/>
      <c r="H78" s="1065"/>
      <c r="I78" s="1335"/>
      <c r="K78" s="22" t="s">
        <v>22</v>
      </c>
      <c r="L78" s="16">
        <f>'Daily Stock'!Q66</f>
        <v>0</v>
      </c>
      <c r="R78" s="327"/>
      <c r="S78" s="328"/>
      <c r="T78" s="329"/>
      <c r="U78" s="329"/>
      <c r="V78" s="324"/>
    </row>
    <row r="79" spans="1:27" ht="15" customHeight="1">
      <c r="A79" s="1062"/>
      <c r="B79" s="1055"/>
      <c r="C79" s="1055"/>
      <c r="D79" s="1055"/>
      <c r="E79" s="1057"/>
      <c r="F79" s="1058"/>
      <c r="G79" s="1058"/>
      <c r="H79" s="1065"/>
      <c r="I79" s="1335"/>
      <c r="K79" s="22" t="s">
        <v>23</v>
      </c>
      <c r="L79" s="16">
        <f>'Daily Stock'!Q67</f>
        <v>0</v>
      </c>
      <c r="R79" s="327"/>
      <c r="S79" s="318">
        <v>3</v>
      </c>
      <c r="T79" s="319">
        <f>U79</f>
        <v>0</v>
      </c>
      <c r="U79" s="319">
        <f>G75</f>
        <v>0</v>
      </c>
      <c r="V79" s="321" t="s">
        <v>119</v>
      </c>
      <c r="Y79" s="1065"/>
      <c r="Z79" s="1065"/>
      <c r="AA79" s="160"/>
    </row>
    <row r="80" spans="1:27" ht="15.75" customHeight="1" thickBot="1">
      <c r="A80" s="1062"/>
      <c r="B80" s="1055"/>
      <c r="C80" s="1055"/>
      <c r="D80" s="1055"/>
      <c r="E80" s="1057"/>
      <c r="F80" s="1058"/>
      <c r="G80" s="1058"/>
      <c r="H80" s="1065"/>
      <c r="I80" s="1066"/>
      <c r="K80" s="25" t="s">
        <v>24</v>
      </c>
      <c r="L80" s="16">
        <f>'Daily Stock'!Q68</f>
        <v>0</v>
      </c>
      <c r="R80" s="327"/>
      <c r="S80" s="328"/>
      <c r="T80" s="329"/>
      <c r="U80" s="329"/>
      <c r="V80" s="324"/>
      <c r="Z80" s="1065"/>
      <c r="AA80" s="160"/>
    </row>
    <row r="81" spans="1:27" ht="15" customHeight="1">
      <c r="A81" s="1062"/>
      <c r="B81" s="1055"/>
      <c r="C81" s="1055"/>
      <c r="D81" s="1055"/>
      <c r="E81" s="1057"/>
      <c r="F81" s="1058"/>
      <c r="G81" s="1058"/>
      <c r="H81" s="1065"/>
      <c r="I81" s="1066"/>
      <c r="R81" s="327"/>
      <c r="S81" s="318">
        <v>5</v>
      </c>
      <c r="T81" s="319">
        <f>U81</f>
        <v>0</v>
      </c>
      <c r="U81" s="319">
        <f>G77</f>
        <v>0</v>
      </c>
      <c r="V81" s="321" t="s">
        <v>119</v>
      </c>
      <c r="AA81" s="160"/>
    </row>
    <row r="82" spans="1:27" ht="15" customHeight="1">
      <c r="A82" s="1062"/>
      <c r="B82" s="1055"/>
      <c r="C82" s="1055"/>
      <c r="D82" s="1055"/>
      <c r="E82" s="1057"/>
      <c r="F82" s="1058"/>
      <c r="G82" s="1058"/>
      <c r="H82" s="401"/>
      <c r="I82" s="1336"/>
      <c r="K82" s="338">
        <f>'Monthly Prod'!B5</f>
        <v>0</v>
      </c>
      <c r="L82" s="338">
        <f>'Monthly Prod'!C5</f>
        <v>0</v>
      </c>
      <c r="M82" s="338">
        <f>'Monthly Prod'!D5</f>
        <v>0</v>
      </c>
      <c r="N82" s="338">
        <f>'Monthly Prod'!E5</f>
        <v>0</v>
      </c>
      <c r="O82" s="338">
        <f>'Monthly Prod'!F5</f>
        <v>0</v>
      </c>
      <c r="P82" s="338">
        <f>'Monthly Prod'!H5</f>
        <v>0</v>
      </c>
      <c r="Q82" t="s">
        <v>134</v>
      </c>
      <c r="R82" s="339"/>
      <c r="S82" s="340" t="s">
        <v>121</v>
      </c>
      <c r="T82" s="319">
        <f>U82</f>
        <v>0</v>
      </c>
      <c r="U82" s="319">
        <f>G79</f>
        <v>0</v>
      </c>
      <c r="V82" s="321" t="s">
        <v>119</v>
      </c>
      <c r="Y82" s="1065"/>
      <c r="Z82" s="1065"/>
      <c r="AA82" s="1065"/>
    </row>
    <row r="83" spans="1:27" ht="15" customHeight="1">
      <c r="A83" s="1062"/>
      <c r="B83" s="1055"/>
      <c r="C83" s="1055"/>
      <c r="D83" s="1055"/>
      <c r="E83" s="1057"/>
      <c r="F83" s="1058"/>
      <c r="G83" s="1058"/>
      <c r="H83" s="1065"/>
      <c r="I83" s="1336"/>
      <c r="K83" s="286" t="s">
        <v>136</v>
      </c>
      <c r="L83" s="286" t="s">
        <v>137</v>
      </c>
      <c r="M83" s="277" t="s">
        <v>4</v>
      </c>
      <c r="N83" s="277" t="s">
        <v>138</v>
      </c>
      <c r="O83" s="286" t="s">
        <v>139</v>
      </c>
      <c r="P83" s="286" t="s">
        <v>140</v>
      </c>
      <c r="R83" s="326" t="s">
        <v>141</v>
      </c>
      <c r="S83" s="236">
        <v>6</v>
      </c>
      <c r="T83" s="320">
        <v>0</v>
      </c>
      <c r="U83" s="320">
        <v>0</v>
      </c>
      <c r="V83" s="325"/>
    </row>
    <row r="84" spans="1:27" ht="15" customHeight="1">
      <c r="A84" s="1062"/>
      <c r="B84" s="1055"/>
      <c r="C84" s="1055"/>
      <c r="D84" s="1055"/>
      <c r="E84" s="1057"/>
      <c r="F84" s="1058"/>
      <c r="G84" s="1058"/>
      <c r="H84" s="1065"/>
      <c r="I84" s="1336"/>
      <c r="K84" s="282">
        <f ca="1">SUM('Monthly Prod'!B3:B5)</f>
        <v>0</v>
      </c>
      <c r="L84" s="282">
        <f ca="1">SUM('Monthly Prod'!C3:C5)</f>
        <v>0</v>
      </c>
      <c r="M84" s="282">
        <f ca="1">SUM('Monthly Prod'!D3:D5)</f>
        <v>0</v>
      </c>
      <c r="N84" s="282">
        <f ca="1">SUM('Monthly Prod'!E3:E5)</f>
        <v>0</v>
      </c>
      <c r="O84" s="282">
        <f ca="1">SUM('Monthly Prod'!F3:F5)</f>
        <v>0</v>
      </c>
      <c r="P84" s="282">
        <f ca="1">SUM('Monthly Prod'!H3:H5)</f>
        <v>0</v>
      </c>
      <c r="Q84" t="s">
        <v>142</v>
      </c>
      <c r="R84" s="327"/>
      <c r="S84" s="341">
        <v>4.8</v>
      </c>
      <c r="T84" s="342"/>
      <c r="U84" s="342"/>
      <c r="V84" s="343"/>
    </row>
    <row r="85" spans="1:27" ht="15" customHeight="1">
      <c r="A85" s="1062"/>
      <c r="B85" s="1055"/>
      <c r="C85" s="1055"/>
      <c r="D85" s="1055"/>
      <c r="E85" s="1057"/>
      <c r="F85" s="1058"/>
      <c r="G85" s="1058"/>
      <c r="H85" s="1065"/>
      <c r="I85" s="1336"/>
      <c r="R85" s="327"/>
      <c r="S85" s="318">
        <v>4</v>
      </c>
      <c r="T85" s="319">
        <f>U85</f>
        <v>0</v>
      </c>
      <c r="U85" s="319">
        <f>G83</f>
        <v>0</v>
      </c>
      <c r="V85" s="321" t="s">
        <v>119</v>
      </c>
      <c r="Z85" s="160"/>
      <c r="AA85" s="286"/>
    </row>
    <row r="86" spans="1:27" ht="15" customHeight="1">
      <c r="A86" s="1062"/>
      <c r="B86" s="1055"/>
      <c r="C86" s="1055"/>
      <c r="D86" s="1055"/>
      <c r="E86" s="1057"/>
      <c r="F86" s="1058"/>
      <c r="G86" s="1058"/>
      <c r="H86" s="1065"/>
      <c r="I86" s="1336"/>
      <c r="R86" s="327"/>
      <c r="S86" s="328"/>
      <c r="T86" s="329"/>
      <c r="U86" s="329"/>
      <c r="V86" s="324"/>
      <c r="Z86" s="160"/>
    </row>
    <row r="87" spans="1:27" ht="15" customHeight="1">
      <c r="A87" s="1062"/>
      <c r="B87" s="1055"/>
      <c r="C87" s="1055"/>
      <c r="D87" s="1055"/>
      <c r="E87" s="1057"/>
      <c r="F87" s="1058"/>
      <c r="G87" s="1058"/>
      <c r="H87" s="1065"/>
      <c r="I87" s="1055"/>
      <c r="R87" s="327"/>
      <c r="S87" s="318">
        <v>3</v>
      </c>
      <c r="T87" s="319">
        <f>U87</f>
        <v>0</v>
      </c>
      <c r="U87" s="319">
        <f>G82</f>
        <v>0</v>
      </c>
      <c r="V87" s="321" t="s">
        <v>119</v>
      </c>
      <c r="Z87" s="160"/>
    </row>
    <row r="88" spans="1:27" ht="15" customHeight="1">
      <c r="A88" s="1337"/>
      <c r="B88" s="1337"/>
      <c r="C88" s="1337"/>
      <c r="D88" s="1337"/>
      <c r="E88" s="1337"/>
      <c r="F88" s="1337"/>
      <c r="G88" s="1067"/>
      <c r="H88" s="1067"/>
      <c r="I88" s="1068"/>
      <c r="R88" s="327"/>
      <c r="S88" s="328"/>
      <c r="T88" s="329"/>
      <c r="U88" s="329"/>
      <c r="V88" s="324"/>
      <c r="Z88" s="160"/>
      <c r="AA88" s="160"/>
    </row>
    <row r="89" spans="1:27" ht="15" customHeight="1">
      <c r="A89" s="1320"/>
      <c r="B89" s="1320"/>
      <c r="C89" s="1320"/>
      <c r="D89" s="1320"/>
      <c r="E89" s="1321"/>
      <c r="F89" s="1322"/>
      <c r="G89" s="1323"/>
      <c r="H89" s="1321"/>
      <c r="I89" s="1320"/>
      <c r="R89" s="327"/>
      <c r="S89" s="236">
        <v>5</v>
      </c>
      <c r="T89" s="320">
        <f>U89</f>
        <v>0</v>
      </c>
      <c r="U89" s="320">
        <f>G84</f>
        <v>0</v>
      </c>
      <c r="V89" s="325" t="s">
        <v>119</v>
      </c>
      <c r="Z89" s="160"/>
      <c r="AA89" s="160"/>
    </row>
    <row r="90" spans="1:27" ht="15" customHeight="1">
      <c r="A90" s="1320"/>
      <c r="B90" s="1320"/>
      <c r="C90" s="1320"/>
      <c r="D90" s="1320"/>
      <c r="E90" s="1320"/>
      <c r="F90" s="1320"/>
      <c r="G90" s="1320"/>
      <c r="H90" s="1320"/>
      <c r="I90" s="1320"/>
      <c r="R90" s="327"/>
      <c r="S90" s="236">
        <v>4.8</v>
      </c>
      <c r="T90" s="320">
        <v>0</v>
      </c>
      <c r="U90" s="320">
        <v>0</v>
      </c>
      <c r="V90" s="325" t="s">
        <v>119</v>
      </c>
      <c r="X90" s="1287"/>
      <c r="Y90" s="1287"/>
      <c r="Z90" s="1287"/>
      <c r="AA90" s="1287"/>
    </row>
    <row r="91" spans="1:27" ht="15" customHeight="1">
      <c r="A91" s="1072"/>
      <c r="B91" s="1072"/>
      <c r="C91" s="1072"/>
      <c r="D91" s="1072"/>
      <c r="E91" s="1072"/>
      <c r="F91" s="1072"/>
      <c r="G91" s="1073"/>
      <c r="H91" s="1074"/>
      <c r="I91" s="1075"/>
      <c r="R91" s="339"/>
      <c r="S91" s="236" t="s">
        <v>121</v>
      </c>
      <c r="T91" s="320">
        <v>0</v>
      </c>
      <c r="U91" s="320">
        <v>0</v>
      </c>
      <c r="V91" s="325" t="s">
        <v>119</v>
      </c>
      <c r="X91" s="1287"/>
      <c r="Y91" s="1287"/>
      <c r="Z91" s="1287"/>
      <c r="AA91" s="1287"/>
    </row>
    <row r="92" spans="1:27" ht="15" customHeight="1">
      <c r="A92" s="1056"/>
      <c r="B92" s="1055"/>
      <c r="C92" s="1056"/>
      <c r="D92" s="1325"/>
      <c r="E92" s="1325"/>
      <c r="F92" s="1325"/>
      <c r="G92" s="1058"/>
      <c r="H92" s="1059"/>
      <c r="I92" s="286"/>
      <c r="R92" s="339"/>
      <c r="S92" s="236">
        <v>5</v>
      </c>
      <c r="T92" s="320">
        <v>0</v>
      </c>
      <c r="U92" s="320">
        <v>0</v>
      </c>
      <c r="V92" s="325"/>
      <c r="X92" s="1217"/>
      <c r="Y92" s="160"/>
      <c r="Z92" s="1303"/>
      <c r="AA92" s="1303"/>
    </row>
    <row r="93" spans="1:27" ht="15" customHeight="1">
      <c r="A93" s="1326"/>
      <c r="B93" s="1326"/>
      <c r="C93" s="1326"/>
      <c r="D93" s="1326"/>
      <c r="E93" s="1326"/>
      <c r="F93" s="1326"/>
      <c r="G93" s="1326"/>
      <c r="H93" s="1059"/>
      <c r="I93" s="286"/>
      <c r="R93" s="350"/>
      <c r="S93" s="211"/>
      <c r="T93" s="351">
        <f>SUM(T72:T92)</f>
        <v>0</v>
      </c>
      <c r="U93" s="351">
        <f>SUM(U72:U92)</f>
        <v>0</v>
      </c>
      <c r="V93" s="352"/>
      <c r="X93" s="1218"/>
      <c r="Y93" s="160"/>
      <c r="Z93" s="1303"/>
      <c r="AA93" s="1303"/>
    </row>
    <row r="94" spans="1:27" ht="25.5" customHeight="1">
      <c r="A94" s="1076"/>
      <c r="B94" s="1076"/>
      <c r="C94" s="1075"/>
      <c r="D94" s="1069"/>
      <c r="E94" s="1070"/>
      <c r="F94" s="1071"/>
      <c r="G94" s="1067"/>
      <c r="H94" s="1059"/>
      <c r="I94" s="286"/>
      <c r="R94" s="350"/>
      <c r="S94" s="211"/>
      <c r="T94" s="211"/>
      <c r="U94" s="211"/>
      <c r="V94" s="352"/>
    </row>
    <row r="95" spans="1:27" ht="15" customHeight="1">
      <c r="A95" s="1067"/>
      <c r="B95" s="1067"/>
      <c r="C95" s="1073"/>
      <c r="D95" s="1073"/>
      <c r="E95" s="1077"/>
      <c r="F95" s="1073"/>
      <c r="G95" s="1073"/>
      <c r="H95" s="1078"/>
      <c r="I95" s="286"/>
      <c r="R95" s="350"/>
      <c r="S95" s="211"/>
      <c r="T95" s="211"/>
      <c r="U95" s="211"/>
      <c r="V95" s="352"/>
    </row>
    <row r="96" spans="1:27" ht="15" customHeight="1">
      <c r="D96" s="1327"/>
      <c r="E96" s="1327"/>
      <c r="R96" s="350"/>
      <c r="S96" s="211"/>
      <c r="T96" s="211"/>
      <c r="U96" s="211"/>
      <c r="V96" s="352"/>
    </row>
    <row r="97" spans="1:27" ht="15.75" customHeight="1">
      <c r="A97" s="1330"/>
      <c r="B97" s="1330"/>
      <c r="C97" s="1330"/>
      <c r="D97" s="1330"/>
      <c r="E97" s="1330"/>
      <c r="F97" s="1330"/>
      <c r="G97" s="1330"/>
      <c r="H97" s="1330"/>
      <c r="I97" s="1330"/>
    </row>
    <row r="98" spans="1:27" ht="15" customHeight="1">
      <c r="A98" s="1331"/>
      <c r="B98" s="1331"/>
      <c r="C98" s="1331"/>
      <c r="D98" s="1331"/>
      <c r="E98" s="1331"/>
      <c r="F98" s="1331"/>
      <c r="G98" s="1331"/>
      <c r="H98" s="1331"/>
      <c r="I98" s="1331"/>
    </row>
    <row r="99" spans="1:27" ht="15" customHeight="1">
      <c r="A99" s="1054"/>
      <c r="B99" s="1055"/>
      <c r="C99" s="1056"/>
      <c r="D99" s="1056"/>
      <c r="E99" s="1057"/>
      <c r="F99" s="1058"/>
      <c r="G99" s="1058"/>
      <c r="H99" s="1059"/>
      <c r="I99" s="286"/>
    </row>
    <row r="100" spans="1:27" ht="15" customHeight="1">
      <c r="A100" s="1332"/>
      <c r="B100" s="1332"/>
      <c r="C100" s="1332"/>
      <c r="D100" s="1333"/>
      <c r="E100" s="1332"/>
      <c r="F100" s="1332"/>
      <c r="G100" s="1332"/>
      <c r="H100" s="1333"/>
      <c r="I100" s="1332"/>
    </row>
    <row r="101" spans="1:27" ht="38.25" customHeight="1">
      <c r="A101" s="1332"/>
      <c r="B101" s="1332"/>
      <c r="C101" s="1332"/>
      <c r="D101" s="1332"/>
      <c r="E101" s="1061"/>
      <c r="F101" s="1061"/>
      <c r="G101" s="1061"/>
      <c r="H101" s="1333"/>
      <c r="I101" s="1333"/>
    </row>
    <row r="102" spans="1:27" ht="15.75" customHeight="1" thickBot="1">
      <c r="A102" s="1062"/>
      <c r="B102" s="1055"/>
      <c r="C102" s="1060"/>
      <c r="D102" s="1063"/>
      <c r="E102" s="1063"/>
      <c r="F102" s="1064"/>
      <c r="G102" s="1058"/>
      <c r="H102" s="1065"/>
      <c r="I102" s="1332"/>
      <c r="K102" s="8" t="s">
        <v>14</v>
      </c>
      <c r="L102" s="16">
        <f>'Daily Stock'!Q76</f>
        <v>0</v>
      </c>
      <c r="R102" s="309" t="s">
        <v>170</v>
      </c>
      <c r="S102" s="310"/>
    </row>
    <row r="103" spans="1:27" ht="18.75" customHeight="1">
      <c r="A103" s="1062"/>
      <c r="B103" s="1055"/>
      <c r="C103" s="1060"/>
      <c r="D103" s="1055"/>
      <c r="E103" s="1063"/>
      <c r="F103" s="1064"/>
      <c r="G103" s="1058"/>
      <c r="H103" s="1065"/>
      <c r="I103" s="1332"/>
      <c r="K103" s="8" t="s">
        <v>112</v>
      </c>
      <c r="L103" s="16">
        <f>'Daily Stock'!Q77</f>
        <v>0</v>
      </c>
      <c r="R103" s="311" t="s">
        <v>100</v>
      </c>
      <c r="S103" s="312"/>
      <c r="T103" s="313" t="s">
        <v>9</v>
      </c>
      <c r="U103" s="313" t="s">
        <v>113</v>
      </c>
      <c r="V103" s="314" t="s">
        <v>114</v>
      </c>
    </row>
    <row r="104" spans="1:27" ht="15" customHeight="1">
      <c r="A104" s="1062"/>
      <c r="B104" s="1055"/>
      <c r="C104" s="1055"/>
      <c r="D104" s="1055"/>
      <c r="E104" s="1057"/>
      <c r="F104" s="1058"/>
      <c r="G104" s="1058"/>
      <c r="H104" s="1058"/>
      <c r="I104" s="1334"/>
      <c r="K104" s="22" t="s">
        <v>117</v>
      </c>
      <c r="L104" s="16">
        <f>'Daily Stock'!Q78</f>
        <v>0</v>
      </c>
      <c r="R104" s="317" t="s">
        <v>118</v>
      </c>
      <c r="S104" s="318">
        <v>6</v>
      </c>
      <c r="T104" s="319">
        <f>U104</f>
        <v>0</v>
      </c>
      <c r="U104" s="320">
        <f>H104</f>
        <v>0</v>
      </c>
      <c r="V104" s="321" t="s">
        <v>119</v>
      </c>
    </row>
    <row r="105" spans="1:27" ht="15" customHeight="1">
      <c r="A105" s="1062"/>
      <c r="B105" s="1055"/>
      <c r="C105" s="1055"/>
      <c r="D105" s="1055"/>
      <c r="E105" s="1057"/>
      <c r="F105" s="1058"/>
      <c r="G105" s="1058"/>
      <c r="H105" s="1065"/>
      <c r="I105" s="1334"/>
      <c r="K105" s="22" t="s">
        <v>17</v>
      </c>
      <c r="L105" s="16">
        <f>'Daily Stock'!Q79</f>
        <v>0</v>
      </c>
      <c r="R105" s="317"/>
      <c r="S105" s="322"/>
      <c r="T105" s="323"/>
      <c r="U105" s="320">
        <v>0</v>
      </c>
      <c r="V105" s="324"/>
    </row>
    <row r="106" spans="1:27" ht="15" customHeight="1">
      <c r="A106" s="1062"/>
      <c r="B106" s="1055"/>
      <c r="C106" s="1055"/>
      <c r="D106" s="1055"/>
      <c r="E106" s="1057"/>
      <c r="F106" s="1058"/>
      <c r="G106" s="1058"/>
      <c r="H106" s="1065"/>
      <c r="I106" s="1334"/>
      <c r="K106" s="22" t="s">
        <v>18</v>
      </c>
      <c r="L106" s="16">
        <f>'Daily Stock'!Q80</f>
        <v>0</v>
      </c>
      <c r="R106" s="317"/>
      <c r="S106" s="236" t="s">
        <v>121</v>
      </c>
      <c r="T106" s="320">
        <v>0</v>
      </c>
      <c r="U106" s="320">
        <v>0</v>
      </c>
      <c r="V106" s="325"/>
    </row>
    <row r="107" spans="1:27" ht="15" customHeight="1">
      <c r="A107" s="1062"/>
      <c r="B107" s="1055"/>
      <c r="C107" s="1055"/>
      <c r="D107" s="1055"/>
      <c r="E107" s="1057"/>
      <c r="F107" s="1058"/>
      <c r="G107" s="1058"/>
      <c r="H107" s="1065"/>
      <c r="I107" s="1335"/>
      <c r="J107" s="286"/>
      <c r="K107" s="22" t="s">
        <v>19</v>
      </c>
      <c r="L107" s="16">
        <f>'Daily Stock'!Q81</f>
        <v>0</v>
      </c>
      <c r="R107" s="326" t="s">
        <v>123</v>
      </c>
      <c r="S107" s="318">
        <v>6</v>
      </c>
      <c r="T107" s="319">
        <f>U107</f>
        <v>0</v>
      </c>
      <c r="U107" s="319">
        <f>H108</f>
        <v>0</v>
      </c>
      <c r="V107" s="321" t="s">
        <v>119</v>
      </c>
    </row>
    <row r="108" spans="1:27" ht="15" customHeight="1">
      <c r="A108" s="1062"/>
      <c r="B108" s="1055"/>
      <c r="C108" s="1055"/>
      <c r="D108" s="1055"/>
      <c r="E108" s="1057"/>
      <c r="F108" s="1058"/>
      <c r="G108" s="1058"/>
      <c r="H108" s="1065"/>
      <c r="I108" s="1335"/>
      <c r="J108" s="362"/>
      <c r="K108" s="22" t="s">
        <v>20</v>
      </c>
      <c r="L108" s="16">
        <f>'Daily Stock'!Q82</f>
        <v>0</v>
      </c>
      <c r="R108" s="327"/>
      <c r="S108" s="328"/>
      <c r="T108" s="329"/>
      <c r="U108" s="329"/>
      <c r="V108" s="324"/>
    </row>
    <row r="109" spans="1:27" ht="15" customHeight="1">
      <c r="A109" s="1062"/>
      <c r="B109" s="1055"/>
      <c r="C109" s="1055"/>
      <c r="D109" s="1055"/>
      <c r="E109" s="1057"/>
      <c r="F109" s="1058"/>
      <c r="G109" s="1058"/>
      <c r="H109" s="1065"/>
      <c r="I109" s="1335"/>
      <c r="J109" s="286"/>
      <c r="K109" s="22" t="s">
        <v>124</v>
      </c>
      <c r="L109" s="16">
        <f>'Daily Stock'!Q83</f>
        <v>0</v>
      </c>
      <c r="R109" s="327"/>
      <c r="S109" s="318">
        <v>4</v>
      </c>
      <c r="T109" s="319">
        <f>U109</f>
        <v>0</v>
      </c>
      <c r="U109" s="319">
        <f>G110</f>
        <v>0</v>
      </c>
      <c r="V109" s="321" t="s">
        <v>119</v>
      </c>
      <c r="X109" s="1302"/>
      <c r="Y109" s="1302"/>
      <c r="Z109" s="1302"/>
      <c r="AA109" s="1302"/>
    </row>
    <row r="110" spans="1:27" ht="15" customHeight="1">
      <c r="A110" s="1062"/>
      <c r="B110" s="1055"/>
      <c r="C110" s="1055"/>
      <c r="D110" s="1055"/>
      <c r="E110" s="1057"/>
      <c r="F110" s="1058"/>
      <c r="G110" s="1058"/>
      <c r="H110" s="1065"/>
      <c r="I110" s="1335"/>
      <c r="J110" s="362"/>
      <c r="K110" s="22" t="s">
        <v>22</v>
      </c>
      <c r="L110" s="16">
        <f>'Daily Stock'!Q84</f>
        <v>0</v>
      </c>
      <c r="R110" s="327"/>
      <c r="S110" s="328"/>
      <c r="T110" s="329"/>
      <c r="U110" s="329"/>
      <c r="V110" s="324"/>
    </row>
    <row r="111" spans="1:27" ht="15" customHeight="1">
      <c r="A111" s="1062"/>
      <c r="B111" s="1055"/>
      <c r="C111" s="1055"/>
      <c r="D111" s="1055"/>
      <c r="E111" s="1057"/>
      <c r="F111" s="1058"/>
      <c r="G111" s="1058"/>
      <c r="H111" s="1065"/>
      <c r="I111" s="1335"/>
      <c r="J111" s="286"/>
      <c r="K111" s="22" t="s">
        <v>23</v>
      </c>
      <c r="L111" s="16">
        <f>'Daily Stock'!Q85</f>
        <v>0</v>
      </c>
      <c r="R111" s="327"/>
      <c r="S111" s="318">
        <v>3</v>
      </c>
      <c r="T111" s="319">
        <f>U111</f>
        <v>0</v>
      </c>
      <c r="U111" s="319">
        <f>G107</f>
        <v>0</v>
      </c>
      <c r="V111" s="321" t="s">
        <v>119</v>
      </c>
      <c r="Y111" s="1065"/>
      <c r="Z111" s="1065"/>
      <c r="AA111" s="160"/>
    </row>
    <row r="112" spans="1:27" ht="15.75" customHeight="1" thickBot="1">
      <c r="A112" s="1062"/>
      <c r="B112" s="1055"/>
      <c r="C112" s="1055"/>
      <c r="D112" s="1055"/>
      <c r="E112" s="1057"/>
      <c r="F112" s="1058"/>
      <c r="G112" s="1058"/>
      <c r="H112" s="1065"/>
      <c r="I112" s="1066"/>
      <c r="J112" s="286"/>
      <c r="K112" s="25" t="s">
        <v>24</v>
      </c>
      <c r="L112" s="16">
        <f>'Daily Stock'!Q86</f>
        <v>0</v>
      </c>
      <c r="R112" s="327"/>
      <c r="S112" s="328"/>
      <c r="T112" s="329"/>
      <c r="U112" s="329"/>
      <c r="V112" s="324"/>
      <c r="Z112" s="1065"/>
      <c r="AA112" s="160"/>
    </row>
    <row r="113" spans="1:27" ht="15" customHeight="1">
      <c r="A113" s="1062"/>
      <c r="B113" s="1055"/>
      <c r="C113" s="1055"/>
      <c r="D113" s="1055"/>
      <c r="E113" s="1057"/>
      <c r="F113" s="1058"/>
      <c r="G113" s="1058"/>
      <c r="H113" s="1065"/>
      <c r="I113" s="1066"/>
      <c r="J113" s="286"/>
      <c r="R113" s="327"/>
      <c r="S113" s="318">
        <v>5</v>
      </c>
      <c r="T113" s="319">
        <f>U113</f>
        <v>0</v>
      </c>
      <c r="U113" s="319">
        <f>G109</f>
        <v>0</v>
      </c>
      <c r="V113" s="321" t="s">
        <v>119</v>
      </c>
      <c r="AA113" s="160"/>
    </row>
    <row r="114" spans="1:27" ht="15" customHeight="1">
      <c r="A114" s="1062"/>
      <c r="B114" s="1055"/>
      <c r="C114" s="1055"/>
      <c r="D114" s="1055"/>
      <c r="E114" s="1057"/>
      <c r="F114" s="1058"/>
      <c r="G114" s="1058"/>
      <c r="H114" s="401"/>
      <c r="I114" s="1336"/>
      <c r="J114" s="286"/>
      <c r="K114" s="338">
        <f>'Monthly Prod'!B6</f>
        <v>0</v>
      </c>
      <c r="L114" s="338">
        <f>'Monthly Prod'!C6</f>
        <v>0</v>
      </c>
      <c r="M114" s="338">
        <f>'Monthly Prod'!D6</f>
        <v>0</v>
      </c>
      <c r="N114" s="338">
        <f>'Monthly Prod'!E6</f>
        <v>0</v>
      </c>
      <c r="O114" s="338">
        <f>'Monthly Prod'!F6</f>
        <v>0</v>
      </c>
      <c r="P114" s="338">
        <f>'Monthly Prod'!H6</f>
        <v>0</v>
      </c>
      <c r="Q114" t="s">
        <v>134</v>
      </c>
      <c r="R114" s="339"/>
      <c r="S114" s="340" t="s">
        <v>121</v>
      </c>
      <c r="T114" s="319">
        <f>U114</f>
        <v>0</v>
      </c>
      <c r="U114" s="319">
        <f>G111</f>
        <v>0</v>
      </c>
      <c r="V114" s="321" t="s">
        <v>119</v>
      </c>
      <c r="Y114" s="1065"/>
      <c r="Z114" s="1065"/>
      <c r="AA114" s="1065"/>
    </row>
    <row r="115" spans="1:27" ht="15" customHeight="1">
      <c r="A115" s="1062"/>
      <c r="B115" s="1055"/>
      <c r="C115" s="1055"/>
      <c r="D115" s="1055"/>
      <c r="E115" s="1057"/>
      <c r="F115" s="1058"/>
      <c r="G115" s="1058"/>
      <c r="H115" s="1065"/>
      <c r="I115" s="1336"/>
      <c r="K115" s="286" t="s">
        <v>136</v>
      </c>
      <c r="L115" s="286" t="s">
        <v>137</v>
      </c>
      <c r="M115" s="277" t="s">
        <v>4</v>
      </c>
      <c r="N115" s="277" t="s">
        <v>138</v>
      </c>
      <c r="O115" s="286" t="s">
        <v>139</v>
      </c>
      <c r="P115" s="286" t="s">
        <v>140</v>
      </c>
      <c r="R115" s="326" t="s">
        <v>141</v>
      </c>
      <c r="S115" s="236">
        <v>6</v>
      </c>
      <c r="T115" s="320">
        <v>0</v>
      </c>
      <c r="U115" s="320">
        <v>0</v>
      </c>
      <c r="V115" s="325"/>
    </row>
    <row r="116" spans="1:27" ht="15" customHeight="1">
      <c r="A116" s="1062"/>
      <c r="B116" s="1055"/>
      <c r="C116" s="1055"/>
      <c r="D116" s="1055"/>
      <c r="E116" s="1057"/>
      <c r="F116" s="1058"/>
      <c r="G116" s="1058"/>
      <c r="H116" s="1065"/>
      <c r="I116" s="1336"/>
      <c r="K116" s="282">
        <f ca="1">SUM('Monthly Prod'!B3:B6)</f>
        <v>0</v>
      </c>
      <c r="L116" s="282">
        <f ca="1">SUM('Monthly Prod'!C3:C6)</f>
        <v>0</v>
      </c>
      <c r="M116" s="282">
        <f ca="1">SUM('Monthly Prod'!D3:D6)</f>
        <v>0</v>
      </c>
      <c r="N116" s="282">
        <f ca="1">SUM('Monthly Prod'!E3:E6)</f>
        <v>0</v>
      </c>
      <c r="O116" s="282">
        <f ca="1">SUM('Monthly Prod'!F3:F6)</f>
        <v>0</v>
      </c>
      <c r="P116" s="282">
        <f ca="1">SUM('Monthly Prod'!H3:H6)</f>
        <v>0</v>
      </c>
      <c r="Q116" t="s">
        <v>142</v>
      </c>
      <c r="R116" s="327"/>
      <c r="S116" s="341">
        <v>4.8</v>
      </c>
      <c r="T116" s="342"/>
      <c r="U116" s="342"/>
      <c r="V116" s="343"/>
    </row>
    <row r="117" spans="1:27" ht="15" customHeight="1">
      <c r="A117" s="1062"/>
      <c r="B117" s="1055"/>
      <c r="C117" s="1055"/>
      <c r="D117" s="1055"/>
      <c r="E117" s="1057"/>
      <c r="F117" s="1058"/>
      <c r="G117" s="1058"/>
      <c r="H117" s="1065"/>
      <c r="I117" s="1336"/>
      <c r="R117" s="327"/>
      <c r="S117" s="318">
        <v>4</v>
      </c>
      <c r="T117" s="319">
        <f>U117</f>
        <v>0</v>
      </c>
      <c r="U117" s="319">
        <f>G115</f>
        <v>0</v>
      </c>
      <c r="V117" s="321" t="s">
        <v>119</v>
      </c>
      <c r="Z117" s="160"/>
      <c r="AA117" s="286"/>
    </row>
    <row r="118" spans="1:27" ht="15" customHeight="1">
      <c r="A118" s="1062"/>
      <c r="B118" s="1055"/>
      <c r="C118" s="1055"/>
      <c r="D118" s="1055"/>
      <c r="E118" s="1057"/>
      <c r="F118" s="1058"/>
      <c r="G118" s="1058"/>
      <c r="H118" s="1065"/>
      <c r="I118" s="1336"/>
      <c r="R118" s="327"/>
      <c r="S118" s="328"/>
      <c r="T118" s="329"/>
      <c r="U118" s="329"/>
      <c r="V118" s="324"/>
      <c r="Z118" s="160"/>
    </row>
    <row r="119" spans="1:27" ht="15" customHeight="1">
      <c r="A119" s="1062"/>
      <c r="B119" s="1055"/>
      <c r="C119" s="1055"/>
      <c r="D119" s="1055"/>
      <c r="E119" s="1057"/>
      <c r="F119" s="1058"/>
      <c r="G119" s="1058"/>
      <c r="H119" s="1065"/>
      <c r="I119" s="1055"/>
      <c r="R119" s="327"/>
      <c r="S119" s="318">
        <v>3</v>
      </c>
      <c r="T119" s="319">
        <f>U119</f>
        <v>0</v>
      </c>
      <c r="U119" s="319">
        <f>G114</f>
        <v>0</v>
      </c>
      <c r="V119" s="321" t="s">
        <v>119</v>
      </c>
      <c r="Z119" s="160"/>
    </row>
    <row r="120" spans="1:27" ht="15" customHeight="1">
      <c r="A120" s="1337"/>
      <c r="B120" s="1337"/>
      <c r="C120" s="1337"/>
      <c r="D120" s="1337"/>
      <c r="E120" s="1337"/>
      <c r="F120" s="1337"/>
      <c r="G120" s="1067"/>
      <c r="H120" s="1067"/>
      <c r="I120" s="1068"/>
      <c r="R120" s="327"/>
      <c r="S120" s="328"/>
      <c r="T120" s="329"/>
      <c r="U120" s="329"/>
      <c r="V120" s="324"/>
      <c r="Z120" s="160"/>
      <c r="AA120" s="160"/>
    </row>
    <row r="121" spans="1:27" ht="15" customHeight="1">
      <c r="A121" s="1320"/>
      <c r="B121" s="1320"/>
      <c r="C121" s="1320"/>
      <c r="D121" s="1320"/>
      <c r="E121" s="1321"/>
      <c r="F121" s="1322"/>
      <c r="G121" s="1323"/>
      <c r="H121" s="1321"/>
      <c r="I121" s="1320"/>
      <c r="R121" s="327"/>
      <c r="S121" s="236">
        <v>5</v>
      </c>
      <c r="T121" s="320">
        <f>U121</f>
        <v>0</v>
      </c>
      <c r="U121" s="320">
        <f>G116</f>
        <v>0</v>
      </c>
      <c r="V121" s="325" t="s">
        <v>119</v>
      </c>
      <c r="Z121" s="160"/>
      <c r="AA121" s="160"/>
    </row>
    <row r="122" spans="1:27" ht="15" customHeight="1">
      <c r="A122" s="1320"/>
      <c r="B122" s="1320"/>
      <c r="C122" s="1320"/>
      <c r="D122" s="1320"/>
      <c r="E122" s="1320"/>
      <c r="F122" s="1320"/>
      <c r="G122" s="1320"/>
      <c r="H122" s="1320"/>
      <c r="I122" s="1320"/>
      <c r="R122" s="327"/>
      <c r="S122" s="236">
        <v>4.8</v>
      </c>
      <c r="T122" s="320">
        <v>0</v>
      </c>
      <c r="U122" s="320">
        <v>0</v>
      </c>
      <c r="V122" s="325" t="s">
        <v>119</v>
      </c>
      <c r="X122" s="1287"/>
      <c r="Y122" s="1287"/>
      <c r="Z122" s="1287"/>
      <c r="AA122" s="1287"/>
    </row>
    <row r="123" spans="1:27" ht="15" customHeight="1">
      <c r="A123" s="1072"/>
      <c r="B123" s="1072"/>
      <c r="C123" s="1072"/>
      <c r="D123" s="1072"/>
      <c r="E123" s="1072"/>
      <c r="F123" s="1072"/>
      <c r="G123" s="1073"/>
      <c r="H123" s="1074"/>
      <c r="I123" s="1075"/>
      <c r="R123" s="339"/>
      <c r="S123" s="236" t="s">
        <v>121</v>
      </c>
      <c r="T123" s="320">
        <v>0</v>
      </c>
      <c r="U123" s="320">
        <v>0</v>
      </c>
      <c r="V123" s="325" t="s">
        <v>119</v>
      </c>
      <c r="X123" s="1287"/>
      <c r="Y123" s="1287"/>
      <c r="Z123" s="1287"/>
      <c r="AA123" s="1287"/>
    </row>
    <row r="124" spans="1:27" ht="15" customHeight="1">
      <c r="A124" s="1056"/>
      <c r="B124" s="1055"/>
      <c r="C124" s="1056"/>
      <c r="D124" s="1325"/>
      <c r="E124" s="1325"/>
      <c r="F124" s="1325"/>
      <c r="G124" s="1058"/>
      <c r="H124" s="1059"/>
      <c r="I124" s="286"/>
      <c r="R124" s="339"/>
      <c r="S124" s="236">
        <v>5</v>
      </c>
      <c r="T124" s="320">
        <v>0</v>
      </c>
      <c r="U124" s="320">
        <v>0</v>
      </c>
      <c r="V124" s="325"/>
      <c r="X124" s="1217"/>
      <c r="Y124" s="160"/>
      <c r="Z124" s="1303"/>
      <c r="AA124" s="1303"/>
    </row>
    <row r="125" spans="1:27" ht="15" customHeight="1">
      <c r="A125" s="1326"/>
      <c r="B125" s="1326"/>
      <c r="C125" s="1326"/>
      <c r="D125" s="1326"/>
      <c r="E125" s="1326"/>
      <c r="F125" s="1326"/>
      <c r="G125" s="1326"/>
      <c r="H125" s="1059"/>
      <c r="I125" s="286"/>
      <c r="R125" s="350"/>
      <c r="S125" s="211"/>
      <c r="T125" s="351">
        <f>SUM(T104:T124)</f>
        <v>0</v>
      </c>
      <c r="U125" s="351">
        <f>SUM(U104:U124)</f>
        <v>0</v>
      </c>
      <c r="V125" s="352"/>
      <c r="X125" s="1218"/>
      <c r="Y125" s="160"/>
      <c r="Z125" s="1303"/>
      <c r="AA125" s="1303"/>
    </row>
    <row r="126" spans="1:27" ht="25.5" customHeight="1">
      <c r="A126" s="1076"/>
      <c r="B126" s="1076"/>
      <c r="C126" s="1075"/>
      <c r="D126" s="1069"/>
      <c r="E126" s="1070"/>
      <c r="F126" s="1071"/>
      <c r="G126" s="1067"/>
      <c r="H126" s="1059"/>
      <c r="I126" s="286"/>
      <c r="R126" s="350"/>
      <c r="S126" s="211"/>
      <c r="T126" s="211"/>
      <c r="U126" s="211"/>
      <c r="V126" s="352"/>
    </row>
    <row r="127" spans="1:27" ht="15" customHeight="1">
      <c r="A127" s="1067"/>
      <c r="B127" s="1067"/>
      <c r="C127" s="1073"/>
      <c r="D127" s="1073"/>
      <c r="E127" s="1077"/>
      <c r="F127" s="1073"/>
      <c r="G127" s="1073"/>
      <c r="H127" s="1078"/>
      <c r="I127" s="286"/>
      <c r="R127" s="350"/>
      <c r="S127" s="211"/>
      <c r="T127" s="211"/>
      <c r="U127" s="211"/>
      <c r="V127" s="352"/>
    </row>
    <row r="128" spans="1:27" ht="15" customHeight="1">
      <c r="D128" s="1327"/>
      <c r="E128" s="1327"/>
      <c r="R128" s="350"/>
      <c r="S128" s="211"/>
      <c r="T128" s="211"/>
      <c r="U128" s="211"/>
      <c r="V128" s="352"/>
    </row>
    <row r="129" spans="1:22" ht="15.75" customHeight="1">
      <c r="A129" s="1353"/>
      <c r="B129" s="1353"/>
      <c r="C129" s="1353"/>
      <c r="D129" s="1353"/>
      <c r="E129" s="1353"/>
      <c r="F129" s="1353"/>
      <c r="G129" s="1353"/>
      <c r="H129" s="1353"/>
      <c r="I129" s="1353"/>
    </row>
    <row r="130" spans="1:22" ht="15" customHeight="1">
      <c r="A130" s="1354"/>
      <c r="B130" s="1354"/>
      <c r="C130" s="1354"/>
      <c r="D130" s="1354"/>
      <c r="E130" s="1354"/>
      <c r="F130" s="1354"/>
      <c r="G130" s="1354"/>
      <c r="H130" s="1354"/>
      <c r="I130" s="1354"/>
    </row>
    <row r="131" spans="1:22" ht="15" customHeight="1">
      <c r="A131" s="1193"/>
      <c r="B131" s="1194"/>
      <c r="C131" s="171"/>
      <c r="D131" s="171"/>
      <c r="E131" s="1195"/>
      <c r="F131" s="1196"/>
      <c r="G131" s="1196"/>
      <c r="H131" s="1197"/>
      <c r="I131" s="1198"/>
    </row>
    <row r="132" spans="1:22" ht="15" customHeight="1">
      <c r="A132" s="1344"/>
      <c r="B132" s="1344"/>
      <c r="C132" s="1344"/>
      <c r="D132" s="1355"/>
      <c r="E132" s="1344"/>
      <c r="F132" s="1344"/>
      <c r="G132" s="1344"/>
      <c r="H132" s="1355"/>
      <c r="I132" s="1344"/>
    </row>
    <row r="133" spans="1:22" ht="38.25" customHeight="1">
      <c r="A133" s="1344"/>
      <c r="B133" s="1344"/>
      <c r="C133" s="1344"/>
      <c r="D133" s="1344"/>
      <c r="E133" s="1200"/>
      <c r="F133" s="1200"/>
      <c r="G133" s="1200"/>
      <c r="H133" s="1355"/>
      <c r="I133" s="1355"/>
    </row>
    <row r="134" spans="1:22" ht="15.75" customHeight="1" thickBot="1">
      <c r="A134" s="1201"/>
      <c r="B134" s="1194"/>
      <c r="C134" s="1199"/>
      <c r="D134" s="1202"/>
      <c r="E134" s="1202"/>
      <c r="F134" s="1203"/>
      <c r="G134" s="1196"/>
      <c r="H134" s="1204"/>
      <c r="I134" s="1344"/>
      <c r="K134" s="8" t="s">
        <v>14</v>
      </c>
      <c r="L134" s="16">
        <f>'Daily Stock'!Q94</f>
        <v>0</v>
      </c>
      <c r="R134" s="309" t="s">
        <v>171</v>
      </c>
      <c r="S134" s="310"/>
    </row>
    <row r="135" spans="1:22" ht="18.75" customHeight="1">
      <c r="A135" s="1201"/>
      <c r="B135" s="1194"/>
      <c r="C135" s="1199"/>
      <c r="D135" s="1194"/>
      <c r="E135" s="1202"/>
      <c r="F135" s="1203"/>
      <c r="G135" s="1196"/>
      <c r="H135" s="1204"/>
      <c r="I135" s="1344"/>
      <c r="K135" s="8" t="s">
        <v>112</v>
      </c>
      <c r="L135" s="16">
        <f>'Daily Stock'!Q95</f>
        <v>0</v>
      </c>
      <c r="R135" s="311" t="s">
        <v>100</v>
      </c>
      <c r="S135" s="312"/>
      <c r="T135" s="313" t="s">
        <v>9</v>
      </c>
      <c r="U135" s="313" t="s">
        <v>113</v>
      </c>
      <c r="V135" s="314" t="s">
        <v>114</v>
      </c>
    </row>
    <row r="136" spans="1:22" ht="15" customHeight="1">
      <c r="A136" s="1201"/>
      <c r="B136" s="1194"/>
      <c r="C136" s="1194"/>
      <c r="D136" s="1194"/>
      <c r="E136" s="1195"/>
      <c r="F136" s="1196"/>
      <c r="G136" s="1196"/>
      <c r="H136" s="1204"/>
      <c r="I136" s="1345"/>
      <c r="K136" s="22" t="s">
        <v>117</v>
      </c>
      <c r="L136" s="16">
        <f>'Daily Stock'!Q96</f>
        <v>0</v>
      </c>
      <c r="R136" s="317" t="s">
        <v>118</v>
      </c>
      <c r="S136" s="318">
        <v>6</v>
      </c>
      <c r="T136" s="319">
        <f>U136</f>
        <v>0</v>
      </c>
      <c r="U136" s="320">
        <f>H136</f>
        <v>0</v>
      </c>
      <c r="V136" s="321" t="s">
        <v>119</v>
      </c>
    </row>
    <row r="137" spans="1:22" ht="15" customHeight="1">
      <c r="A137" s="1201"/>
      <c r="B137" s="1194"/>
      <c r="C137" s="1194"/>
      <c r="D137" s="1194"/>
      <c r="E137" s="1195"/>
      <c r="F137" s="1196"/>
      <c r="G137" s="1196"/>
      <c r="H137" s="1204"/>
      <c r="I137" s="1345"/>
      <c r="K137" s="22" t="s">
        <v>17</v>
      </c>
      <c r="L137" s="16">
        <f>'Daily Stock'!Q97</f>
        <v>0</v>
      </c>
      <c r="R137" s="317"/>
      <c r="S137" s="322"/>
      <c r="T137" s="323"/>
      <c r="U137" s="320">
        <v>0</v>
      </c>
      <c r="V137" s="324"/>
    </row>
    <row r="138" spans="1:22" ht="15" customHeight="1">
      <c r="A138" s="1201"/>
      <c r="B138" s="1194"/>
      <c r="C138" s="1194"/>
      <c r="D138" s="1194"/>
      <c r="E138" s="1195"/>
      <c r="F138" s="1196"/>
      <c r="G138" s="1196"/>
      <c r="H138" s="1204"/>
      <c r="I138" s="1345"/>
      <c r="K138" s="22" t="s">
        <v>18</v>
      </c>
      <c r="L138" s="16">
        <f>'Daily Stock'!Q98</f>
        <v>0</v>
      </c>
      <c r="R138" s="317"/>
      <c r="S138" s="236" t="s">
        <v>121</v>
      </c>
      <c r="T138" s="320">
        <v>0</v>
      </c>
      <c r="U138" s="320">
        <v>0</v>
      </c>
      <c r="V138" s="325"/>
    </row>
    <row r="139" spans="1:22" ht="15" customHeight="1">
      <c r="A139" s="1201"/>
      <c r="B139" s="1194"/>
      <c r="C139" s="1194"/>
      <c r="D139" s="1194"/>
      <c r="E139" s="1195"/>
      <c r="F139" s="1196"/>
      <c r="G139" s="1196"/>
      <c r="H139" s="1204"/>
      <c r="I139" s="1346"/>
      <c r="K139" s="22" t="s">
        <v>19</v>
      </c>
      <c r="L139" s="16">
        <f>'Daily Stock'!Q99</f>
        <v>0</v>
      </c>
      <c r="R139" s="326" t="s">
        <v>123</v>
      </c>
      <c r="S139" s="318">
        <v>6</v>
      </c>
      <c r="T139" s="319">
        <f>U139</f>
        <v>0</v>
      </c>
      <c r="U139" s="319">
        <f>H140</f>
        <v>0</v>
      </c>
      <c r="V139" s="321" t="s">
        <v>119</v>
      </c>
    </row>
    <row r="140" spans="1:22" ht="15" customHeight="1">
      <c r="A140" s="1201"/>
      <c r="B140" s="1194"/>
      <c r="C140" s="1194"/>
      <c r="D140" s="1194"/>
      <c r="E140" s="1195"/>
      <c r="F140" s="1196"/>
      <c r="G140" s="1196"/>
      <c r="H140" s="1204"/>
      <c r="I140" s="1346"/>
      <c r="K140" s="22" t="s">
        <v>20</v>
      </c>
      <c r="L140" s="16">
        <f>'Daily Stock'!Q100</f>
        <v>0</v>
      </c>
      <c r="R140" s="327"/>
      <c r="S140" s="328"/>
      <c r="T140" s="329"/>
      <c r="U140" s="329"/>
      <c r="V140" s="324"/>
    </row>
    <row r="141" spans="1:22" ht="15" customHeight="1">
      <c r="A141" s="1201"/>
      <c r="B141" s="1194"/>
      <c r="C141" s="1194"/>
      <c r="D141" s="1194"/>
      <c r="E141" s="1195"/>
      <c r="F141" s="1196"/>
      <c r="G141" s="1196"/>
      <c r="H141" s="1204"/>
      <c r="I141" s="1346"/>
      <c r="K141" s="22" t="s">
        <v>124</v>
      </c>
      <c r="L141" s="16">
        <f>'Daily Stock'!Q101</f>
        <v>0</v>
      </c>
      <c r="R141" s="327"/>
      <c r="S141" s="318">
        <v>4</v>
      </c>
      <c r="T141" s="319">
        <f>U141</f>
        <v>0</v>
      </c>
      <c r="U141" s="319">
        <f>G142</f>
        <v>0</v>
      </c>
      <c r="V141" s="321" t="s">
        <v>119</v>
      </c>
    </row>
    <row r="142" spans="1:22" ht="15" customHeight="1">
      <c r="A142" s="1201"/>
      <c r="B142" s="1194"/>
      <c r="C142" s="1194"/>
      <c r="D142" s="1194"/>
      <c r="E142" s="1195"/>
      <c r="F142" s="1196"/>
      <c r="G142" s="1196"/>
      <c r="H142" s="1204"/>
      <c r="I142" s="1346"/>
      <c r="K142" s="22" t="s">
        <v>22</v>
      </c>
      <c r="L142" s="16">
        <f>'Daily Stock'!Q102</f>
        <v>0</v>
      </c>
      <c r="R142" s="327"/>
      <c r="S142" s="328"/>
      <c r="T142" s="329"/>
      <c r="U142" s="329"/>
      <c r="V142" s="324"/>
    </row>
    <row r="143" spans="1:22" ht="15" customHeight="1">
      <c r="A143" s="1201"/>
      <c r="B143" s="1194"/>
      <c r="C143" s="1194"/>
      <c r="D143" s="1194"/>
      <c r="E143" s="1195"/>
      <c r="F143" s="1196"/>
      <c r="G143" s="1196"/>
      <c r="H143" s="1204"/>
      <c r="I143" s="1346"/>
      <c r="K143" s="22" t="s">
        <v>23</v>
      </c>
      <c r="L143" s="16">
        <f>'Daily Stock'!Q103</f>
        <v>0</v>
      </c>
      <c r="R143" s="327"/>
      <c r="S143" s="318">
        <v>3</v>
      </c>
      <c r="T143" s="319">
        <f>U143</f>
        <v>0</v>
      </c>
      <c r="U143" s="319">
        <f>G139</f>
        <v>0</v>
      </c>
      <c r="V143" s="321" t="s">
        <v>119</v>
      </c>
    </row>
    <row r="144" spans="1:22" ht="15.75" customHeight="1" thickBot="1">
      <c r="A144" s="1201"/>
      <c r="B144" s="1194"/>
      <c r="C144" s="1194"/>
      <c r="D144" s="1194"/>
      <c r="E144" s="1195"/>
      <c r="F144" s="1196"/>
      <c r="G144" s="1196"/>
      <c r="H144" s="1204"/>
      <c r="I144" s="1205"/>
      <c r="K144" s="25" t="s">
        <v>24</v>
      </c>
      <c r="L144" s="16">
        <f>'Daily Stock'!Q104</f>
        <v>0</v>
      </c>
      <c r="R144" s="327"/>
      <c r="S144" s="328"/>
      <c r="T144" s="329"/>
      <c r="U144" s="329"/>
      <c r="V144" s="324"/>
    </row>
    <row r="145" spans="1:24" ht="15" customHeight="1">
      <c r="A145" s="1201"/>
      <c r="B145" s="1194"/>
      <c r="C145" s="1194"/>
      <c r="D145" s="1194"/>
      <c r="E145" s="1195"/>
      <c r="F145" s="1196"/>
      <c r="G145" s="1196"/>
      <c r="H145" s="1204"/>
      <c r="I145" s="1205"/>
      <c r="R145" s="327"/>
      <c r="S145" s="318">
        <v>5</v>
      </c>
      <c r="T145" s="319">
        <f>U145</f>
        <v>0</v>
      </c>
      <c r="U145" s="319">
        <f>G141</f>
        <v>0</v>
      </c>
      <c r="V145" s="321" t="s">
        <v>119</v>
      </c>
    </row>
    <row r="146" spans="1:24" ht="15" customHeight="1">
      <c r="A146" s="1201"/>
      <c r="B146" s="1194"/>
      <c r="C146" s="1194"/>
      <c r="D146" s="1194"/>
      <c r="E146" s="1195"/>
      <c r="F146" s="1196"/>
      <c r="G146" s="1196"/>
      <c r="H146" s="1204"/>
      <c r="I146" s="1347"/>
      <c r="K146" s="338">
        <f>'Monthly Prod'!B7</f>
        <v>0</v>
      </c>
      <c r="L146" s="338">
        <f>'Monthly Prod'!C7</f>
        <v>0</v>
      </c>
      <c r="M146" s="338">
        <f>'Monthly Prod'!D7</f>
        <v>0</v>
      </c>
      <c r="N146" s="338">
        <f>'Monthly Prod'!E7</f>
        <v>0</v>
      </c>
      <c r="O146" s="338">
        <f>'Monthly Prod'!F7</f>
        <v>0</v>
      </c>
      <c r="P146" s="338">
        <f>'Monthly Prod'!H7</f>
        <v>0</v>
      </c>
      <c r="Q146" t="s">
        <v>134</v>
      </c>
      <c r="R146" s="339"/>
      <c r="S146" s="340" t="s">
        <v>121</v>
      </c>
      <c r="T146" s="319">
        <f>U146</f>
        <v>0</v>
      </c>
      <c r="U146" s="319">
        <f>G143</f>
        <v>0</v>
      </c>
      <c r="V146" s="321" t="s">
        <v>119</v>
      </c>
    </row>
    <row r="147" spans="1:24" ht="15" customHeight="1">
      <c r="A147" s="1201"/>
      <c r="B147" s="1194"/>
      <c r="C147" s="1194"/>
      <c r="D147" s="1194"/>
      <c r="E147" s="1195"/>
      <c r="F147" s="1196"/>
      <c r="G147" s="1196"/>
      <c r="H147" s="1204"/>
      <c r="I147" s="1347"/>
      <c r="K147" s="286" t="s">
        <v>136</v>
      </c>
      <c r="L147" s="286" t="s">
        <v>137</v>
      </c>
      <c r="M147" s="277" t="s">
        <v>4</v>
      </c>
      <c r="N147" s="277" t="s">
        <v>138</v>
      </c>
      <c r="O147" s="286" t="s">
        <v>139</v>
      </c>
      <c r="P147" s="286" t="s">
        <v>140</v>
      </c>
      <c r="R147" s="326" t="s">
        <v>141</v>
      </c>
      <c r="S147" s="236">
        <v>6</v>
      </c>
      <c r="T147" s="320">
        <v>0</v>
      </c>
      <c r="U147" s="320">
        <v>0</v>
      </c>
      <c r="V147" s="325"/>
    </row>
    <row r="148" spans="1:24" ht="15" customHeight="1">
      <c r="A148" s="1201"/>
      <c r="B148" s="1194"/>
      <c r="C148" s="1194"/>
      <c r="D148" s="1194"/>
      <c r="E148" s="1195"/>
      <c r="F148" s="1196"/>
      <c r="G148" s="1196"/>
      <c r="H148" s="1204"/>
      <c r="I148" s="1347"/>
      <c r="K148" s="282">
        <f ca="1">SUM('Monthly Prod'!B3:B7)</f>
        <v>0</v>
      </c>
      <c r="L148" s="282">
        <f ca="1">SUM('Monthly Prod'!C3:C7)</f>
        <v>0</v>
      </c>
      <c r="M148" s="282">
        <f ca="1">SUM('Monthly Prod'!D3:D7)</f>
        <v>0</v>
      </c>
      <c r="N148" s="282">
        <f ca="1">SUM('Monthly Prod'!E3:E7)</f>
        <v>0</v>
      </c>
      <c r="O148" s="282">
        <f ca="1">SUM('Monthly Prod'!F3:F7)</f>
        <v>0</v>
      </c>
      <c r="P148" s="282">
        <f ca="1">SUM('Monthly Prod'!H3:H7)</f>
        <v>0</v>
      </c>
      <c r="Q148" t="s">
        <v>142</v>
      </c>
      <c r="R148" s="327"/>
      <c r="S148" s="341">
        <v>4.8</v>
      </c>
      <c r="T148" s="342"/>
      <c r="U148" s="342"/>
      <c r="V148" s="343"/>
    </row>
    <row r="149" spans="1:24" ht="15" customHeight="1">
      <c r="A149" s="1201"/>
      <c r="B149" s="1194"/>
      <c r="C149" s="1194"/>
      <c r="D149" s="1194"/>
      <c r="E149" s="1195"/>
      <c r="F149" s="1196"/>
      <c r="G149" s="1196"/>
      <c r="H149" s="1204"/>
      <c r="I149" s="1347"/>
      <c r="R149" s="327"/>
      <c r="S149" s="318">
        <v>4</v>
      </c>
      <c r="T149" s="319">
        <f>U149</f>
        <v>0</v>
      </c>
      <c r="U149" s="319">
        <f>G147</f>
        <v>0</v>
      </c>
      <c r="V149" s="321" t="s">
        <v>119</v>
      </c>
    </row>
    <row r="150" spans="1:24" ht="15" customHeight="1">
      <c r="A150" s="1201"/>
      <c r="B150" s="1194"/>
      <c r="C150" s="1194"/>
      <c r="D150" s="1194"/>
      <c r="E150" s="1195"/>
      <c r="F150" s="1196"/>
      <c r="G150" s="1196"/>
      <c r="H150" s="1204"/>
      <c r="I150" s="1347"/>
      <c r="R150" s="327"/>
      <c r="S150" s="328"/>
      <c r="T150" s="329"/>
      <c r="U150" s="329"/>
      <c r="V150" s="324"/>
    </row>
    <row r="151" spans="1:24" ht="15" customHeight="1">
      <c r="A151" s="1201"/>
      <c r="B151" s="1194"/>
      <c r="C151" s="1194"/>
      <c r="D151" s="1194"/>
      <c r="E151" s="1195"/>
      <c r="F151" s="1196"/>
      <c r="G151" s="1196"/>
      <c r="H151" s="1196"/>
      <c r="I151" s="1194"/>
      <c r="R151" s="327"/>
      <c r="S151" s="318">
        <v>3</v>
      </c>
      <c r="T151" s="319">
        <f>U151</f>
        <v>0</v>
      </c>
      <c r="U151" s="319">
        <f>G146</f>
        <v>0</v>
      </c>
      <c r="V151" s="321" t="s">
        <v>119</v>
      </c>
    </row>
    <row r="152" spans="1:24" ht="15" customHeight="1">
      <c r="A152" s="1348"/>
      <c r="B152" s="1348"/>
      <c r="C152" s="1348"/>
      <c r="D152" s="1348"/>
      <c r="E152" s="1348"/>
      <c r="F152" s="1348"/>
      <c r="G152" s="1206"/>
      <c r="H152" s="1206"/>
      <c r="I152" s="1068"/>
      <c r="R152" s="327"/>
      <c r="S152" s="328"/>
      <c r="T152" s="329"/>
      <c r="U152" s="329"/>
      <c r="V152" s="324"/>
    </row>
    <row r="153" spans="1:24" ht="15" customHeight="1">
      <c r="A153" s="1349"/>
      <c r="B153" s="1349"/>
      <c r="C153" s="1349"/>
      <c r="D153" s="1349"/>
      <c r="E153" s="1350"/>
      <c r="F153" s="1351"/>
      <c r="G153" s="1352"/>
      <c r="H153" s="1350"/>
      <c r="I153" s="1349"/>
      <c r="R153" s="327"/>
      <c r="S153" s="236">
        <v>5</v>
      </c>
      <c r="T153" s="320">
        <f>U153</f>
        <v>0</v>
      </c>
      <c r="U153" s="320">
        <f>G148</f>
        <v>0</v>
      </c>
      <c r="V153" s="325" t="s">
        <v>119</v>
      </c>
    </row>
    <row r="154" spans="1:24" ht="15" customHeight="1">
      <c r="A154" s="1349"/>
      <c r="B154" s="1349"/>
      <c r="C154" s="1349"/>
      <c r="D154" s="1349"/>
      <c r="E154" s="1349"/>
      <c r="F154" s="1349"/>
      <c r="G154" s="1349"/>
      <c r="H154" s="1349"/>
      <c r="I154" s="1349"/>
      <c r="R154" s="327"/>
      <c r="S154" s="236">
        <v>4.8</v>
      </c>
      <c r="T154" s="320">
        <v>0</v>
      </c>
      <c r="U154" s="320">
        <v>0</v>
      </c>
      <c r="V154" s="325" t="s">
        <v>119</v>
      </c>
    </row>
    <row r="155" spans="1:24" ht="15" customHeight="1">
      <c r="A155" s="1210"/>
      <c r="B155" s="1210"/>
      <c r="C155" s="1210"/>
      <c r="D155" s="1210"/>
      <c r="E155" s="1210"/>
      <c r="F155" s="1210"/>
      <c r="G155" s="1211"/>
      <c r="H155" s="1212"/>
      <c r="I155" s="1213"/>
      <c r="R155" s="339"/>
      <c r="S155" s="236" t="s">
        <v>121</v>
      </c>
      <c r="T155" s="320">
        <v>0</v>
      </c>
      <c r="U155" s="320">
        <v>0</v>
      </c>
      <c r="V155" s="325" t="s">
        <v>119</v>
      </c>
      <c r="X155" s="1219"/>
    </row>
    <row r="156" spans="1:24" ht="15" customHeight="1">
      <c r="A156" s="171"/>
      <c r="B156" s="1194"/>
      <c r="C156" s="171"/>
      <c r="D156" s="1341"/>
      <c r="E156" s="1341"/>
      <c r="F156" s="1341"/>
      <c r="G156" s="1196"/>
      <c r="H156" s="1197"/>
      <c r="I156" s="1198"/>
      <c r="R156" s="339"/>
      <c r="S156" s="236">
        <v>5</v>
      </c>
      <c r="T156" s="320">
        <v>0</v>
      </c>
      <c r="U156" s="320">
        <v>0</v>
      </c>
      <c r="V156" s="325"/>
    </row>
    <row r="157" spans="1:24" ht="15" customHeight="1">
      <c r="A157" s="1342"/>
      <c r="B157" s="1342"/>
      <c r="C157" s="1342"/>
      <c r="D157" s="1342"/>
      <c r="E157" s="1342"/>
      <c r="F157" s="1342"/>
      <c r="G157" s="1342"/>
      <c r="H157" s="1197"/>
      <c r="I157" s="1198"/>
      <c r="R157" s="350"/>
      <c r="S157" s="211"/>
      <c r="T157" s="351">
        <f>SUM(T136:T156)</f>
        <v>0</v>
      </c>
      <c r="U157" s="351">
        <f>SUM(U136:U156)</f>
        <v>0</v>
      </c>
      <c r="V157" s="352"/>
    </row>
    <row r="158" spans="1:24" ht="25.5" customHeight="1">
      <c r="A158" s="1214"/>
      <c r="B158" s="1214"/>
      <c r="C158" s="1213"/>
      <c r="D158" s="1207"/>
      <c r="E158" s="1208"/>
      <c r="F158" s="1209"/>
      <c r="G158" s="1206"/>
      <c r="H158" s="1197"/>
      <c r="I158" s="1198"/>
      <c r="R158" s="350"/>
      <c r="S158" s="211"/>
      <c r="T158" s="211"/>
      <c r="U158" s="211"/>
      <c r="V158" s="352"/>
    </row>
    <row r="159" spans="1:24" ht="15" customHeight="1">
      <c r="A159" s="1206"/>
      <c r="B159" s="1206"/>
      <c r="C159" s="1211"/>
      <c r="D159" s="1211"/>
      <c r="E159" s="1215"/>
      <c r="F159" s="1211"/>
      <c r="G159" s="1211"/>
      <c r="H159" s="1216"/>
      <c r="I159" s="1198"/>
      <c r="R159" s="350"/>
      <c r="S159" s="211"/>
      <c r="T159" s="211"/>
      <c r="U159" s="211"/>
      <c r="V159" s="352"/>
    </row>
    <row r="160" spans="1:24" ht="15" customHeight="1">
      <c r="A160" s="1139"/>
      <c r="B160" s="1139"/>
      <c r="C160" s="1139"/>
      <c r="D160" s="1343"/>
      <c r="E160" s="1343"/>
      <c r="F160" s="1139"/>
      <c r="G160" s="1139"/>
      <c r="H160" s="1139"/>
      <c r="I160" s="1139"/>
      <c r="R160" s="350"/>
      <c r="S160" s="211"/>
      <c r="T160" s="211"/>
      <c r="U160" s="211"/>
      <c r="V160" s="352"/>
    </row>
    <row r="161" spans="1:22" ht="15.75" customHeight="1">
      <c r="A161" s="1330"/>
      <c r="B161" s="1330"/>
      <c r="C161" s="1330"/>
      <c r="D161" s="1330"/>
      <c r="E161" s="1330"/>
      <c r="F161" s="1330"/>
      <c r="G161" s="1330"/>
      <c r="H161" s="1330"/>
      <c r="I161" s="1330"/>
    </row>
    <row r="162" spans="1:22" ht="15" customHeight="1">
      <c r="A162" s="1331"/>
      <c r="B162" s="1331"/>
      <c r="C162" s="1331"/>
      <c r="D162" s="1331"/>
      <c r="E162" s="1331"/>
      <c r="F162" s="1331"/>
      <c r="G162" s="1331"/>
      <c r="H162" s="1331"/>
      <c r="I162" s="1331"/>
    </row>
    <row r="163" spans="1:22" ht="15" customHeight="1">
      <c r="A163" s="1054"/>
      <c r="B163" s="1055"/>
      <c r="C163" s="1056"/>
      <c r="D163" s="1056"/>
      <c r="E163" s="1057"/>
      <c r="F163" s="1058"/>
      <c r="G163" s="1058"/>
      <c r="H163" s="1059"/>
      <c r="I163" s="286"/>
    </row>
    <row r="164" spans="1:22" ht="15" customHeight="1">
      <c r="A164" s="1332"/>
      <c r="B164" s="1332"/>
      <c r="C164" s="1332"/>
      <c r="D164" s="1333"/>
      <c r="E164" s="1332"/>
      <c r="F164" s="1332"/>
      <c r="G164" s="1332"/>
      <c r="H164" s="1333"/>
      <c r="I164" s="1332"/>
    </row>
    <row r="165" spans="1:22" ht="38.25" customHeight="1">
      <c r="A165" s="1332"/>
      <c r="B165" s="1332"/>
      <c r="C165" s="1332"/>
      <c r="D165" s="1332"/>
      <c r="E165" s="1061"/>
      <c r="F165" s="1061"/>
      <c r="G165" s="1061"/>
      <c r="H165" s="1333"/>
      <c r="I165" s="1333"/>
    </row>
    <row r="166" spans="1:22" ht="15.75" customHeight="1" thickBot="1">
      <c r="A166" s="1062"/>
      <c r="B166" s="1055"/>
      <c r="C166" s="1060"/>
      <c r="D166" s="1063"/>
      <c r="E166" s="1063"/>
      <c r="F166" s="1064"/>
      <c r="G166" s="1058"/>
      <c r="H166" s="1065"/>
      <c r="I166" s="1332"/>
      <c r="K166" s="8" t="s">
        <v>14</v>
      </c>
      <c r="L166" s="16">
        <f>'Daily Stock'!Q112</f>
        <v>0</v>
      </c>
      <c r="R166" s="309" t="s">
        <v>172</v>
      </c>
      <c r="S166" s="310"/>
    </row>
    <row r="167" spans="1:22" ht="18.75" customHeight="1">
      <c r="A167" s="1062"/>
      <c r="B167" s="1055"/>
      <c r="C167" s="1060"/>
      <c r="D167" s="1055"/>
      <c r="E167" s="1063"/>
      <c r="F167" s="1064"/>
      <c r="G167" s="1058"/>
      <c r="H167" s="1065"/>
      <c r="I167" s="1332"/>
      <c r="K167" s="8" t="s">
        <v>112</v>
      </c>
      <c r="L167" s="16">
        <f>'Daily Stock'!Q113</f>
        <v>0</v>
      </c>
      <c r="R167" s="311" t="s">
        <v>100</v>
      </c>
      <c r="S167" s="312"/>
      <c r="T167" s="313" t="s">
        <v>9</v>
      </c>
      <c r="U167" s="313" t="s">
        <v>113</v>
      </c>
      <c r="V167" s="314" t="s">
        <v>114</v>
      </c>
    </row>
    <row r="168" spans="1:22" ht="15" customHeight="1">
      <c r="A168" s="1062"/>
      <c r="B168" s="1055"/>
      <c r="C168" s="1055"/>
      <c r="D168" s="1055"/>
      <c r="E168" s="1057"/>
      <c r="F168" s="1058"/>
      <c r="G168" s="1058"/>
      <c r="H168" s="1065"/>
      <c r="I168" s="1334"/>
      <c r="K168" s="22" t="s">
        <v>117</v>
      </c>
      <c r="L168" s="16">
        <f>'Daily Stock'!Q114</f>
        <v>0</v>
      </c>
      <c r="R168" s="317" t="s">
        <v>118</v>
      </c>
      <c r="S168" s="318">
        <v>6</v>
      </c>
      <c r="T168" s="319">
        <f>U168</f>
        <v>0</v>
      </c>
      <c r="U168" s="320">
        <f>H168</f>
        <v>0</v>
      </c>
      <c r="V168" s="321" t="s">
        <v>119</v>
      </c>
    </row>
    <row r="169" spans="1:22" ht="15" customHeight="1">
      <c r="A169" s="1062"/>
      <c r="B169" s="1055"/>
      <c r="C169" s="1055"/>
      <c r="D169" s="1055"/>
      <c r="E169" s="1057"/>
      <c r="F169" s="1058"/>
      <c r="G169" s="1058"/>
      <c r="H169" s="1065"/>
      <c r="I169" s="1334"/>
      <c r="K169" s="22" t="s">
        <v>17</v>
      </c>
      <c r="L169" s="16">
        <f>'Daily Stock'!Q115</f>
        <v>0</v>
      </c>
      <c r="R169" s="317"/>
      <c r="S169" s="322"/>
      <c r="T169" s="323"/>
      <c r="U169" s="320">
        <v>0</v>
      </c>
      <c r="V169" s="324"/>
    </row>
    <row r="170" spans="1:22" ht="15" customHeight="1">
      <c r="A170" s="1062"/>
      <c r="B170" s="1055"/>
      <c r="C170" s="1055"/>
      <c r="D170" s="1055"/>
      <c r="E170" s="1057"/>
      <c r="F170" s="1058"/>
      <c r="G170" s="1058"/>
      <c r="H170" s="1065"/>
      <c r="I170" s="1334"/>
      <c r="K170" s="22" t="s">
        <v>18</v>
      </c>
      <c r="L170" s="16">
        <f>'Daily Stock'!Q116</f>
        <v>0</v>
      </c>
      <c r="R170" s="317"/>
      <c r="S170" s="236" t="s">
        <v>121</v>
      </c>
      <c r="T170" s="320">
        <v>0</v>
      </c>
      <c r="U170" s="320">
        <v>0</v>
      </c>
      <c r="V170" s="325"/>
    </row>
    <row r="171" spans="1:22" ht="15" customHeight="1">
      <c r="A171" s="1062"/>
      <c r="B171" s="1055"/>
      <c r="C171" s="1055"/>
      <c r="D171" s="1055"/>
      <c r="E171" s="1057"/>
      <c r="F171" s="1058"/>
      <c r="G171" s="1058"/>
      <c r="H171" s="1065"/>
      <c r="I171" s="1335"/>
      <c r="K171" s="22" t="s">
        <v>19</v>
      </c>
      <c r="L171" s="16">
        <f>'Daily Stock'!Q117</f>
        <v>0</v>
      </c>
      <c r="R171" s="326" t="s">
        <v>123</v>
      </c>
      <c r="S171" s="318">
        <v>6</v>
      </c>
      <c r="T171" s="319">
        <f>U171</f>
        <v>0</v>
      </c>
      <c r="U171" s="319">
        <f>H172</f>
        <v>0</v>
      </c>
      <c r="V171" s="321" t="s">
        <v>119</v>
      </c>
    </row>
    <row r="172" spans="1:22" ht="15" customHeight="1">
      <c r="A172" s="1062"/>
      <c r="B172" s="1055"/>
      <c r="C172" s="1055"/>
      <c r="D172" s="1055"/>
      <c r="E172" s="1057"/>
      <c r="F172" s="1058"/>
      <c r="G172" s="1058"/>
      <c r="H172" s="1065"/>
      <c r="I172" s="1335"/>
      <c r="K172" s="22" t="s">
        <v>20</v>
      </c>
      <c r="L172" s="16">
        <f>'Daily Stock'!Q118</f>
        <v>0</v>
      </c>
      <c r="R172" s="327"/>
      <c r="S172" s="328"/>
      <c r="T172" s="329"/>
      <c r="U172" s="329"/>
      <c r="V172" s="324"/>
    </row>
    <row r="173" spans="1:22" ht="15" customHeight="1">
      <c r="A173" s="1062"/>
      <c r="B173" s="1055"/>
      <c r="C173" s="1055"/>
      <c r="D173" s="1055"/>
      <c r="E173" s="1057"/>
      <c r="F173" s="1058"/>
      <c r="G173" s="1058"/>
      <c r="H173" s="1065"/>
      <c r="I173" s="1335"/>
      <c r="K173" s="22" t="s">
        <v>124</v>
      </c>
      <c r="L173" s="16">
        <f>'Daily Stock'!Q119</f>
        <v>0</v>
      </c>
      <c r="R173" s="327"/>
      <c r="S173" s="318">
        <v>4</v>
      </c>
      <c r="T173" s="319">
        <f>U173</f>
        <v>0</v>
      </c>
      <c r="U173" s="319">
        <f>G174</f>
        <v>0</v>
      </c>
      <c r="V173" s="321" t="s">
        <v>119</v>
      </c>
    </row>
    <row r="174" spans="1:22" ht="15" customHeight="1">
      <c r="A174" s="1062"/>
      <c r="B174" s="1055"/>
      <c r="C174" s="1055"/>
      <c r="D174" s="1055"/>
      <c r="E174" s="1057"/>
      <c r="F174" s="1058"/>
      <c r="G174" s="1058"/>
      <c r="H174" s="1065"/>
      <c r="I174" s="1335"/>
      <c r="K174" s="22" t="s">
        <v>22</v>
      </c>
      <c r="L174" s="16">
        <f>'Daily Stock'!Q120</f>
        <v>0</v>
      </c>
      <c r="R174" s="327"/>
      <c r="S174" s="328"/>
      <c r="T174" s="329"/>
      <c r="U174" s="329"/>
      <c r="V174" s="324"/>
    </row>
    <row r="175" spans="1:22" ht="15" customHeight="1">
      <c r="A175" s="1062"/>
      <c r="B175" s="1055"/>
      <c r="C175" s="1055"/>
      <c r="D175" s="1055"/>
      <c r="E175" s="1057"/>
      <c r="F175" s="1058"/>
      <c r="G175" s="1058"/>
      <c r="H175" s="1065"/>
      <c r="I175" s="1335"/>
      <c r="K175" s="22" t="s">
        <v>23</v>
      </c>
      <c r="L175" s="16">
        <f>'Daily Stock'!Q121</f>
        <v>0</v>
      </c>
      <c r="R175" s="327"/>
      <c r="S175" s="318">
        <v>3</v>
      </c>
      <c r="T175" s="319">
        <f>U175</f>
        <v>0</v>
      </c>
      <c r="U175" s="319">
        <f>G171</f>
        <v>0</v>
      </c>
      <c r="V175" s="321" t="s">
        <v>119</v>
      </c>
    </row>
    <row r="176" spans="1:22" ht="15.75" customHeight="1">
      <c r="A176" s="1062"/>
      <c r="B176" s="1055"/>
      <c r="C176" s="1055"/>
      <c r="D176" s="1055"/>
      <c r="E176" s="1057"/>
      <c r="F176" s="1058"/>
      <c r="G176" s="1058"/>
      <c r="H176" s="1065"/>
      <c r="I176" s="1066"/>
      <c r="K176" s="25" t="s">
        <v>24</v>
      </c>
      <c r="L176" s="16">
        <f>'Daily Stock'!Q122</f>
        <v>0</v>
      </c>
      <c r="R176" s="327"/>
      <c r="S176" s="328"/>
      <c r="T176" s="329"/>
      <c r="U176" s="329"/>
      <c r="V176" s="324"/>
    </row>
    <row r="177" spans="1:22" ht="15" customHeight="1">
      <c r="A177" s="1062"/>
      <c r="B177" s="1055"/>
      <c r="C177" s="1055"/>
      <c r="D177" s="1055"/>
      <c r="E177" s="1057"/>
      <c r="F177" s="1058"/>
      <c r="G177" s="1058"/>
      <c r="H177" s="1065"/>
      <c r="I177" s="1066"/>
      <c r="R177" s="327"/>
      <c r="S177" s="318">
        <v>5</v>
      </c>
      <c r="T177" s="319">
        <f>U177</f>
        <v>0</v>
      </c>
      <c r="U177" s="319">
        <f>G173</f>
        <v>0</v>
      </c>
      <c r="V177" s="321" t="s">
        <v>119</v>
      </c>
    </row>
    <row r="178" spans="1:22" ht="15" customHeight="1">
      <c r="A178" s="1062"/>
      <c r="B178" s="1055"/>
      <c r="C178" s="1055"/>
      <c r="D178" s="1055"/>
      <c r="E178" s="1057"/>
      <c r="F178" s="1058"/>
      <c r="G178" s="1058"/>
      <c r="H178" s="401"/>
      <c r="I178" s="1336"/>
      <c r="K178" s="338">
        <f>'Monthly Prod'!B8</f>
        <v>0</v>
      </c>
      <c r="L178" s="338">
        <f>'Monthly Prod'!C8</f>
        <v>0</v>
      </c>
      <c r="M178" s="338">
        <f>'Monthly Prod'!D8</f>
        <v>0</v>
      </c>
      <c r="N178" s="338">
        <f>'Monthly Prod'!E8</f>
        <v>0</v>
      </c>
      <c r="O178" s="338">
        <f>'Monthly Prod'!F8</f>
        <v>0</v>
      </c>
      <c r="P178" s="338">
        <f>'Monthly Prod'!H8</f>
        <v>0</v>
      </c>
      <c r="Q178" t="s">
        <v>134</v>
      </c>
      <c r="R178" s="339"/>
      <c r="S178" s="340" t="s">
        <v>121</v>
      </c>
      <c r="T178" s="319">
        <f>U178</f>
        <v>0</v>
      </c>
      <c r="U178" s="319">
        <f>G175</f>
        <v>0</v>
      </c>
      <c r="V178" s="321" t="s">
        <v>119</v>
      </c>
    </row>
    <row r="179" spans="1:22" ht="15" customHeight="1">
      <c r="A179" s="1062"/>
      <c r="B179" s="1055"/>
      <c r="C179" s="1055"/>
      <c r="D179" s="1055"/>
      <c r="E179" s="1057"/>
      <c r="F179" s="1058"/>
      <c r="G179" s="1058"/>
      <c r="H179" s="1065"/>
      <c r="I179" s="1336"/>
      <c r="K179" s="286" t="s">
        <v>136</v>
      </c>
      <c r="L179" s="286" t="s">
        <v>137</v>
      </c>
      <c r="M179" s="277" t="s">
        <v>4</v>
      </c>
      <c r="N179" s="277" t="s">
        <v>138</v>
      </c>
      <c r="O179" s="286" t="s">
        <v>139</v>
      </c>
      <c r="P179" s="286" t="s">
        <v>140</v>
      </c>
      <c r="R179" s="326" t="s">
        <v>141</v>
      </c>
      <c r="S179" s="236">
        <v>6</v>
      </c>
      <c r="T179" s="320">
        <v>0</v>
      </c>
      <c r="U179" s="320">
        <v>0</v>
      </c>
      <c r="V179" s="325"/>
    </row>
    <row r="180" spans="1:22" ht="15" customHeight="1">
      <c r="A180" s="1062"/>
      <c r="B180" s="1055"/>
      <c r="C180" s="1055"/>
      <c r="D180" s="1055"/>
      <c r="E180" s="1057"/>
      <c r="F180" s="1058"/>
      <c r="G180" s="1058"/>
      <c r="H180" s="1065"/>
      <c r="I180" s="1336"/>
      <c r="K180" s="282">
        <f ca="1">SUM('Monthly Prod'!B3:B8)</f>
        <v>0</v>
      </c>
      <c r="L180" s="282">
        <f ca="1">SUM('Monthly Prod'!C3:C8)</f>
        <v>0</v>
      </c>
      <c r="M180" s="282">
        <f ca="1">SUM('Monthly Prod'!D3:D8)</f>
        <v>0</v>
      </c>
      <c r="N180" s="282">
        <f ca="1">SUM('Monthly Prod'!E3:E8)</f>
        <v>0</v>
      </c>
      <c r="O180" s="282">
        <f ca="1">SUM('Monthly Prod'!F3:F8)</f>
        <v>0</v>
      </c>
      <c r="P180" s="282">
        <f ca="1">SUM('Monthly Prod'!H3:H8)</f>
        <v>0</v>
      </c>
      <c r="Q180" t="s">
        <v>142</v>
      </c>
      <c r="R180" s="327"/>
      <c r="S180" s="341">
        <v>4.8</v>
      </c>
      <c r="T180" s="342"/>
      <c r="U180" s="342"/>
      <c r="V180" s="343"/>
    </row>
    <row r="181" spans="1:22" ht="15" customHeight="1">
      <c r="A181" s="1062"/>
      <c r="B181" s="1055"/>
      <c r="C181" s="1055"/>
      <c r="D181" s="1055"/>
      <c r="E181" s="1057"/>
      <c r="F181" s="1058"/>
      <c r="G181" s="1058"/>
      <c r="H181" s="1065"/>
      <c r="I181" s="1336"/>
      <c r="R181" s="327"/>
      <c r="S181" s="318">
        <v>4</v>
      </c>
      <c r="T181" s="319">
        <f>U181</f>
        <v>0</v>
      </c>
      <c r="U181" s="319">
        <f>G179</f>
        <v>0</v>
      </c>
      <c r="V181" s="321" t="s">
        <v>119</v>
      </c>
    </row>
    <row r="182" spans="1:22" ht="15" customHeight="1">
      <c r="A182" s="1062"/>
      <c r="B182" s="1055"/>
      <c r="C182" s="1055"/>
      <c r="D182" s="1055"/>
      <c r="E182" s="1057"/>
      <c r="F182" s="1058"/>
      <c r="G182" s="1058"/>
      <c r="H182" s="1065"/>
      <c r="I182" s="1336"/>
      <c r="R182" s="327"/>
      <c r="S182" s="328"/>
      <c r="T182" s="329"/>
      <c r="U182" s="329"/>
      <c r="V182" s="324"/>
    </row>
    <row r="183" spans="1:22" ht="15" customHeight="1">
      <c r="A183" s="1062"/>
      <c r="B183" s="1055"/>
      <c r="C183" s="1055"/>
      <c r="D183" s="1055"/>
      <c r="E183" s="1057"/>
      <c r="F183" s="1058"/>
      <c r="G183" s="1058"/>
      <c r="H183" s="1055"/>
      <c r="I183" s="1055"/>
      <c r="R183" s="327"/>
      <c r="S183" s="318">
        <v>3</v>
      </c>
      <c r="T183" s="319">
        <f>U183</f>
        <v>0</v>
      </c>
      <c r="U183" s="319">
        <f>G178</f>
        <v>0</v>
      </c>
      <c r="V183" s="321" t="s">
        <v>119</v>
      </c>
    </row>
    <row r="184" spans="1:22" ht="15" customHeight="1">
      <c r="A184" s="1337"/>
      <c r="B184" s="1337"/>
      <c r="C184" s="1337"/>
      <c r="D184" s="1337"/>
      <c r="E184" s="1337"/>
      <c r="F184" s="1337"/>
      <c r="G184" s="1067"/>
      <c r="H184" s="1067"/>
      <c r="I184" s="1068"/>
      <c r="R184" s="327"/>
      <c r="S184" s="328"/>
      <c r="T184" s="329"/>
      <c r="U184" s="329"/>
      <c r="V184" s="324"/>
    </row>
    <row r="185" spans="1:22" ht="15" customHeight="1">
      <c r="A185" s="1320"/>
      <c r="B185" s="1320"/>
      <c r="C185" s="1320"/>
      <c r="D185" s="1320"/>
      <c r="E185" s="1321"/>
      <c r="F185" s="1322"/>
      <c r="G185" s="1323"/>
      <c r="H185" s="1321"/>
      <c r="I185" s="1320"/>
      <c r="R185" s="327"/>
      <c r="S185" s="236">
        <v>5</v>
      </c>
      <c r="T185" s="320">
        <f>U185</f>
        <v>0</v>
      </c>
      <c r="U185" s="320">
        <f>G180</f>
        <v>0</v>
      </c>
      <c r="V185" s="325" t="s">
        <v>119</v>
      </c>
    </row>
    <row r="186" spans="1:22" ht="15" customHeight="1">
      <c r="A186" s="1320"/>
      <c r="B186" s="1320"/>
      <c r="C186" s="1320"/>
      <c r="D186" s="1320"/>
      <c r="E186" s="1320"/>
      <c r="F186" s="1320"/>
      <c r="G186" s="1320"/>
      <c r="H186" s="1320"/>
      <c r="I186" s="1320"/>
      <c r="R186" s="327"/>
      <c r="S186" s="236">
        <v>4.8</v>
      </c>
      <c r="T186" s="320">
        <v>0</v>
      </c>
      <c r="U186" s="320">
        <v>0</v>
      </c>
      <c r="V186" s="325" t="s">
        <v>119</v>
      </c>
    </row>
    <row r="187" spans="1:22" ht="15" customHeight="1">
      <c r="A187" s="1072"/>
      <c r="B187" s="1072"/>
      <c r="C187" s="1072"/>
      <c r="D187" s="1072"/>
      <c r="E187" s="1072"/>
      <c r="F187" s="1072"/>
      <c r="G187" s="1073"/>
      <c r="H187" s="1074"/>
      <c r="I187" s="1075"/>
      <c r="R187" s="339"/>
      <c r="S187" s="236" t="s">
        <v>121</v>
      </c>
      <c r="T187" s="320">
        <v>0</v>
      </c>
      <c r="U187" s="320">
        <v>0</v>
      </c>
      <c r="V187" s="325" t="s">
        <v>119</v>
      </c>
    </row>
    <row r="188" spans="1:22" ht="15" customHeight="1">
      <c r="A188" s="1056"/>
      <c r="B188" s="1055"/>
      <c r="C188" s="1056"/>
      <c r="D188" s="1325"/>
      <c r="E188" s="1325"/>
      <c r="F188" s="1325"/>
      <c r="G188" s="1058"/>
      <c r="H188" s="1059"/>
      <c r="I188" s="286"/>
      <c r="R188" s="339"/>
      <c r="S188" s="236">
        <v>5</v>
      </c>
      <c r="T188" s="320">
        <v>0</v>
      </c>
      <c r="U188" s="320">
        <v>0</v>
      </c>
      <c r="V188" s="325"/>
    </row>
    <row r="189" spans="1:22" ht="15" customHeight="1">
      <c r="A189" s="1326"/>
      <c r="B189" s="1326"/>
      <c r="C189" s="1326"/>
      <c r="D189" s="1326"/>
      <c r="E189" s="1326"/>
      <c r="F189" s="1326"/>
      <c r="G189" s="1326"/>
      <c r="H189" s="1059"/>
      <c r="I189" s="286"/>
      <c r="R189" s="350"/>
      <c r="S189" s="211"/>
      <c r="T189" s="351">
        <f>SUM(T168:T188)</f>
        <v>0</v>
      </c>
      <c r="U189" s="351">
        <f>SUM(U168:U188)</f>
        <v>0</v>
      </c>
      <c r="V189" s="352"/>
    </row>
    <row r="190" spans="1:22" ht="25.5" customHeight="1">
      <c r="A190" s="1076"/>
      <c r="B190" s="1076"/>
      <c r="C190" s="1075"/>
      <c r="D190" s="1069"/>
      <c r="E190" s="1070"/>
      <c r="F190" s="1071"/>
      <c r="G190" s="1067"/>
      <c r="H190" s="1059"/>
      <c r="I190" s="286"/>
      <c r="R190" s="350"/>
      <c r="S190" s="211"/>
      <c r="T190" s="211"/>
      <c r="U190" s="211"/>
      <c r="V190" s="352"/>
    </row>
    <row r="191" spans="1:22" ht="15" customHeight="1">
      <c r="A191" s="1067"/>
      <c r="B191" s="1067"/>
      <c r="C191" s="1073"/>
      <c r="D191" s="1073"/>
      <c r="E191" s="1077"/>
      <c r="F191" s="1073"/>
      <c r="G191" s="1073"/>
      <c r="H191" s="1078"/>
      <c r="I191" s="286"/>
      <c r="R191" s="350"/>
      <c r="S191" s="211"/>
      <c r="T191" s="211"/>
      <c r="U191" s="211"/>
      <c r="V191" s="352"/>
    </row>
    <row r="192" spans="1:22" ht="15" customHeight="1">
      <c r="D192" s="1327"/>
      <c r="E192" s="1327"/>
      <c r="R192" s="350"/>
      <c r="S192" s="211"/>
      <c r="T192" s="211"/>
      <c r="U192" s="211"/>
      <c r="V192" s="352"/>
    </row>
    <row r="193" spans="1:27" ht="15.75" customHeight="1">
      <c r="A193" s="1330"/>
      <c r="B193" s="1330"/>
      <c r="C193" s="1330"/>
      <c r="D193" s="1330"/>
      <c r="E193" s="1330"/>
      <c r="F193" s="1330"/>
      <c r="G193" s="1330"/>
      <c r="H193" s="1330"/>
      <c r="I193" s="1330"/>
    </row>
    <row r="194" spans="1:27" ht="15" customHeight="1">
      <c r="A194" s="1331"/>
      <c r="B194" s="1331"/>
      <c r="C194" s="1331"/>
      <c r="D194" s="1331"/>
      <c r="E194" s="1331"/>
      <c r="F194" s="1331"/>
      <c r="G194" s="1331"/>
      <c r="H194" s="1331"/>
      <c r="I194" s="1331"/>
    </row>
    <row r="195" spans="1:27" ht="15" customHeight="1">
      <c r="A195" s="1054"/>
      <c r="B195" s="1055"/>
      <c r="C195" s="1056"/>
      <c r="D195" s="1056"/>
      <c r="E195" s="1057"/>
      <c r="F195" s="1058"/>
      <c r="G195" s="1058"/>
      <c r="H195" s="1059"/>
      <c r="I195" s="286"/>
    </row>
    <row r="196" spans="1:27" ht="15" customHeight="1">
      <c r="A196" s="1332"/>
      <c r="B196" s="1332"/>
      <c r="C196" s="1332"/>
      <c r="D196" s="1333"/>
      <c r="E196" s="1332"/>
      <c r="F196" s="1332"/>
      <c r="G196" s="1332"/>
      <c r="H196" s="1333"/>
      <c r="I196" s="1332"/>
    </row>
    <row r="197" spans="1:27" ht="38.25" customHeight="1">
      <c r="A197" s="1332"/>
      <c r="B197" s="1332"/>
      <c r="C197" s="1332"/>
      <c r="D197" s="1332"/>
      <c r="E197" s="1061"/>
      <c r="F197" s="1061"/>
      <c r="G197" s="1061"/>
      <c r="H197" s="1333"/>
      <c r="I197" s="1333"/>
    </row>
    <row r="198" spans="1:27" ht="15.75" customHeight="1">
      <c r="A198" s="1062"/>
      <c r="B198" s="1055"/>
      <c r="C198" s="1060"/>
      <c r="D198" s="1063"/>
      <c r="E198" s="1063"/>
      <c r="F198" s="1064"/>
      <c r="G198" s="1058"/>
      <c r="H198" s="1065"/>
      <c r="I198" s="1332"/>
      <c r="K198" s="8" t="s">
        <v>14</v>
      </c>
      <c r="L198" s="16">
        <f>'Daily Stock'!Q130</f>
        <v>0</v>
      </c>
      <c r="R198" s="309" t="s">
        <v>173</v>
      </c>
      <c r="S198" s="310"/>
    </row>
    <row r="199" spans="1:27" ht="18.75" customHeight="1">
      <c r="A199" s="1062"/>
      <c r="B199" s="1055"/>
      <c r="C199" s="1060"/>
      <c r="D199" s="1055"/>
      <c r="E199" s="1063"/>
      <c r="F199" s="1064"/>
      <c r="G199" s="1058"/>
      <c r="H199" s="1065"/>
      <c r="I199" s="1332"/>
      <c r="K199" s="8" t="s">
        <v>112</v>
      </c>
      <c r="L199" s="16">
        <f>'Daily Stock'!Q131</f>
        <v>0</v>
      </c>
      <c r="R199" s="311" t="s">
        <v>100</v>
      </c>
      <c r="S199" s="312"/>
      <c r="T199" s="313" t="s">
        <v>9</v>
      </c>
      <c r="U199" s="313" t="s">
        <v>113</v>
      </c>
      <c r="V199" s="314" t="s">
        <v>114</v>
      </c>
    </row>
    <row r="200" spans="1:27" ht="15" customHeight="1">
      <c r="A200" s="1062"/>
      <c r="B200" s="1055"/>
      <c r="C200" s="1055"/>
      <c r="D200" s="1055"/>
      <c r="E200" s="1057"/>
      <c r="F200" s="1058"/>
      <c r="G200" s="1058"/>
      <c r="H200" s="1065"/>
      <c r="I200" s="1334"/>
      <c r="K200" s="22" t="s">
        <v>117</v>
      </c>
      <c r="L200" s="16">
        <f>'Daily Stock'!Q132</f>
        <v>0</v>
      </c>
      <c r="R200" s="317" t="s">
        <v>118</v>
      </c>
      <c r="S200" s="318">
        <v>6</v>
      </c>
      <c r="T200" s="319">
        <f>U200</f>
        <v>0</v>
      </c>
      <c r="U200" s="320">
        <f>H200</f>
        <v>0</v>
      </c>
      <c r="V200" s="321" t="s">
        <v>119</v>
      </c>
    </row>
    <row r="201" spans="1:27" ht="15" customHeight="1">
      <c r="A201" s="1062"/>
      <c r="B201" s="1055"/>
      <c r="C201" s="1055"/>
      <c r="D201" s="1055"/>
      <c r="E201" s="1057"/>
      <c r="F201" s="1058"/>
      <c r="G201" s="1058"/>
      <c r="H201" s="1065"/>
      <c r="I201" s="1334"/>
      <c r="K201" s="22" t="s">
        <v>17</v>
      </c>
      <c r="L201" s="16">
        <f>'Daily Stock'!Q133</f>
        <v>0</v>
      </c>
      <c r="R201" s="317"/>
      <c r="S201" s="322"/>
      <c r="T201" s="323"/>
      <c r="U201" s="320">
        <v>0</v>
      </c>
      <c r="V201" s="324"/>
    </row>
    <row r="202" spans="1:27" ht="15" customHeight="1">
      <c r="A202" s="1062"/>
      <c r="B202" s="1055"/>
      <c r="C202" s="1055"/>
      <c r="D202" s="1055"/>
      <c r="E202" s="1057"/>
      <c r="F202" s="1058"/>
      <c r="G202" s="1058"/>
      <c r="H202" s="1065"/>
      <c r="I202" s="1334"/>
      <c r="K202" s="22" t="s">
        <v>18</v>
      </c>
      <c r="L202" s="16">
        <f>'Daily Stock'!Q134</f>
        <v>0</v>
      </c>
      <c r="R202" s="317"/>
      <c r="S202" s="236" t="s">
        <v>121</v>
      </c>
      <c r="T202" s="320">
        <v>0</v>
      </c>
      <c r="U202" s="320">
        <v>0</v>
      </c>
      <c r="V202" s="325"/>
    </row>
    <row r="203" spans="1:27" ht="15" customHeight="1">
      <c r="A203" s="1062"/>
      <c r="B203" s="1055"/>
      <c r="C203" s="1055"/>
      <c r="D203" s="1055"/>
      <c r="E203" s="1057"/>
      <c r="F203" s="1058"/>
      <c r="G203" s="1058"/>
      <c r="H203" s="1065"/>
      <c r="I203" s="1335"/>
      <c r="K203" s="22" t="s">
        <v>19</v>
      </c>
      <c r="L203" s="16">
        <f>'Daily Stock'!Q135</f>
        <v>0</v>
      </c>
      <c r="R203" s="326" t="s">
        <v>123</v>
      </c>
      <c r="S203" s="318">
        <v>6</v>
      </c>
      <c r="T203" s="319">
        <f>U203</f>
        <v>0</v>
      </c>
      <c r="U203" s="319">
        <f>H204</f>
        <v>0</v>
      </c>
      <c r="V203" s="321" t="s">
        <v>119</v>
      </c>
    </row>
    <row r="204" spans="1:27" ht="15" customHeight="1">
      <c r="A204" s="1062"/>
      <c r="B204" s="1055"/>
      <c r="C204" s="1055"/>
      <c r="D204" s="1055"/>
      <c r="E204" s="1057"/>
      <c r="F204" s="1058"/>
      <c r="G204" s="1058"/>
      <c r="H204" s="1065"/>
      <c r="I204" s="1335"/>
      <c r="K204" s="22" t="s">
        <v>20</v>
      </c>
      <c r="L204" s="16">
        <f>'Daily Stock'!Q136</f>
        <v>0</v>
      </c>
      <c r="R204" s="327"/>
      <c r="S204" s="328"/>
      <c r="T204" s="329"/>
      <c r="U204" s="329"/>
      <c r="V204" s="324"/>
    </row>
    <row r="205" spans="1:27" ht="15.75" customHeight="1">
      <c r="A205" s="1062"/>
      <c r="B205" s="1055"/>
      <c r="C205" s="1055"/>
      <c r="D205" s="1055"/>
      <c r="E205" s="1057"/>
      <c r="F205" s="1058"/>
      <c r="G205" s="1058"/>
      <c r="H205" s="1065"/>
      <c r="I205" s="1335"/>
      <c r="K205" s="22" t="s">
        <v>124</v>
      </c>
      <c r="L205" s="16">
        <f>'Daily Stock'!Q137</f>
        <v>0</v>
      </c>
      <c r="R205" s="327"/>
      <c r="S205" s="318">
        <v>4</v>
      </c>
      <c r="T205" s="319">
        <f>U205</f>
        <v>0</v>
      </c>
      <c r="U205" s="319">
        <f>G206</f>
        <v>0</v>
      </c>
      <c r="V205" s="321" t="s">
        <v>119</v>
      </c>
      <c r="X205" s="1304" t="str">
        <f>R198</f>
        <v>As on 07.10.2026</v>
      </c>
      <c r="Y205" s="1304"/>
      <c r="Z205" s="1304"/>
      <c r="AA205" s="1304"/>
    </row>
    <row r="206" spans="1:27" ht="15" customHeight="1">
      <c r="A206" s="1062"/>
      <c r="B206" s="1055"/>
      <c r="C206" s="1055"/>
      <c r="D206" s="1055"/>
      <c r="E206" s="1057"/>
      <c r="F206" s="1058"/>
      <c r="G206" s="1058"/>
      <c r="H206" s="1065"/>
      <c r="I206" s="1335"/>
      <c r="K206" s="22" t="s">
        <v>22</v>
      </c>
      <c r="L206" s="16">
        <f>'Daily Stock'!Q138</f>
        <v>0</v>
      </c>
      <c r="R206" s="327"/>
      <c r="S206" s="328"/>
      <c r="T206" s="329"/>
      <c r="U206" s="329"/>
      <c r="V206" s="324"/>
      <c r="X206" s="363"/>
      <c r="Y206" s="364" t="s">
        <v>126</v>
      </c>
      <c r="Z206" s="364" t="s">
        <v>127</v>
      </c>
      <c r="AA206" s="365" t="s">
        <v>128</v>
      </c>
    </row>
    <row r="207" spans="1:27" ht="15" customHeight="1">
      <c r="A207" s="1062"/>
      <c r="B207" s="1055"/>
      <c r="C207" s="1055"/>
      <c r="D207" s="1055"/>
      <c r="E207" s="1057"/>
      <c r="F207" s="1058"/>
      <c r="G207" s="1058"/>
      <c r="H207" s="1065"/>
      <c r="I207" s="1335"/>
      <c r="K207" s="22" t="s">
        <v>23</v>
      </c>
      <c r="L207" s="16">
        <f>'Daily Stock'!Q139</f>
        <v>0</v>
      </c>
      <c r="R207" s="327"/>
      <c r="S207" s="318">
        <v>3</v>
      </c>
      <c r="T207" s="319">
        <f>U207</f>
        <v>0</v>
      </c>
      <c r="U207" s="319">
        <f>G203</f>
        <v>0</v>
      </c>
      <c r="V207" s="321" t="s">
        <v>119</v>
      </c>
      <c r="X207" s="366" t="s">
        <v>129</v>
      </c>
      <c r="Y207" s="367">
        <f>I200</f>
        <v>0</v>
      </c>
      <c r="Z207" s="367">
        <f>I203</f>
        <v>0</v>
      </c>
      <c r="AA207" s="368">
        <f>I210</f>
        <v>0</v>
      </c>
    </row>
    <row r="208" spans="1:27" ht="15.75" customHeight="1">
      <c r="A208" s="1062"/>
      <c r="B208" s="1055"/>
      <c r="C208" s="1055"/>
      <c r="D208" s="1055"/>
      <c r="E208" s="1057"/>
      <c r="F208" s="1058"/>
      <c r="G208" s="1058"/>
      <c r="H208" s="1065"/>
      <c r="I208" s="1066"/>
      <c r="K208" s="25" t="s">
        <v>24</v>
      </c>
      <c r="L208" s="16">
        <f>'Daily Stock'!Q140</f>
        <v>0</v>
      </c>
      <c r="R208" s="327"/>
      <c r="S208" s="328"/>
      <c r="T208" s="329"/>
      <c r="U208" s="329"/>
      <c r="V208" s="324"/>
      <c r="X208" s="366" t="s">
        <v>132</v>
      </c>
      <c r="Y208" s="206"/>
      <c r="Z208" s="367">
        <f>G213+G209</f>
        <v>0</v>
      </c>
      <c r="AA208" s="368">
        <f>G215+G214</f>
        <v>0</v>
      </c>
    </row>
    <row r="209" spans="1:27" ht="15" customHeight="1">
      <c r="A209" s="1062"/>
      <c r="B209" s="1055"/>
      <c r="C209" s="1055"/>
      <c r="D209" s="1055"/>
      <c r="E209" s="1057"/>
      <c r="F209" s="1058"/>
      <c r="G209" s="1058"/>
      <c r="H209" s="1065"/>
      <c r="I209" s="1066"/>
      <c r="R209" s="327"/>
      <c r="S209" s="318">
        <v>5</v>
      </c>
      <c r="T209" s="319">
        <f>U209</f>
        <v>0</v>
      </c>
      <c r="U209" s="319">
        <f>G205</f>
        <v>0</v>
      </c>
      <c r="V209" s="321" t="s">
        <v>119</v>
      </c>
      <c r="X209" s="366"/>
      <c r="Y209" s="206"/>
      <c r="Z209" s="206"/>
      <c r="AA209" s="368"/>
    </row>
    <row r="210" spans="1:27" ht="15" customHeight="1">
      <c r="A210" s="1062"/>
      <c r="B210" s="1055"/>
      <c r="C210" s="1055"/>
      <c r="D210" s="1055"/>
      <c r="E210" s="1057"/>
      <c r="F210" s="1058"/>
      <c r="G210" s="1058"/>
      <c r="H210" s="401"/>
      <c r="I210" s="1336"/>
      <c r="K210" s="338">
        <f>'Monthly Prod'!B9</f>
        <v>0</v>
      </c>
      <c r="L210" s="338">
        <f>'Monthly Prod'!C9</f>
        <v>0</v>
      </c>
      <c r="M210" s="338">
        <f>'Monthly Prod'!D9</f>
        <v>0</v>
      </c>
      <c r="N210" s="338">
        <f>'Monthly Prod'!E9</f>
        <v>0</v>
      </c>
      <c r="O210" s="338">
        <f>'Monthly Prod'!F9</f>
        <v>0</v>
      </c>
      <c r="P210" s="338">
        <f>'Monthly Prod'!H9</f>
        <v>0</v>
      </c>
      <c r="Q210" t="s">
        <v>134</v>
      </c>
      <c r="R210" s="339"/>
      <c r="S210" s="340" t="s">
        <v>121</v>
      </c>
      <c r="T210" s="319">
        <f>U210</f>
        <v>0</v>
      </c>
      <c r="U210" s="319">
        <f>G207</f>
        <v>0</v>
      </c>
      <c r="V210" s="321" t="s">
        <v>119</v>
      </c>
      <c r="X210" s="366"/>
      <c r="Y210" s="206"/>
      <c r="Z210" s="206"/>
      <c r="AA210" s="369"/>
    </row>
    <row r="211" spans="1:27" ht="15" customHeight="1">
      <c r="A211" s="1062"/>
      <c r="B211" s="1055"/>
      <c r="C211" s="1055"/>
      <c r="D211" s="1055"/>
      <c r="E211" s="1057"/>
      <c r="F211" s="1058"/>
      <c r="G211" s="1058"/>
      <c r="H211" s="1065"/>
      <c r="I211" s="1336"/>
      <c r="K211" s="286" t="s">
        <v>136</v>
      </c>
      <c r="L211" s="286" t="s">
        <v>137</v>
      </c>
      <c r="M211" s="277" t="s">
        <v>4</v>
      </c>
      <c r="N211" s="277" t="s">
        <v>138</v>
      </c>
      <c r="O211" s="286" t="s">
        <v>139</v>
      </c>
      <c r="P211" s="286" t="s">
        <v>140</v>
      </c>
      <c r="R211" s="326" t="s">
        <v>141</v>
      </c>
      <c r="S211" s="236">
        <v>6</v>
      </c>
      <c r="T211" s="320">
        <v>0</v>
      </c>
      <c r="U211" s="320">
        <v>0</v>
      </c>
      <c r="V211" s="325"/>
      <c r="X211" s="370"/>
      <c r="Y211" s="371"/>
      <c r="Z211" s="371" t="s">
        <v>127</v>
      </c>
      <c r="AA211" s="372" t="s">
        <v>128</v>
      </c>
    </row>
    <row r="212" spans="1:27" ht="15" customHeight="1">
      <c r="A212" s="1062"/>
      <c r="B212" s="1055"/>
      <c r="C212" s="1055"/>
      <c r="D212" s="1055"/>
      <c r="E212" s="1057"/>
      <c r="F212" s="1058"/>
      <c r="G212" s="1058"/>
      <c r="H212" s="1065"/>
      <c r="I212" s="1336"/>
      <c r="K212" s="282">
        <f ca="1">SUM('Monthly Prod'!B3:B9)</f>
        <v>0</v>
      </c>
      <c r="L212" s="282">
        <f ca="1">SUM('Monthly Prod'!C3:C9)</f>
        <v>0</v>
      </c>
      <c r="M212" s="282">
        <f ca="1">SUM('Monthly Prod'!D3:D9)</f>
        <v>0</v>
      </c>
      <c r="N212" s="282">
        <f ca="1">SUM('Monthly Prod'!E3:E9)</f>
        <v>0</v>
      </c>
      <c r="O212" s="282">
        <f ca="1">SUM('Monthly Prod'!F3:F9)</f>
        <v>0</v>
      </c>
      <c r="P212" s="282">
        <f ca="1">SUM('Monthly Prod'!H3:H9)</f>
        <v>0</v>
      </c>
      <c r="Q212" t="s">
        <v>142</v>
      </c>
      <c r="R212" s="327"/>
      <c r="S212" s="341">
        <v>4.8</v>
      </c>
      <c r="T212" s="342"/>
      <c r="U212" s="342"/>
      <c r="V212" s="343"/>
      <c r="X212" s="366" t="s">
        <v>143</v>
      </c>
      <c r="Y212" s="206" t="s">
        <v>145</v>
      </c>
      <c r="Z212" s="282">
        <v>400</v>
      </c>
      <c r="AA212" s="373" t="s">
        <v>146</v>
      </c>
    </row>
    <row r="213" spans="1:27" ht="15" customHeight="1">
      <c r="A213" s="1062"/>
      <c r="B213" s="1055"/>
      <c r="C213" s="1055"/>
      <c r="D213" s="1055"/>
      <c r="E213" s="1057"/>
      <c r="F213" s="1058"/>
      <c r="G213" s="1058"/>
      <c r="H213" s="1065"/>
      <c r="I213" s="1336"/>
      <c r="R213" s="327"/>
      <c r="S213" s="318">
        <v>4</v>
      </c>
      <c r="T213" s="319">
        <f>U213</f>
        <v>0</v>
      </c>
      <c r="U213" s="319">
        <f>G211</f>
        <v>0</v>
      </c>
      <c r="V213" s="321" t="s">
        <v>119</v>
      </c>
      <c r="X213" s="374"/>
      <c r="Y213" s="206" t="s">
        <v>148</v>
      </c>
      <c r="Z213" s="282">
        <v>30.79</v>
      </c>
      <c r="AA213" s="369"/>
    </row>
    <row r="214" spans="1:27" ht="15" customHeight="1">
      <c r="A214" s="1062"/>
      <c r="B214" s="1055"/>
      <c r="C214" s="1055"/>
      <c r="D214" s="1055"/>
      <c r="E214" s="1057"/>
      <c r="F214" s="1058"/>
      <c r="G214" s="1058"/>
      <c r="H214" s="1065"/>
      <c r="I214" s="1336"/>
      <c r="R214" s="327"/>
      <c r="S214" s="328"/>
      <c r="T214" s="329"/>
      <c r="U214" s="329"/>
      <c r="V214" s="324"/>
      <c r="X214" s="374"/>
      <c r="Y214" s="206" t="s">
        <v>133</v>
      </c>
      <c r="Z214" s="282">
        <v>146.5</v>
      </c>
      <c r="AA214" s="369"/>
    </row>
    <row r="215" spans="1:27" ht="15" customHeight="1">
      <c r="A215" s="1062"/>
      <c r="B215" s="1055"/>
      <c r="C215" s="1055"/>
      <c r="D215" s="1055"/>
      <c r="E215" s="1057"/>
      <c r="F215" s="1058"/>
      <c r="G215" s="1058"/>
      <c r="H215" s="1055"/>
      <c r="I215" s="1055"/>
      <c r="R215" s="327"/>
      <c r="S215" s="318">
        <v>3</v>
      </c>
      <c r="T215" s="319">
        <f>U215</f>
        <v>0</v>
      </c>
      <c r="U215" s="319">
        <f>G210</f>
        <v>0</v>
      </c>
      <c r="V215" s="321" t="s">
        <v>119</v>
      </c>
      <c r="X215" s="366"/>
      <c r="Y215" s="206" t="s">
        <v>158</v>
      </c>
      <c r="Z215" s="282"/>
      <c r="AA215" s="368">
        <v>400.91</v>
      </c>
    </row>
    <row r="216" spans="1:27" ht="15" customHeight="1">
      <c r="A216" s="1337"/>
      <c r="B216" s="1337"/>
      <c r="C216" s="1337"/>
      <c r="D216" s="1337"/>
      <c r="E216" s="1337"/>
      <c r="F216" s="1337"/>
      <c r="G216" s="1067"/>
      <c r="H216" s="1067"/>
      <c r="I216" s="1068"/>
      <c r="R216" s="327"/>
      <c r="S216" s="328"/>
      <c r="T216" s="329"/>
      <c r="U216" s="329"/>
      <c r="V216" s="324"/>
      <c r="X216" s="366"/>
      <c r="Y216" s="206" t="s">
        <v>150</v>
      </c>
      <c r="Z216" s="282"/>
      <c r="AA216" s="368">
        <v>1000</v>
      </c>
    </row>
    <row r="217" spans="1:27" ht="15.75" customHeight="1">
      <c r="A217" s="1320"/>
      <c r="B217" s="1320"/>
      <c r="C217" s="1320"/>
      <c r="D217" s="1320"/>
      <c r="E217" s="1321"/>
      <c r="F217" s="1322"/>
      <c r="G217" s="1323"/>
      <c r="H217" s="1321"/>
      <c r="I217" s="1320"/>
      <c r="R217" s="327"/>
      <c r="S217" s="236">
        <v>5</v>
      </c>
      <c r="T217" s="320">
        <f>U217</f>
        <v>0</v>
      </c>
      <c r="U217" s="320">
        <f>G212</f>
        <v>0</v>
      </c>
      <c r="V217" s="325" t="s">
        <v>119</v>
      </c>
      <c r="X217" s="375"/>
      <c r="Y217" s="245" t="s">
        <v>158</v>
      </c>
      <c r="Z217" s="376"/>
      <c r="AA217" s="377">
        <v>500</v>
      </c>
    </row>
    <row r="218" spans="1:27" ht="15" customHeight="1">
      <c r="A218" s="1320"/>
      <c r="B218" s="1320"/>
      <c r="C218" s="1320"/>
      <c r="D218" s="1320"/>
      <c r="E218" s="1320"/>
      <c r="F218" s="1320"/>
      <c r="G218" s="1320"/>
      <c r="H218" s="1320"/>
      <c r="I218" s="1320"/>
      <c r="R218" s="327"/>
      <c r="S218" s="236">
        <v>4.8</v>
      </c>
      <c r="T218" s="320">
        <v>0</v>
      </c>
      <c r="U218" s="320">
        <v>0</v>
      </c>
      <c r="V218" s="325" t="s">
        <v>119</v>
      </c>
    </row>
    <row r="219" spans="1:27" ht="15" customHeight="1">
      <c r="A219" s="1072"/>
      <c r="B219" s="1072"/>
      <c r="C219" s="1072"/>
      <c r="D219" s="1072"/>
      <c r="E219" s="1072"/>
      <c r="F219" s="1072"/>
      <c r="G219" s="1073"/>
      <c r="H219" s="1074"/>
      <c r="I219" s="1075"/>
      <c r="R219" s="339"/>
      <c r="S219" s="236" t="s">
        <v>121</v>
      </c>
      <c r="T219" s="320">
        <v>0</v>
      </c>
      <c r="U219" s="320">
        <v>0</v>
      </c>
      <c r="V219" s="325" t="s">
        <v>119</v>
      </c>
    </row>
    <row r="220" spans="1:27" ht="15" customHeight="1">
      <c r="A220" s="1056"/>
      <c r="B220" s="1055"/>
      <c r="C220" s="1056"/>
      <c r="D220" s="1325"/>
      <c r="E220" s="1325"/>
      <c r="F220" s="1325"/>
      <c r="G220" s="1058"/>
      <c r="H220" s="1059"/>
      <c r="I220" s="286"/>
      <c r="R220" s="339"/>
      <c r="S220" s="236">
        <v>5</v>
      </c>
      <c r="T220" s="320">
        <v>0</v>
      </c>
      <c r="U220" s="320">
        <v>0</v>
      </c>
      <c r="V220" s="325"/>
    </row>
    <row r="221" spans="1:27" ht="15" customHeight="1">
      <c r="A221" s="1326"/>
      <c r="B221" s="1326"/>
      <c r="C221" s="1326"/>
      <c r="D221" s="1326"/>
      <c r="E221" s="1326"/>
      <c r="F221" s="1326"/>
      <c r="G221" s="1326"/>
      <c r="H221" s="1059"/>
      <c r="I221" s="286"/>
      <c r="R221" s="350"/>
      <c r="S221" s="211"/>
      <c r="T221" s="351">
        <f>SUM(T200:T220)</f>
        <v>0</v>
      </c>
      <c r="U221" s="351">
        <f>SUM(U200:U220)</f>
        <v>0</v>
      </c>
      <c r="V221" s="352"/>
    </row>
    <row r="222" spans="1:27" ht="25.5" customHeight="1">
      <c r="A222" s="1076"/>
      <c r="B222" s="1076"/>
      <c r="C222" s="1075"/>
      <c r="D222" s="1069"/>
      <c r="E222" s="1070"/>
      <c r="F222" s="1071"/>
      <c r="G222" s="1067"/>
      <c r="H222" s="1059"/>
      <c r="I222" s="286"/>
      <c r="R222" s="350"/>
      <c r="S222" s="211"/>
      <c r="T222" s="211"/>
      <c r="U222" s="211"/>
      <c r="V222" s="352"/>
    </row>
    <row r="223" spans="1:27" ht="15" customHeight="1">
      <c r="A223" s="1067"/>
      <c r="B223" s="1067"/>
      <c r="C223" s="1073"/>
      <c r="D223" s="1073"/>
      <c r="E223" s="1077"/>
      <c r="F223" s="1073"/>
      <c r="G223" s="1073"/>
      <c r="H223" s="1078"/>
      <c r="I223" s="286"/>
      <c r="R223" s="350"/>
      <c r="S223" s="211"/>
      <c r="T223" s="211"/>
      <c r="U223" s="211"/>
      <c r="V223" s="352"/>
    </row>
    <row r="224" spans="1:27" ht="15" customHeight="1">
      <c r="D224" s="1327"/>
      <c r="E224" s="1327"/>
      <c r="R224" s="350"/>
      <c r="S224" s="211"/>
      <c r="T224" s="211"/>
      <c r="U224" s="211"/>
      <c r="V224" s="352"/>
    </row>
    <row r="225" spans="1:27" ht="15.75" customHeight="1">
      <c r="A225" s="1330"/>
      <c r="B225" s="1330"/>
      <c r="C225" s="1330"/>
      <c r="D225" s="1330"/>
      <c r="E225" s="1330"/>
      <c r="F225" s="1330"/>
      <c r="G225" s="1330"/>
      <c r="H225" s="1330"/>
      <c r="I225" s="1330"/>
    </row>
    <row r="226" spans="1:27" ht="15" customHeight="1">
      <c r="A226" s="1331"/>
      <c r="B226" s="1331"/>
      <c r="C226" s="1331"/>
      <c r="D226" s="1331"/>
      <c r="E226" s="1331"/>
      <c r="F226" s="1331"/>
      <c r="G226" s="1331"/>
      <c r="H226" s="1331"/>
      <c r="I226" s="1331"/>
    </row>
    <row r="227" spans="1:27" ht="15" customHeight="1">
      <c r="A227" s="1054"/>
      <c r="B227" s="1055"/>
      <c r="C227" s="1056"/>
      <c r="D227" s="1056"/>
      <c r="E227" s="1057"/>
      <c r="F227" s="1058"/>
      <c r="G227" s="1058"/>
      <c r="H227" s="1059"/>
      <c r="I227" s="286"/>
    </row>
    <row r="228" spans="1:27" ht="15" customHeight="1">
      <c r="A228" s="1332"/>
      <c r="B228" s="1332"/>
      <c r="C228" s="1332"/>
      <c r="D228" s="1333"/>
      <c r="E228" s="1332"/>
      <c r="F228" s="1332"/>
      <c r="G228" s="1332"/>
      <c r="H228" s="1333"/>
      <c r="I228" s="1332"/>
    </row>
    <row r="229" spans="1:27" ht="38.25" customHeight="1">
      <c r="A229" s="1332"/>
      <c r="B229" s="1332"/>
      <c r="C229" s="1332"/>
      <c r="D229" s="1332"/>
      <c r="E229" s="1061"/>
      <c r="F229" s="1061"/>
      <c r="G229" s="1061"/>
      <c r="H229" s="1333"/>
      <c r="I229" s="1333"/>
    </row>
    <row r="230" spans="1:27" ht="15.75" customHeight="1">
      <c r="A230" s="1062"/>
      <c r="B230" s="1055"/>
      <c r="C230" s="1060"/>
      <c r="D230" s="1063"/>
      <c r="E230" s="1063"/>
      <c r="F230" s="1064"/>
      <c r="G230" s="1058"/>
      <c r="H230" s="1065"/>
      <c r="I230" s="1332"/>
      <c r="K230" s="8" t="s">
        <v>14</v>
      </c>
      <c r="L230" s="16">
        <f>'Daily Stock'!Q148</f>
        <v>0</v>
      </c>
      <c r="R230" s="309" t="s">
        <v>174</v>
      </c>
      <c r="S230" s="310"/>
    </row>
    <row r="231" spans="1:27" ht="18.75" customHeight="1">
      <c r="A231" s="1062"/>
      <c r="B231" s="1055"/>
      <c r="C231" s="1060"/>
      <c r="D231" s="1055"/>
      <c r="E231" s="1063"/>
      <c r="F231" s="1064"/>
      <c r="G231" s="1058"/>
      <c r="H231" s="1065"/>
      <c r="I231" s="1332"/>
      <c r="K231" s="8" t="s">
        <v>112</v>
      </c>
      <c r="L231" s="16">
        <f>'Daily Stock'!Q149</f>
        <v>0</v>
      </c>
      <c r="R231" s="311" t="s">
        <v>100</v>
      </c>
      <c r="S231" s="312"/>
      <c r="T231" s="313" t="s">
        <v>9</v>
      </c>
      <c r="U231" s="313" t="s">
        <v>113</v>
      </c>
      <c r="V231" s="314" t="s">
        <v>114</v>
      </c>
    </row>
    <row r="232" spans="1:27" ht="15" customHeight="1">
      <c r="A232" s="1062"/>
      <c r="B232" s="1055"/>
      <c r="C232" s="1055"/>
      <c r="D232" s="1055"/>
      <c r="E232" s="1057"/>
      <c r="F232" s="1058"/>
      <c r="G232" s="1058"/>
      <c r="H232" s="1065"/>
      <c r="I232" s="1334"/>
      <c r="K232" s="22" t="s">
        <v>117</v>
      </c>
      <c r="L232" s="16">
        <f>'Daily Stock'!Q150</f>
        <v>0</v>
      </c>
      <c r="R232" s="317" t="s">
        <v>118</v>
      </c>
      <c r="S232" s="318">
        <v>6</v>
      </c>
      <c r="T232" s="319">
        <f>U232</f>
        <v>0</v>
      </c>
      <c r="U232" s="320">
        <f>H232</f>
        <v>0</v>
      </c>
      <c r="V232" s="321" t="s">
        <v>119</v>
      </c>
    </row>
    <row r="233" spans="1:27" ht="15" customHeight="1">
      <c r="A233" s="1062"/>
      <c r="B233" s="1055"/>
      <c r="C233" s="1055"/>
      <c r="D233" s="1055"/>
      <c r="E233" s="1057"/>
      <c r="F233" s="1058"/>
      <c r="G233" s="1058"/>
      <c r="H233" s="1065"/>
      <c r="I233" s="1334"/>
      <c r="K233" s="22" t="s">
        <v>17</v>
      </c>
      <c r="L233" s="16">
        <f>'Daily Stock'!Q151</f>
        <v>0</v>
      </c>
      <c r="R233" s="317"/>
      <c r="S233" s="322"/>
      <c r="T233" s="323"/>
      <c r="U233" s="320">
        <v>0</v>
      </c>
      <c r="V233" s="324"/>
    </row>
    <row r="234" spans="1:27" ht="15" customHeight="1">
      <c r="A234" s="1062"/>
      <c r="B234" s="1055"/>
      <c r="C234" s="1055"/>
      <c r="D234" s="1055"/>
      <c r="E234" s="1057"/>
      <c r="F234" s="1058"/>
      <c r="G234" s="1058"/>
      <c r="H234" s="1065"/>
      <c r="I234" s="1334"/>
      <c r="K234" s="22" t="s">
        <v>18</v>
      </c>
      <c r="L234" s="16">
        <f>'Daily Stock'!Q152</f>
        <v>0</v>
      </c>
      <c r="R234" s="317"/>
      <c r="S234" s="236" t="s">
        <v>121</v>
      </c>
      <c r="T234" s="320">
        <v>0</v>
      </c>
      <c r="U234" s="320">
        <v>0</v>
      </c>
      <c r="V234" s="325"/>
    </row>
    <row r="235" spans="1:27" ht="15" customHeight="1">
      <c r="A235" s="1062"/>
      <c r="B235" s="1055"/>
      <c r="C235" s="1055"/>
      <c r="D235" s="1055"/>
      <c r="E235" s="1057"/>
      <c r="F235" s="1058"/>
      <c r="G235" s="1058"/>
      <c r="H235" s="1065"/>
      <c r="I235" s="1335"/>
      <c r="K235" s="22" t="s">
        <v>19</v>
      </c>
      <c r="L235" s="16">
        <f>'Daily Stock'!Q153</f>
        <v>0</v>
      </c>
      <c r="R235" s="326" t="s">
        <v>123</v>
      </c>
      <c r="S235" s="318">
        <v>6</v>
      </c>
      <c r="T235" s="319">
        <f>U235</f>
        <v>0</v>
      </c>
      <c r="U235" s="319">
        <f>H236</f>
        <v>0</v>
      </c>
      <c r="V235" s="321" t="s">
        <v>119</v>
      </c>
    </row>
    <row r="236" spans="1:27" ht="15" customHeight="1">
      <c r="A236" s="1062"/>
      <c r="B236" s="1055"/>
      <c r="C236" s="1055"/>
      <c r="D236" s="1055"/>
      <c r="E236" s="1057"/>
      <c r="F236" s="1058"/>
      <c r="G236" s="1058"/>
      <c r="H236" s="1065"/>
      <c r="I236" s="1335"/>
      <c r="K236" s="22" t="s">
        <v>20</v>
      </c>
      <c r="L236" s="16">
        <f>'Daily Stock'!Q154</f>
        <v>0</v>
      </c>
      <c r="R236" s="327"/>
      <c r="S236" s="328"/>
      <c r="T236" s="329"/>
      <c r="U236" s="329"/>
      <c r="V236" s="324"/>
    </row>
    <row r="237" spans="1:27" ht="15.75" customHeight="1">
      <c r="A237" s="1062"/>
      <c r="B237" s="1055"/>
      <c r="C237" s="1055"/>
      <c r="D237" s="1055"/>
      <c r="E237" s="1057"/>
      <c r="F237" s="1058"/>
      <c r="G237" s="1058"/>
      <c r="H237" s="1065"/>
      <c r="I237" s="1335"/>
      <c r="K237" s="22" t="s">
        <v>124</v>
      </c>
      <c r="L237" s="16">
        <f>'Daily Stock'!Q155</f>
        <v>0</v>
      </c>
      <c r="R237" s="327"/>
      <c r="S237" s="318">
        <v>4</v>
      </c>
      <c r="T237" s="319">
        <f>U237</f>
        <v>0</v>
      </c>
      <c r="U237" s="319">
        <f>G238</f>
        <v>0</v>
      </c>
      <c r="V237" s="321" t="s">
        <v>119</v>
      </c>
      <c r="X237" s="1304" t="str">
        <f>R230</f>
        <v>As on 08.10.2026</v>
      </c>
      <c r="Y237" s="1304"/>
      <c r="Z237" s="1304"/>
      <c r="AA237" s="1304"/>
    </row>
    <row r="238" spans="1:27" ht="15" customHeight="1">
      <c r="A238" s="1062"/>
      <c r="B238" s="1055"/>
      <c r="C238" s="1055"/>
      <c r="D238" s="1055"/>
      <c r="E238" s="1057"/>
      <c r="F238" s="1058"/>
      <c r="G238" s="1058"/>
      <c r="H238" s="1065"/>
      <c r="I238" s="1335"/>
      <c r="K238" s="22" t="s">
        <v>22</v>
      </c>
      <c r="L238" s="16">
        <f>'Daily Stock'!Q156</f>
        <v>0</v>
      </c>
      <c r="R238" s="327"/>
      <c r="S238" s="328"/>
      <c r="T238" s="329"/>
      <c r="U238" s="329"/>
      <c r="V238" s="324"/>
      <c r="X238" s="363"/>
      <c r="Y238" s="364" t="s">
        <v>126</v>
      </c>
      <c r="Z238" s="364" t="s">
        <v>127</v>
      </c>
      <c r="AA238" s="365" t="s">
        <v>128</v>
      </c>
    </row>
    <row r="239" spans="1:27" ht="15" customHeight="1">
      <c r="A239" s="1062"/>
      <c r="B239" s="1055"/>
      <c r="C239" s="1055"/>
      <c r="D239" s="1055"/>
      <c r="E239" s="1057"/>
      <c r="F239" s="1058"/>
      <c r="G239" s="1058"/>
      <c r="H239" s="1065"/>
      <c r="I239" s="1335"/>
      <c r="K239" s="22" t="s">
        <v>23</v>
      </c>
      <c r="L239" s="16">
        <f>'Daily Stock'!Q157</f>
        <v>0</v>
      </c>
      <c r="R239" s="327"/>
      <c r="S239" s="318">
        <v>3</v>
      </c>
      <c r="T239" s="319">
        <f>U239</f>
        <v>0</v>
      </c>
      <c r="U239" s="319">
        <f>G235</f>
        <v>0</v>
      </c>
      <c r="V239" s="321" t="s">
        <v>119</v>
      </c>
      <c r="X239" s="366" t="s">
        <v>129</v>
      </c>
      <c r="Y239" s="367">
        <f>I232</f>
        <v>0</v>
      </c>
      <c r="Z239" s="367">
        <f>I235</f>
        <v>0</v>
      </c>
      <c r="AA239" s="368">
        <f>I242</f>
        <v>0</v>
      </c>
    </row>
    <row r="240" spans="1:27" ht="15.75" customHeight="1">
      <c r="A240" s="1062"/>
      <c r="B240" s="1055"/>
      <c r="C240" s="1055"/>
      <c r="D240" s="1055"/>
      <c r="E240" s="1057"/>
      <c r="F240" s="1058"/>
      <c r="G240" s="1058"/>
      <c r="H240" s="1065"/>
      <c r="I240" s="1066"/>
      <c r="K240" s="25" t="s">
        <v>24</v>
      </c>
      <c r="L240" s="16">
        <f>'Daily Stock'!Q158</f>
        <v>0</v>
      </c>
      <c r="R240" s="327"/>
      <c r="S240" s="328"/>
      <c r="T240" s="329"/>
      <c r="U240" s="329"/>
      <c r="V240" s="324"/>
      <c r="X240" s="366" t="s">
        <v>132</v>
      </c>
      <c r="Y240" s="206"/>
      <c r="Z240" s="367">
        <f>G245+G241</f>
        <v>0</v>
      </c>
      <c r="AA240" s="368">
        <f>G247+G246</f>
        <v>0</v>
      </c>
    </row>
    <row r="241" spans="1:27" ht="15" customHeight="1">
      <c r="A241" s="1062"/>
      <c r="B241" s="1055"/>
      <c r="C241" s="1055"/>
      <c r="D241" s="1055"/>
      <c r="E241" s="1057"/>
      <c r="F241" s="1058"/>
      <c r="G241" s="1058"/>
      <c r="H241" s="1065"/>
      <c r="I241" s="1066"/>
      <c r="R241" s="327"/>
      <c r="S241" s="318">
        <v>5</v>
      </c>
      <c r="T241" s="319">
        <f>U241</f>
        <v>0</v>
      </c>
      <c r="U241" s="319">
        <f>G237</f>
        <v>0</v>
      </c>
      <c r="V241" s="321" t="s">
        <v>119</v>
      </c>
      <c r="X241" s="366"/>
      <c r="Y241" s="206"/>
      <c r="Z241" s="206"/>
      <c r="AA241" s="368"/>
    </row>
    <row r="242" spans="1:27" ht="15" customHeight="1">
      <c r="A242" s="1062"/>
      <c r="B242" s="1055"/>
      <c r="C242" s="1055"/>
      <c r="D242" s="1055"/>
      <c r="E242" s="1057"/>
      <c r="F242" s="1058"/>
      <c r="G242" s="1058"/>
      <c r="H242" s="401"/>
      <c r="I242" s="1336"/>
      <c r="K242" s="338">
        <f>'Monthly Prod'!B10</f>
        <v>0</v>
      </c>
      <c r="L242" s="338">
        <f>'Monthly Prod'!C10</f>
        <v>0</v>
      </c>
      <c r="M242" s="338">
        <f>'Monthly Prod'!D10</f>
        <v>0</v>
      </c>
      <c r="N242" s="338">
        <f>'Monthly Prod'!E10</f>
        <v>0</v>
      </c>
      <c r="O242" s="338">
        <f>'Monthly Prod'!F10</f>
        <v>0</v>
      </c>
      <c r="P242" s="338">
        <f>'Monthly Prod'!H10</f>
        <v>0</v>
      </c>
      <c r="Q242" t="s">
        <v>134</v>
      </c>
      <c r="R242" s="339"/>
      <c r="S242" s="340" t="s">
        <v>121</v>
      </c>
      <c r="T242" s="319">
        <f>U242</f>
        <v>0</v>
      </c>
      <c r="U242" s="319">
        <f>G239</f>
        <v>0</v>
      </c>
      <c r="V242" s="321" t="s">
        <v>119</v>
      </c>
      <c r="X242" s="366"/>
      <c r="Y242" s="206"/>
      <c r="Z242" s="206"/>
      <c r="AA242" s="369"/>
    </row>
    <row r="243" spans="1:27" ht="15" customHeight="1">
      <c r="A243" s="1062"/>
      <c r="B243" s="1055"/>
      <c r="C243" s="1055"/>
      <c r="D243" s="1055"/>
      <c r="E243" s="1057"/>
      <c r="F243" s="1058"/>
      <c r="G243" s="1058"/>
      <c r="H243" s="1065"/>
      <c r="I243" s="1336"/>
      <c r="K243" s="286" t="s">
        <v>136</v>
      </c>
      <c r="L243" s="286" t="s">
        <v>137</v>
      </c>
      <c r="M243" s="277" t="s">
        <v>4</v>
      </c>
      <c r="N243" s="277" t="s">
        <v>138</v>
      </c>
      <c r="O243" s="286" t="s">
        <v>139</v>
      </c>
      <c r="P243" s="286" t="s">
        <v>140</v>
      </c>
      <c r="R243" s="326" t="s">
        <v>141</v>
      </c>
      <c r="S243" s="236">
        <v>6</v>
      </c>
      <c r="T243" s="320">
        <v>0</v>
      </c>
      <c r="U243" s="320">
        <v>0</v>
      </c>
      <c r="V243" s="325"/>
      <c r="X243" s="370"/>
      <c r="Y243" s="371"/>
      <c r="Z243" s="371" t="s">
        <v>127</v>
      </c>
      <c r="AA243" s="372" t="s">
        <v>128</v>
      </c>
    </row>
    <row r="244" spans="1:27" ht="15" customHeight="1">
      <c r="A244" s="1062"/>
      <c r="B244" s="1055"/>
      <c r="C244" s="1055"/>
      <c r="D244" s="1055"/>
      <c r="E244" s="1057"/>
      <c r="F244" s="1058"/>
      <c r="G244" s="1058"/>
      <c r="H244" s="1065"/>
      <c r="I244" s="1336"/>
      <c r="K244" s="282">
        <f ca="1">SUM('Monthly Prod'!B3:B10)</f>
        <v>0</v>
      </c>
      <c r="L244" s="282">
        <f ca="1">SUM('Monthly Prod'!C3:C10)</f>
        <v>0</v>
      </c>
      <c r="M244" s="282">
        <f ca="1">SUM('Monthly Prod'!D3:D10)</f>
        <v>0</v>
      </c>
      <c r="N244" s="282">
        <f ca="1">SUM('Monthly Prod'!E3:E10)</f>
        <v>0</v>
      </c>
      <c r="O244" s="282">
        <f ca="1">SUM('Monthly Prod'!F3:F10)</f>
        <v>0</v>
      </c>
      <c r="P244" s="282">
        <f ca="1">SUM('Monthly Prod'!H3:H10)</f>
        <v>0</v>
      </c>
      <c r="Q244" t="s">
        <v>142</v>
      </c>
      <c r="R244" s="327"/>
      <c r="S244" s="341">
        <v>4.8</v>
      </c>
      <c r="T244" s="342"/>
      <c r="U244" s="342"/>
      <c r="V244" s="343"/>
      <c r="X244" s="366" t="s">
        <v>143</v>
      </c>
      <c r="Y244" s="206" t="s">
        <v>145</v>
      </c>
      <c r="Z244" s="282">
        <v>400</v>
      </c>
      <c r="AA244" s="373" t="s">
        <v>146</v>
      </c>
    </row>
    <row r="245" spans="1:27" ht="15" customHeight="1">
      <c r="A245" s="1062"/>
      <c r="B245" s="1055"/>
      <c r="C245" s="1055"/>
      <c r="D245" s="1055"/>
      <c r="E245" s="1057"/>
      <c r="F245" s="1058"/>
      <c r="G245" s="1058"/>
      <c r="H245" s="1065"/>
      <c r="I245" s="1336"/>
      <c r="R245" s="327"/>
      <c r="S245" s="318">
        <v>4</v>
      </c>
      <c r="T245" s="319">
        <f>U245</f>
        <v>0</v>
      </c>
      <c r="U245" s="319">
        <f>G243</f>
        <v>0</v>
      </c>
      <c r="V245" s="321" t="s">
        <v>119</v>
      </c>
      <c r="X245" s="374"/>
      <c r="Y245" s="206" t="s">
        <v>148</v>
      </c>
      <c r="Z245" s="282">
        <v>30.79</v>
      </c>
      <c r="AA245" s="369"/>
    </row>
    <row r="246" spans="1:27" ht="15" customHeight="1">
      <c r="A246" s="1062"/>
      <c r="B246" s="1055"/>
      <c r="C246" s="1055"/>
      <c r="D246" s="1055"/>
      <c r="E246" s="1057"/>
      <c r="F246" s="1058"/>
      <c r="G246" s="1058"/>
      <c r="H246" s="1065"/>
      <c r="I246" s="1336"/>
      <c r="R246" s="327"/>
      <c r="S246" s="328"/>
      <c r="T246" s="329"/>
      <c r="U246" s="329"/>
      <c r="V246" s="324"/>
      <c r="X246" s="374"/>
      <c r="Y246" s="206" t="s">
        <v>133</v>
      </c>
      <c r="Z246" s="282">
        <v>146.5</v>
      </c>
      <c r="AA246" s="369"/>
    </row>
    <row r="247" spans="1:27" ht="15" customHeight="1">
      <c r="A247" s="1062"/>
      <c r="B247" s="1055"/>
      <c r="C247" s="1055"/>
      <c r="D247" s="1055"/>
      <c r="E247" s="1057"/>
      <c r="F247" s="1058"/>
      <c r="G247" s="1058"/>
      <c r="H247" s="1055"/>
      <c r="I247" s="1055"/>
      <c r="R247" s="327"/>
      <c r="S247" s="318">
        <v>3</v>
      </c>
      <c r="T247" s="319">
        <f>U247</f>
        <v>0</v>
      </c>
      <c r="U247" s="319">
        <f>G242</f>
        <v>0</v>
      </c>
      <c r="V247" s="321" t="s">
        <v>119</v>
      </c>
      <c r="X247" s="366"/>
      <c r="Y247" s="206" t="s">
        <v>158</v>
      </c>
      <c r="Z247" s="282"/>
      <c r="AA247" s="368">
        <v>400.91</v>
      </c>
    </row>
    <row r="248" spans="1:27" ht="15" customHeight="1">
      <c r="A248" s="1337"/>
      <c r="B248" s="1337"/>
      <c r="C248" s="1337"/>
      <c r="D248" s="1337"/>
      <c r="E248" s="1337"/>
      <c r="F248" s="1337"/>
      <c r="G248" s="1067"/>
      <c r="H248" s="1067"/>
      <c r="I248" s="1068"/>
      <c r="R248" s="327"/>
      <c r="S248" s="328"/>
      <c r="T248" s="329"/>
      <c r="U248" s="329"/>
      <c r="V248" s="324"/>
      <c r="X248" s="366"/>
      <c r="Y248" s="206" t="s">
        <v>150</v>
      </c>
      <c r="Z248" s="282"/>
      <c r="AA248" s="368">
        <v>1000</v>
      </c>
    </row>
    <row r="249" spans="1:27" ht="15.75" customHeight="1">
      <c r="A249" s="1320"/>
      <c r="B249" s="1320"/>
      <c r="C249" s="1320"/>
      <c r="D249" s="1320"/>
      <c r="E249" s="1321"/>
      <c r="F249" s="1322"/>
      <c r="G249" s="1323"/>
      <c r="H249" s="1321"/>
      <c r="I249" s="1320"/>
      <c r="R249" s="327"/>
      <c r="S249" s="236">
        <v>5</v>
      </c>
      <c r="T249" s="320">
        <f>U249</f>
        <v>0</v>
      </c>
      <c r="U249" s="320">
        <f>G244</f>
        <v>0</v>
      </c>
      <c r="V249" s="325" t="s">
        <v>119</v>
      </c>
      <c r="X249" s="375"/>
      <c r="Y249" s="245" t="s">
        <v>158</v>
      </c>
      <c r="Z249" s="376"/>
      <c r="AA249" s="377">
        <v>500</v>
      </c>
    </row>
    <row r="250" spans="1:27" ht="15" customHeight="1">
      <c r="A250" s="1320"/>
      <c r="B250" s="1320"/>
      <c r="C250" s="1320"/>
      <c r="D250" s="1320"/>
      <c r="E250" s="1320"/>
      <c r="F250" s="1320"/>
      <c r="G250" s="1320"/>
      <c r="H250" s="1320"/>
      <c r="I250" s="1320"/>
      <c r="R250" s="327"/>
      <c r="S250" s="236">
        <v>4.8</v>
      </c>
      <c r="T250" s="320">
        <v>0</v>
      </c>
      <c r="U250" s="320">
        <v>0</v>
      </c>
      <c r="V250" s="325" t="s">
        <v>119</v>
      </c>
    </row>
    <row r="251" spans="1:27" ht="15" customHeight="1">
      <c r="A251" s="1072"/>
      <c r="B251" s="1072"/>
      <c r="C251" s="1072"/>
      <c r="D251" s="1072"/>
      <c r="E251" s="1072"/>
      <c r="F251" s="1072"/>
      <c r="G251" s="1073"/>
      <c r="H251" s="1074"/>
      <c r="I251" s="1075"/>
      <c r="R251" s="339"/>
      <c r="S251" s="236" t="s">
        <v>121</v>
      </c>
      <c r="T251" s="320">
        <v>0</v>
      </c>
      <c r="U251" s="320">
        <v>0</v>
      </c>
      <c r="V251" s="325" t="s">
        <v>119</v>
      </c>
    </row>
    <row r="252" spans="1:27" ht="15" customHeight="1">
      <c r="A252" s="1056"/>
      <c r="B252" s="1055"/>
      <c r="C252" s="1056"/>
      <c r="D252" s="1325"/>
      <c r="E252" s="1325"/>
      <c r="F252" s="1325"/>
      <c r="G252" s="1058"/>
      <c r="H252" s="1059"/>
      <c r="I252" s="286"/>
      <c r="R252" s="339"/>
      <c r="S252" s="236">
        <v>5</v>
      </c>
      <c r="T252" s="320">
        <v>0</v>
      </c>
      <c r="U252" s="320">
        <v>0</v>
      </c>
      <c r="V252" s="325"/>
    </row>
    <row r="253" spans="1:27" ht="15" customHeight="1">
      <c r="A253" s="1326"/>
      <c r="B253" s="1326"/>
      <c r="C253" s="1326"/>
      <c r="D253" s="1326"/>
      <c r="E253" s="1326"/>
      <c r="F253" s="1326"/>
      <c r="G253" s="1326"/>
      <c r="H253" s="1059"/>
      <c r="I253" s="286"/>
      <c r="R253" s="350"/>
      <c r="S253" s="211"/>
      <c r="T253" s="351">
        <f>SUM(T232:T252)</f>
        <v>0</v>
      </c>
      <c r="U253" s="351">
        <f>SUM(U232:U252)</f>
        <v>0</v>
      </c>
      <c r="V253" s="352"/>
    </row>
    <row r="254" spans="1:27" ht="25.5" customHeight="1">
      <c r="A254" s="1076"/>
      <c r="B254" s="1076"/>
      <c r="C254" s="1075"/>
      <c r="D254" s="1069"/>
      <c r="E254" s="1070"/>
      <c r="F254" s="1071"/>
      <c r="G254" s="1067"/>
      <c r="H254" s="1059"/>
      <c r="I254" s="286"/>
      <c r="R254" s="350"/>
      <c r="S254" s="211"/>
      <c r="T254" s="211"/>
      <c r="U254" s="211"/>
      <c r="V254" s="352"/>
    </row>
    <row r="255" spans="1:27" ht="15" customHeight="1">
      <c r="A255" s="1067"/>
      <c r="B255" s="1067"/>
      <c r="C255" s="1073"/>
      <c r="D255" s="1073"/>
      <c r="E255" s="1077"/>
      <c r="F255" s="1073"/>
      <c r="G255" s="1073"/>
      <c r="H255" s="1078"/>
      <c r="I255" s="286"/>
      <c r="R255" s="350"/>
      <c r="S255" s="211"/>
      <c r="T255" s="211"/>
      <c r="U255" s="211"/>
      <c r="V255" s="352"/>
    </row>
    <row r="256" spans="1:27" ht="15" customHeight="1">
      <c r="D256" s="1327"/>
      <c r="E256" s="1327"/>
      <c r="R256" s="350"/>
      <c r="S256" s="211"/>
      <c r="T256" s="211"/>
      <c r="U256" s="211"/>
      <c r="V256" s="352"/>
    </row>
    <row r="257" spans="1:27" ht="15.75" customHeight="1">
      <c r="A257" s="1330"/>
      <c r="B257" s="1330"/>
      <c r="C257" s="1330"/>
      <c r="D257" s="1330"/>
      <c r="E257" s="1330"/>
      <c r="F257" s="1330"/>
      <c r="G257" s="1330"/>
      <c r="H257" s="1330"/>
      <c r="I257" s="1330"/>
    </row>
    <row r="258" spans="1:27" ht="15" customHeight="1">
      <c r="A258" s="1331"/>
      <c r="B258" s="1331"/>
      <c r="C258" s="1331"/>
      <c r="D258" s="1331"/>
      <c r="E258" s="1331"/>
      <c r="F258" s="1331"/>
      <c r="G258" s="1331"/>
      <c r="H258" s="1331"/>
      <c r="I258" s="1331"/>
    </row>
    <row r="259" spans="1:27" ht="15" customHeight="1">
      <c r="A259" s="1054"/>
      <c r="B259" s="1055"/>
      <c r="C259" s="1056"/>
      <c r="D259" s="1056"/>
      <c r="E259" s="1057"/>
      <c r="F259" s="1058"/>
      <c r="G259" s="1058"/>
      <c r="H259" s="1059"/>
      <c r="I259" s="286"/>
    </row>
    <row r="260" spans="1:27" ht="15" customHeight="1">
      <c r="A260" s="1332"/>
      <c r="B260" s="1332"/>
      <c r="C260" s="1332"/>
      <c r="D260" s="1333"/>
      <c r="E260" s="1332"/>
      <c r="F260" s="1332"/>
      <c r="G260" s="1332"/>
      <c r="H260" s="1333"/>
      <c r="I260" s="1332"/>
    </row>
    <row r="261" spans="1:27" ht="38.25" customHeight="1">
      <c r="A261" s="1332"/>
      <c r="B261" s="1332"/>
      <c r="C261" s="1332"/>
      <c r="D261" s="1332"/>
      <c r="E261" s="1061"/>
      <c r="F261" s="1061"/>
      <c r="G261" s="1061"/>
      <c r="H261" s="1333"/>
      <c r="I261" s="1333"/>
    </row>
    <row r="262" spans="1:27" ht="15.75" customHeight="1">
      <c r="A262" s="1062"/>
      <c r="B262" s="1055"/>
      <c r="C262" s="1060"/>
      <c r="D262" s="1063"/>
      <c r="E262" s="1063"/>
      <c r="F262" s="1064"/>
      <c r="G262" s="1058"/>
      <c r="H262" s="1065"/>
      <c r="I262" s="1332"/>
      <c r="K262" s="8" t="s">
        <v>14</v>
      </c>
      <c r="L262" s="16">
        <f>'Daily Stock'!Q166</f>
        <v>0</v>
      </c>
      <c r="R262" s="309" t="s">
        <v>175</v>
      </c>
      <c r="S262" s="310"/>
    </row>
    <row r="263" spans="1:27" ht="18.75" customHeight="1">
      <c r="A263" s="1062"/>
      <c r="B263" s="1055"/>
      <c r="C263" s="1060"/>
      <c r="D263" s="1055"/>
      <c r="E263" s="1063"/>
      <c r="F263" s="1064"/>
      <c r="G263" s="1058"/>
      <c r="H263" s="1065"/>
      <c r="I263" s="1332"/>
      <c r="K263" s="8" t="s">
        <v>112</v>
      </c>
      <c r="L263" s="16">
        <f>'Daily Stock'!Q167</f>
        <v>0</v>
      </c>
      <c r="R263" s="311" t="s">
        <v>100</v>
      </c>
      <c r="S263" s="312"/>
      <c r="T263" s="313" t="s">
        <v>9</v>
      </c>
      <c r="U263" s="313" t="s">
        <v>113</v>
      </c>
      <c r="V263" s="314" t="s">
        <v>114</v>
      </c>
    </row>
    <row r="264" spans="1:27" ht="15" customHeight="1">
      <c r="A264" s="1062"/>
      <c r="B264" s="1055"/>
      <c r="C264" s="1055"/>
      <c r="D264" s="1055"/>
      <c r="E264" s="1057"/>
      <c r="F264" s="1058"/>
      <c r="G264" s="1058"/>
      <c r="H264" s="1065"/>
      <c r="I264" s="1334"/>
      <c r="K264" s="22" t="s">
        <v>117</v>
      </c>
      <c r="L264" s="16">
        <f>'Daily Stock'!Q168</f>
        <v>0</v>
      </c>
      <c r="R264" s="317" t="s">
        <v>118</v>
      </c>
      <c r="S264" s="318">
        <v>6</v>
      </c>
      <c r="T264" s="319">
        <f>U264</f>
        <v>0</v>
      </c>
      <c r="U264" s="320">
        <f>H264</f>
        <v>0</v>
      </c>
      <c r="V264" s="321" t="s">
        <v>119</v>
      </c>
    </row>
    <row r="265" spans="1:27" ht="15" customHeight="1">
      <c r="A265" s="1062"/>
      <c r="B265" s="1055"/>
      <c r="C265" s="1055"/>
      <c r="D265" s="1055"/>
      <c r="E265" s="1057"/>
      <c r="F265" s="1058"/>
      <c r="G265" s="1058"/>
      <c r="H265" s="1065"/>
      <c r="I265" s="1334"/>
      <c r="K265" s="22" t="s">
        <v>17</v>
      </c>
      <c r="L265" s="16">
        <f>'Daily Stock'!Q169</f>
        <v>0</v>
      </c>
      <c r="R265" s="317"/>
      <c r="S265" s="322"/>
      <c r="T265" s="323"/>
      <c r="U265" s="320">
        <v>0</v>
      </c>
      <c r="V265" s="324"/>
    </row>
    <row r="266" spans="1:27" ht="15" customHeight="1">
      <c r="A266" s="1062"/>
      <c r="B266" s="1055"/>
      <c r="C266" s="1055"/>
      <c r="D266" s="1055"/>
      <c r="E266" s="1057"/>
      <c r="F266" s="1058"/>
      <c r="G266" s="1058"/>
      <c r="H266" s="1065"/>
      <c r="I266" s="1334"/>
      <c r="K266" s="22" t="s">
        <v>18</v>
      </c>
      <c r="L266" s="16">
        <f>'Daily Stock'!Q170</f>
        <v>0</v>
      </c>
      <c r="R266" s="317"/>
      <c r="S266" s="236" t="s">
        <v>121</v>
      </c>
      <c r="T266" s="320">
        <v>0</v>
      </c>
      <c r="U266" s="320">
        <v>0</v>
      </c>
      <c r="V266" s="325"/>
    </row>
    <row r="267" spans="1:27" ht="15" customHeight="1">
      <c r="A267" s="1062"/>
      <c r="B267" s="1055"/>
      <c r="C267" s="1055"/>
      <c r="D267" s="1055"/>
      <c r="E267" s="1057"/>
      <c r="F267" s="1058"/>
      <c r="G267" s="1058"/>
      <c r="H267" s="1065"/>
      <c r="I267" s="1335"/>
      <c r="K267" s="22" t="s">
        <v>19</v>
      </c>
      <c r="L267" s="16">
        <f>'Daily Stock'!Q171</f>
        <v>0</v>
      </c>
      <c r="R267" s="326" t="s">
        <v>123</v>
      </c>
      <c r="S267" s="318">
        <v>6</v>
      </c>
      <c r="T267" s="319">
        <f>U267</f>
        <v>0</v>
      </c>
      <c r="U267" s="319">
        <f>H268</f>
        <v>0</v>
      </c>
      <c r="V267" s="321" t="s">
        <v>119</v>
      </c>
    </row>
    <row r="268" spans="1:27" ht="15" customHeight="1">
      <c r="A268" s="1062"/>
      <c r="B268" s="1055"/>
      <c r="C268" s="1055"/>
      <c r="D268" s="1055"/>
      <c r="E268" s="1057"/>
      <c r="F268" s="1058"/>
      <c r="G268" s="1058"/>
      <c r="H268" s="1065"/>
      <c r="I268" s="1335"/>
      <c r="K268" s="22" t="s">
        <v>20</v>
      </c>
      <c r="L268" s="16">
        <f>'Daily Stock'!Q172</f>
        <v>0</v>
      </c>
      <c r="R268" s="327"/>
      <c r="S268" s="328"/>
      <c r="T268" s="329"/>
      <c r="U268" s="329"/>
      <c r="V268" s="324"/>
    </row>
    <row r="269" spans="1:27" ht="15.75" customHeight="1">
      <c r="A269" s="1062"/>
      <c r="B269" s="1055"/>
      <c r="C269" s="1055"/>
      <c r="D269" s="1055"/>
      <c r="E269" s="1057"/>
      <c r="F269" s="1058"/>
      <c r="G269" s="1058"/>
      <c r="H269" s="1065"/>
      <c r="I269" s="1335"/>
      <c r="K269" s="22" t="s">
        <v>124</v>
      </c>
      <c r="L269" s="16">
        <f>'Daily Stock'!Q173</f>
        <v>0</v>
      </c>
      <c r="R269" s="327"/>
      <c r="S269" s="318">
        <v>4</v>
      </c>
      <c r="T269" s="319">
        <f>U269</f>
        <v>0</v>
      </c>
      <c r="U269" s="319">
        <f>G270</f>
        <v>0</v>
      </c>
      <c r="V269" s="321" t="s">
        <v>119</v>
      </c>
      <c r="X269" s="1304" t="str">
        <f>R262</f>
        <v>As on 09.10.2026</v>
      </c>
      <c r="Y269" s="1304"/>
      <c r="Z269" s="1304"/>
      <c r="AA269" s="1304"/>
    </row>
    <row r="270" spans="1:27" ht="15" customHeight="1">
      <c r="A270" s="1062"/>
      <c r="B270" s="1055"/>
      <c r="C270" s="1055"/>
      <c r="D270" s="1055"/>
      <c r="E270" s="1057"/>
      <c r="F270" s="1058"/>
      <c r="G270" s="1058"/>
      <c r="H270" s="1065"/>
      <c r="I270" s="1335"/>
      <c r="K270" s="22" t="s">
        <v>22</v>
      </c>
      <c r="L270" s="16">
        <f>'Daily Stock'!Q174</f>
        <v>0</v>
      </c>
      <c r="R270" s="327"/>
      <c r="S270" s="328"/>
      <c r="T270" s="329"/>
      <c r="U270" s="329"/>
      <c r="V270" s="324"/>
      <c r="X270" s="363" t="s">
        <v>125</v>
      </c>
      <c r="Y270" s="364" t="s">
        <v>126</v>
      </c>
      <c r="Z270" s="364" t="s">
        <v>127</v>
      </c>
      <c r="AA270" s="365" t="s">
        <v>128</v>
      </c>
    </row>
    <row r="271" spans="1:27" ht="15" customHeight="1">
      <c r="A271" s="1062"/>
      <c r="B271" s="1055"/>
      <c r="C271" s="1055"/>
      <c r="D271" s="1055"/>
      <c r="E271" s="1057"/>
      <c r="F271" s="1058"/>
      <c r="G271" s="1058"/>
      <c r="H271" s="1065"/>
      <c r="I271" s="1335"/>
      <c r="K271" s="22" t="s">
        <v>23</v>
      </c>
      <c r="L271" s="16">
        <f>'Daily Stock'!Q175</f>
        <v>0</v>
      </c>
      <c r="R271" s="327"/>
      <c r="S271" s="318">
        <v>3</v>
      </c>
      <c r="T271" s="319">
        <f>U271</f>
        <v>0</v>
      </c>
      <c r="U271" s="319">
        <f>G267</f>
        <v>0</v>
      </c>
      <c r="V271" s="321" t="s">
        <v>119</v>
      </c>
      <c r="X271" s="366" t="s">
        <v>129</v>
      </c>
      <c r="Y271" s="367">
        <f>I264</f>
        <v>0</v>
      </c>
      <c r="Z271" s="367">
        <f>I267</f>
        <v>0</v>
      </c>
      <c r="AA271" s="368">
        <f>I274</f>
        <v>0</v>
      </c>
    </row>
    <row r="272" spans="1:27" ht="15.75" customHeight="1">
      <c r="A272" s="1062"/>
      <c r="B272" s="1055"/>
      <c r="C272" s="1055"/>
      <c r="D272" s="1055"/>
      <c r="E272" s="1057"/>
      <c r="F272" s="1058"/>
      <c r="G272" s="1058"/>
      <c r="H272" s="1065"/>
      <c r="I272" s="1066"/>
      <c r="K272" s="25" t="s">
        <v>24</v>
      </c>
      <c r="L272" s="16">
        <f>'Daily Stock'!Q176</f>
        <v>0</v>
      </c>
      <c r="R272" s="327"/>
      <c r="S272" s="328"/>
      <c r="T272" s="329"/>
      <c r="U272" s="329"/>
      <c r="V272" s="324"/>
      <c r="W272" s="286"/>
      <c r="X272" s="366" t="s">
        <v>132</v>
      </c>
      <c r="Y272" s="206"/>
      <c r="Z272" s="367">
        <f>G277+G273</f>
        <v>0</v>
      </c>
      <c r="AA272" s="368">
        <f>G279+G278</f>
        <v>0</v>
      </c>
    </row>
    <row r="273" spans="1:27" ht="15" customHeight="1">
      <c r="A273" s="1062"/>
      <c r="B273" s="1055"/>
      <c r="C273" s="1055"/>
      <c r="D273" s="1055"/>
      <c r="E273" s="1057"/>
      <c r="F273" s="1058"/>
      <c r="G273" s="1058"/>
      <c r="H273" s="1065"/>
      <c r="I273" s="1066"/>
      <c r="J273" s="378"/>
      <c r="R273" s="327"/>
      <c r="S273" s="318">
        <v>5</v>
      </c>
      <c r="T273" s="319">
        <f>U273</f>
        <v>0</v>
      </c>
      <c r="U273" s="319">
        <f>G269</f>
        <v>0</v>
      </c>
      <c r="V273" s="321" t="s">
        <v>119</v>
      </c>
      <c r="W273" s="379"/>
      <c r="X273" s="366"/>
      <c r="Y273" s="206"/>
      <c r="Z273" s="206"/>
      <c r="AA273" s="368"/>
    </row>
    <row r="274" spans="1:27" ht="15" customHeight="1">
      <c r="A274" s="1062"/>
      <c r="B274" s="1055"/>
      <c r="C274" s="1055"/>
      <c r="D274" s="1055"/>
      <c r="E274" s="1057"/>
      <c r="F274" s="1058"/>
      <c r="G274" s="1058"/>
      <c r="H274" s="401"/>
      <c r="I274" s="1336"/>
      <c r="K274" s="338">
        <f>'Monthly Prod'!B11</f>
        <v>0</v>
      </c>
      <c r="L274" s="338">
        <f>'Monthly Prod'!C11</f>
        <v>0</v>
      </c>
      <c r="M274" s="338">
        <f>'Monthly Prod'!D11</f>
        <v>0</v>
      </c>
      <c r="N274" s="338">
        <f>'Monthly Prod'!E11</f>
        <v>0</v>
      </c>
      <c r="O274" s="338">
        <f>'Monthly Prod'!F11</f>
        <v>0</v>
      </c>
      <c r="P274" s="338">
        <f>'Monthly Prod'!H11</f>
        <v>0</v>
      </c>
      <c r="Q274" t="s">
        <v>134</v>
      </c>
      <c r="R274" s="339"/>
      <c r="S274" s="340" t="s">
        <v>121</v>
      </c>
      <c r="T274" s="319">
        <f>U274</f>
        <v>0</v>
      </c>
      <c r="U274" s="319">
        <f>G271</f>
        <v>0</v>
      </c>
      <c r="V274" s="321" t="s">
        <v>119</v>
      </c>
      <c r="W274" s="379"/>
      <c r="X274" s="380" t="s">
        <v>135</v>
      </c>
      <c r="Y274" s="381">
        <f>SUM(Y271:Y273)</f>
        <v>0</v>
      </c>
      <c r="Z274" s="381">
        <f>SUM(Z271:Z273)</f>
        <v>0</v>
      </c>
      <c r="AA274" s="381">
        <f>SUM(AA271:AA273)</f>
        <v>0</v>
      </c>
    </row>
    <row r="275" spans="1:27" ht="15" customHeight="1">
      <c r="A275" s="1062"/>
      <c r="B275" s="1055"/>
      <c r="C275" s="1055"/>
      <c r="D275" s="1055"/>
      <c r="E275" s="1057"/>
      <c r="F275" s="1058"/>
      <c r="G275" s="1058"/>
      <c r="H275" s="1065"/>
      <c r="I275" s="1336"/>
      <c r="K275" s="286" t="s">
        <v>136</v>
      </c>
      <c r="L275" s="286" t="s">
        <v>137</v>
      </c>
      <c r="M275" s="277" t="s">
        <v>4</v>
      </c>
      <c r="N275" s="277" t="s">
        <v>138</v>
      </c>
      <c r="O275" s="286" t="s">
        <v>139</v>
      </c>
      <c r="P275" s="286" t="s">
        <v>140</v>
      </c>
      <c r="R275" s="326" t="s">
        <v>141</v>
      </c>
      <c r="S275" s="236">
        <v>6</v>
      </c>
      <c r="T275" s="320">
        <v>0</v>
      </c>
      <c r="U275" s="320">
        <v>0</v>
      </c>
      <c r="V275" s="325"/>
      <c r="W275" s="379"/>
    </row>
    <row r="276" spans="1:27" ht="15" customHeight="1">
      <c r="A276" s="1062"/>
      <c r="B276" s="1055"/>
      <c r="C276" s="1055"/>
      <c r="D276" s="1055"/>
      <c r="E276" s="1057"/>
      <c r="F276" s="1058"/>
      <c r="G276" s="1058"/>
      <c r="H276" s="1065"/>
      <c r="I276" s="1336"/>
      <c r="K276" s="282">
        <f ca="1">SUM('Monthly Prod'!B3:B11)</f>
        <v>0</v>
      </c>
      <c r="L276" s="282">
        <f ca="1">SUM('Monthly Prod'!C3:C11)</f>
        <v>0</v>
      </c>
      <c r="M276" s="282">
        <f ca="1">SUM('Monthly Prod'!D3:D11)</f>
        <v>0</v>
      </c>
      <c r="N276" s="282">
        <f ca="1">SUM('Monthly Prod'!E3:E11)</f>
        <v>0</v>
      </c>
      <c r="O276" s="282">
        <f ca="1">SUM('Monthly Prod'!F3:F11)</f>
        <v>0</v>
      </c>
      <c r="P276" s="282">
        <f ca="1">SUM('Monthly Prod'!H3:H11)</f>
        <v>0</v>
      </c>
      <c r="Q276" t="s">
        <v>142</v>
      </c>
      <c r="R276" s="327"/>
      <c r="S276" s="341">
        <v>4.8</v>
      </c>
      <c r="T276" s="342"/>
      <c r="U276" s="342"/>
      <c r="V276" s="343"/>
      <c r="W276" s="379"/>
      <c r="X276" s="370" t="s">
        <v>143</v>
      </c>
      <c r="Y276" s="371"/>
      <c r="Z276" s="371" t="s">
        <v>127</v>
      </c>
      <c r="AA276" s="372" t="s">
        <v>128</v>
      </c>
    </row>
    <row r="277" spans="1:27" ht="15" customHeight="1">
      <c r="A277" s="1062"/>
      <c r="B277" s="1055"/>
      <c r="C277" s="1055"/>
      <c r="D277" s="1055"/>
      <c r="E277" s="1057"/>
      <c r="F277" s="1058"/>
      <c r="G277" s="1058"/>
      <c r="H277" s="1065"/>
      <c r="I277" s="1336"/>
      <c r="R277" s="327"/>
      <c r="S277" s="318">
        <v>4</v>
      </c>
      <c r="T277" s="319">
        <f>U277</f>
        <v>0</v>
      </c>
      <c r="U277" s="319">
        <f>G275</f>
        <v>0</v>
      </c>
      <c r="V277" s="321" t="s">
        <v>119</v>
      </c>
      <c r="W277" s="379"/>
      <c r="X277" s="366"/>
      <c r="Y277" s="206" t="s">
        <v>145</v>
      </c>
      <c r="Z277" s="282">
        <v>400</v>
      </c>
      <c r="AA277" s="373" t="s">
        <v>146</v>
      </c>
    </row>
    <row r="278" spans="1:27" ht="15" customHeight="1">
      <c r="A278" s="1062"/>
      <c r="B278" s="1055"/>
      <c r="C278" s="1055"/>
      <c r="D278" s="1055"/>
      <c r="E278" s="1057"/>
      <c r="F278" s="1058"/>
      <c r="G278" s="1058"/>
      <c r="H278" s="1065"/>
      <c r="I278" s="1336"/>
      <c r="R278" s="327"/>
      <c r="S278" s="328"/>
      <c r="T278" s="329"/>
      <c r="U278" s="329"/>
      <c r="V278" s="324"/>
      <c r="W278" s="286"/>
      <c r="X278" s="374"/>
      <c r="Y278" s="206" t="s">
        <v>148</v>
      </c>
      <c r="Z278" s="282">
        <v>30.79</v>
      </c>
      <c r="AA278" s="369"/>
    </row>
    <row r="279" spans="1:27" ht="15" customHeight="1">
      <c r="A279" s="1062"/>
      <c r="B279" s="1055"/>
      <c r="C279" s="1055"/>
      <c r="D279" s="1055"/>
      <c r="E279" s="1057"/>
      <c r="F279" s="1058"/>
      <c r="G279" s="1058"/>
      <c r="H279" s="1055"/>
      <c r="I279" s="1055"/>
      <c r="R279" s="327"/>
      <c r="S279" s="318">
        <v>3</v>
      </c>
      <c r="T279" s="319">
        <f>U279</f>
        <v>0</v>
      </c>
      <c r="U279" s="319">
        <f>G274</f>
        <v>0</v>
      </c>
      <c r="V279" s="321" t="s">
        <v>119</v>
      </c>
      <c r="W279" s="379"/>
      <c r="X279" s="374"/>
      <c r="Y279" s="206" t="s">
        <v>133</v>
      </c>
      <c r="Z279" s="282">
        <v>146.5</v>
      </c>
      <c r="AA279" s="369"/>
    </row>
    <row r="280" spans="1:27" ht="15" customHeight="1">
      <c r="A280" s="1337"/>
      <c r="B280" s="1337"/>
      <c r="C280" s="1337"/>
      <c r="D280" s="1337"/>
      <c r="E280" s="1337"/>
      <c r="F280" s="1337"/>
      <c r="G280" s="1067"/>
      <c r="H280" s="1067"/>
      <c r="I280" s="1068"/>
      <c r="R280" s="327"/>
      <c r="S280" s="328"/>
      <c r="T280" s="329"/>
      <c r="U280" s="329"/>
      <c r="V280" s="324"/>
      <c r="X280" s="366"/>
      <c r="Y280" s="206" t="s">
        <v>158</v>
      </c>
      <c r="Z280" s="282"/>
      <c r="AA280" s="368">
        <v>400.91</v>
      </c>
    </row>
    <row r="281" spans="1:27" ht="15" customHeight="1">
      <c r="A281" s="1320"/>
      <c r="B281" s="1320"/>
      <c r="C281" s="1320"/>
      <c r="D281" s="1320"/>
      <c r="E281" s="1321"/>
      <c r="F281" s="1322"/>
      <c r="G281" s="1323"/>
      <c r="H281" s="1321"/>
      <c r="I281" s="1320"/>
      <c r="R281" s="327"/>
      <c r="S281" s="236">
        <v>5</v>
      </c>
      <c r="T281" s="320">
        <f>U281</f>
        <v>0</v>
      </c>
      <c r="U281" s="320">
        <f>G276</f>
        <v>0</v>
      </c>
      <c r="V281" s="325" t="s">
        <v>119</v>
      </c>
      <c r="X281" s="366"/>
      <c r="Y281" s="206" t="s">
        <v>150</v>
      </c>
      <c r="Z281" s="282"/>
      <c r="AA281" s="368">
        <v>1000</v>
      </c>
    </row>
    <row r="282" spans="1:27" ht="15.75" customHeight="1">
      <c r="A282" s="1320"/>
      <c r="B282" s="1320"/>
      <c r="C282" s="1320"/>
      <c r="D282" s="1320"/>
      <c r="E282" s="1320"/>
      <c r="F282" s="1320"/>
      <c r="G282" s="1320"/>
      <c r="H282" s="1320"/>
      <c r="I282" s="1320"/>
      <c r="R282" s="327"/>
      <c r="S282" s="236">
        <v>4.8</v>
      </c>
      <c r="T282" s="320">
        <v>0</v>
      </c>
      <c r="U282" s="320">
        <v>0</v>
      </c>
      <c r="V282" s="325" t="s">
        <v>119</v>
      </c>
      <c r="X282" s="375"/>
      <c r="Y282" s="245" t="s">
        <v>158</v>
      </c>
      <c r="Z282" s="376"/>
      <c r="AA282" s="377">
        <v>500</v>
      </c>
    </row>
    <row r="283" spans="1:27" ht="15" customHeight="1">
      <c r="A283" s="1072"/>
      <c r="B283" s="1072"/>
      <c r="C283" s="1072"/>
      <c r="D283" s="1072"/>
      <c r="E283" s="1072"/>
      <c r="F283" s="1072"/>
      <c r="G283" s="1073"/>
      <c r="H283" s="1074"/>
      <c r="I283" s="1075"/>
      <c r="R283" s="339"/>
      <c r="S283" s="236" t="s">
        <v>121</v>
      </c>
      <c r="T283" s="320">
        <v>0</v>
      </c>
      <c r="U283" s="320">
        <v>0</v>
      </c>
      <c r="V283" s="325" t="s">
        <v>119</v>
      </c>
    </row>
    <row r="284" spans="1:27" ht="15" customHeight="1">
      <c r="A284" s="1056"/>
      <c r="B284" s="1055"/>
      <c r="C284" s="1056"/>
      <c r="D284" s="1325"/>
      <c r="E284" s="1325"/>
      <c r="F284" s="1325"/>
      <c r="G284" s="1058"/>
      <c r="H284" s="1059"/>
      <c r="I284" s="286"/>
      <c r="R284" s="339"/>
      <c r="S284" s="236">
        <v>5</v>
      </c>
      <c r="T284" s="320">
        <v>0</v>
      </c>
      <c r="U284" s="320">
        <v>0</v>
      </c>
      <c r="V284" s="325"/>
    </row>
    <row r="285" spans="1:27" ht="15" customHeight="1">
      <c r="A285" s="1326"/>
      <c r="B285" s="1326"/>
      <c r="C285" s="1326"/>
      <c r="D285" s="1326"/>
      <c r="E285" s="1326"/>
      <c r="F285" s="1326"/>
      <c r="G285" s="1326"/>
      <c r="H285" s="1059"/>
      <c r="I285" s="286"/>
      <c r="R285" s="350"/>
      <c r="S285" s="211"/>
      <c r="T285" s="351">
        <f>SUM(T264:T284)</f>
        <v>0</v>
      </c>
      <c r="U285" s="351">
        <f>SUM(U264:U284)</f>
        <v>0</v>
      </c>
      <c r="V285" s="352"/>
    </row>
    <row r="286" spans="1:27" ht="25.5" customHeight="1">
      <c r="A286" s="1076"/>
      <c r="B286" s="1076"/>
      <c r="C286" s="1075"/>
      <c r="D286" s="1069"/>
      <c r="E286" s="1070"/>
      <c r="F286" s="1071"/>
      <c r="G286" s="1067"/>
      <c r="H286" s="1059"/>
      <c r="I286" s="286"/>
      <c r="R286" s="350"/>
      <c r="S286" s="211"/>
      <c r="T286" s="211"/>
      <c r="U286" s="211"/>
      <c r="V286" s="352"/>
    </row>
    <row r="287" spans="1:27" ht="15" customHeight="1">
      <c r="A287" s="1067"/>
      <c r="B287" s="1067"/>
      <c r="C287" s="1073"/>
      <c r="D287" s="1073"/>
      <c r="E287" s="1077"/>
      <c r="F287" s="1073"/>
      <c r="G287" s="1073"/>
      <c r="H287" s="1078"/>
      <c r="I287" s="286"/>
      <c r="R287" s="350"/>
      <c r="S287" s="211"/>
      <c r="T287" s="211"/>
      <c r="U287" s="211"/>
      <c r="V287" s="352"/>
    </row>
    <row r="288" spans="1:27" ht="15" customHeight="1">
      <c r="D288" s="1327"/>
      <c r="E288" s="1327"/>
      <c r="R288" s="350"/>
      <c r="S288" s="211"/>
      <c r="T288" s="211"/>
      <c r="U288" s="211"/>
      <c r="V288" s="352"/>
    </row>
    <row r="289" spans="1:27" ht="15.75" customHeight="1">
      <c r="A289" s="1330"/>
      <c r="B289" s="1330"/>
      <c r="C289" s="1330"/>
      <c r="D289" s="1330"/>
      <c r="E289" s="1330"/>
      <c r="F289" s="1330"/>
      <c r="G289" s="1330"/>
      <c r="H289" s="1330"/>
      <c r="I289" s="1330"/>
    </row>
    <row r="290" spans="1:27" ht="15" customHeight="1">
      <c r="A290" s="1331"/>
      <c r="B290" s="1331"/>
      <c r="C290" s="1331"/>
      <c r="D290" s="1331"/>
      <c r="E290" s="1331"/>
      <c r="F290" s="1331"/>
      <c r="G290" s="1331"/>
      <c r="H290" s="1331"/>
      <c r="I290" s="1331"/>
    </row>
    <row r="291" spans="1:27" ht="15" customHeight="1">
      <c r="A291" s="1054"/>
      <c r="B291" s="1055"/>
      <c r="C291" s="1056"/>
      <c r="D291" s="1056"/>
      <c r="E291" s="1057"/>
      <c r="F291" s="1058"/>
      <c r="G291" s="1058"/>
      <c r="H291" s="1059"/>
      <c r="I291" s="286"/>
    </row>
    <row r="292" spans="1:27" ht="15" customHeight="1">
      <c r="A292" s="1332"/>
      <c r="B292" s="1332"/>
      <c r="C292" s="1332"/>
      <c r="D292" s="1333"/>
      <c r="E292" s="1332"/>
      <c r="F292" s="1332"/>
      <c r="G292" s="1332"/>
      <c r="H292" s="1333"/>
      <c r="I292" s="1332"/>
    </row>
    <row r="293" spans="1:27" ht="38.25" customHeight="1">
      <c r="A293" s="1332"/>
      <c r="B293" s="1332"/>
      <c r="C293" s="1332"/>
      <c r="D293" s="1332"/>
      <c r="E293" s="1061"/>
      <c r="F293" s="1061"/>
      <c r="G293" s="1061"/>
      <c r="H293" s="1333"/>
      <c r="I293" s="1333"/>
    </row>
    <row r="294" spans="1:27" ht="15.75" customHeight="1">
      <c r="A294" s="1062"/>
      <c r="B294" s="1055"/>
      <c r="C294" s="1060"/>
      <c r="D294" s="1063"/>
      <c r="E294" s="1063"/>
      <c r="F294" s="1064"/>
      <c r="G294" s="1058"/>
      <c r="H294" s="1065"/>
      <c r="I294" s="1332"/>
      <c r="K294" s="8" t="s">
        <v>14</v>
      </c>
      <c r="L294" s="16">
        <f>'Daily Stock'!Q184</f>
        <v>0</v>
      </c>
      <c r="R294" s="309" t="s">
        <v>176</v>
      </c>
      <c r="S294" s="310"/>
    </row>
    <row r="295" spans="1:27" ht="18.75" customHeight="1">
      <c r="A295" s="1062"/>
      <c r="B295" s="1055"/>
      <c r="C295" s="1060"/>
      <c r="D295" s="1055"/>
      <c r="E295" s="1063"/>
      <c r="F295" s="1064"/>
      <c r="G295" s="1058"/>
      <c r="H295" s="1065"/>
      <c r="I295" s="1332"/>
      <c r="K295" s="8" t="s">
        <v>112</v>
      </c>
      <c r="L295" s="16">
        <f>'Daily Stock'!Q185</f>
        <v>0</v>
      </c>
      <c r="R295" s="311" t="s">
        <v>100</v>
      </c>
      <c r="S295" s="312"/>
      <c r="T295" s="313" t="s">
        <v>9</v>
      </c>
      <c r="U295" s="313" t="s">
        <v>113</v>
      </c>
      <c r="V295" s="314" t="s">
        <v>114</v>
      </c>
    </row>
    <row r="296" spans="1:27" ht="15" customHeight="1">
      <c r="A296" s="1062"/>
      <c r="B296" s="1055"/>
      <c r="C296" s="1055"/>
      <c r="D296" s="1055"/>
      <c r="E296" s="1057"/>
      <c r="F296" s="1058"/>
      <c r="G296" s="1058"/>
      <c r="H296" s="1065"/>
      <c r="I296" s="1334"/>
      <c r="K296" s="22" t="s">
        <v>117</v>
      </c>
      <c r="L296" s="16">
        <f>'Daily Stock'!Q186</f>
        <v>0</v>
      </c>
      <c r="R296" s="317" t="s">
        <v>118</v>
      </c>
      <c r="S296" s="318">
        <v>6</v>
      </c>
      <c r="T296" s="319">
        <f>U296</f>
        <v>0</v>
      </c>
      <c r="U296" s="320">
        <f>H296</f>
        <v>0</v>
      </c>
      <c r="V296" s="321" t="s">
        <v>119</v>
      </c>
    </row>
    <row r="297" spans="1:27" ht="15" customHeight="1">
      <c r="A297" s="1062"/>
      <c r="B297" s="1055"/>
      <c r="C297" s="1055"/>
      <c r="D297" s="1055"/>
      <c r="E297" s="1057"/>
      <c r="F297" s="1058"/>
      <c r="G297" s="1058"/>
      <c r="H297" s="1065"/>
      <c r="I297" s="1334"/>
      <c r="K297" s="22" t="s">
        <v>17</v>
      </c>
      <c r="L297" s="16">
        <f>'Daily Stock'!Q187</f>
        <v>0</v>
      </c>
      <c r="R297" s="317"/>
      <c r="S297" s="322"/>
      <c r="T297" s="323"/>
      <c r="U297" s="320">
        <v>0</v>
      </c>
      <c r="V297" s="324"/>
    </row>
    <row r="298" spans="1:27" ht="15" customHeight="1">
      <c r="A298" s="1062"/>
      <c r="B298" s="1055"/>
      <c r="C298" s="1055"/>
      <c r="D298" s="1055"/>
      <c r="E298" s="1057"/>
      <c r="F298" s="1058"/>
      <c r="G298" s="1058"/>
      <c r="H298" s="1065"/>
      <c r="I298" s="1334"/>
      <c r="K298" s="22" t="s">
        <v>18</v>
      </c>
      <c r="L298" s="16">
        <f>'Daily Stock'!Q188</f>
        <v>0</v>
      </c>
      <c r="R298" s="317"/>
      <c r="S298" s="236" t="s">
        <v>121</v>
      </c>
      <c r="T298" s="320">
        <v>0</v>
      </c>
      <c r="U298" s="320">
        <v>0</v>
      </c>
      <c r="V298" s="325"/>
      <c r="X298" t="s">
        <v>177</v>
      </c>
    </row>
    <row r="299" spans="1:27" ht="15" customHeight="1">
      <c r="A299" s="1062"/>
      <c r="B299" s="1055"/>
      <c r="C299" s="1055"/>
      <c r="D299" s="1055"/>
      <c r="E299" s="1057"/>
      <c r="F299" s="1058"/>
      <c r="G299" s="1058"/>
      <c r="H299" s="1065"/>
      <c r="I299" s="1335"/>
      <c r="K299" s="22" t="s">
        <v>19</v>
      </c>
      <c r="L299" s="16">
        <f>'Daily Stock'!Q189</f>
        <v>0</v>
      </c>
      <c r="R299" s="326" t="s">
        <v>123</v>
      </c>
      <c r="S299" s="318">
        <v>6</v>
      </c>
      <c r="T299" s="319">
        <f>U299</f>
        <v>0</v>
      </c>
      <c r="U299" s="319">
        <f>H300</f>
        <v>0</v>
      </c>
      <c r="V299" s="321" t="s">
        <v>119</v>
      </c>
    </row>
    <row r="300" spans="1:27" ht="15" customHeight="1">
      <c r="A300" s="1062"/>
      <c r="B300" s="1055"/>
      <c r="C300" s="1055"/>
      <c r="D300" s="1055"/>
      <c r="E300" s="1057"/>
      <c r="F300" s="1058"/>
      <c r="G300" s="1058"/>
      <c r="H300" s="1065"/>
      <c r="I300" s="1335"/>
      <c r="K300" s="22" t="s">
        <v>20</v>
      </c>
      <c r="L300" s="16">
        <f>'Daily Stock'!Q190</f>
        <v>0</v>
      </c>
      <c r="R300" s="327"/>
      <c r="S300" s="328"/>
      <c r="T300" s="329"/>
      <c r="U300" s="329"/>
      <c r="V300" s="324"/>
    </row>
    <row r="301" spans="1:27" ht="15.75" customHeight="1">
      <c r="A301" s="1062"/>
      <c r="B301" s="1055"/>
      <c r="C301" s="1055"/>
      <c r="D301" s="1055"/>
      <c r="E301" s="1057"/>
      <c r="F301" s="1058"/>
      <c r="G301" s="1058"/>
      <c r="H301" s="1065"/>
      <c r="I301" s="1335"/>
      <c r="K301" s="22" t="s">
        <v>124</v>
      </c>
      <c r="L301" s="16">
        <f>'Daily Stock'!Q191</f>
        <v>0</v>
      </c>
      <c r="R301" s="327"/>
      <c r="S301" s="318">
        <v>4</v>
      </c>
      <c r="T301" s="319">
        <f>U301</f>
        <v>0</v>
      </c>
      <c r="U301" s="319">
        <f>G302</f>
        <v>0</v>
      </c>
      <c r="V301" s="321" t="s">
        <v>119</v>
      </c>
      <c r="X301" s="1304" t="str">
        <f>R294</f>
        <v>As on 10.10.2026</v>
      </c>
      <c r="Y301" s="1304"/>
      <c r="Z301" s="1304"/>
      <c r="AA301" s="1304"/>
    </row>
    <row r="302" spans="1:27" ht="15" customHeight="1">
      <c r="A302" s="1062"/>
      <c r="B302" s="1055"/>
      <c r="C302" s="1055"/>
      <c r="D302" s="1055"/>
      <c r="E302" s="1057"/>
      <c r="F302" s="1058"/>
      <c r="G302" s="1058"/>
      <c r="H302" s="1065"/>
      <c r="I302" s="1335"/>
      <c r="K302" s="22" t="s">
        <v>22</v>
      </c>
      <c r="L302" s="16">
        <f>'Daily Stock'!Q192</f>
        <v>0</v>
      </c>
      <c r="R302" s="327"/>
      <c r="S302" s="328"/>
      <c r="T302" s="329"/>
      <c r="U302" s="329"/>
      <c r="V302" s="324"/>
      <c r="X302" s="363" t="s">
        <v>125</v>
      </c>
      <c r="Y302" s="364" t="s">
        <v>126</v>
      </c>
      <c r="Z302" s="364" t="s">
        <v>127</v>
      </c>
      <c r="AA302" s="365" t="s">
        <v>128</v>
      </c>
    </row>
    <row r="303" spans="1:27" ht="15" customHeight="1">
      <c r="A303" s="1062"/>
      <c r="B303" s="1055"/>
      <c r="C303" s="1055"/>
      <c r="D303" s="1055"/>
      <c r="E303" s="1057"/>
      <c r="F303" s="1058"/>
      <c r="G303" s="1058"/>
      <c r="H303" s="1065"/>
      <c r="I303" s="1335"/>
      <c r="K303" s="22" t="s">
        <v>23</v>
      </c>
      <c r="L303" s="16">
        <f>'Daily Stock'!Q193</f>
        <v>0</v>
      </c>
      <c r="R303" s="327"/>
      <c r="S303" s="318">
        <v>3</v>
      </c>
      <c r="T303" s="319">
        <f>U303</f>
        <v>0</v>
      </c>
      <c r="U303" s="319">
        <f>G299</f>
        <v>0</v>
      </c>
      <c r="V303" s="321" t="s">
        <v>119</v>
      </c>
      <c r="X303" s="366" t="s">
        <v>129</v>
      </c>
      <c r="Y303" s="367">
        <f>I296</f>
        <v>0</v>
      </c>
      <c r="Z303" s="367">
        <f>I299</f>
        <v>0</v>
      </c>
      <c r="AA303" s="368">
        <f>I306</f>
        <v>0</v>
      </c>
    </row>
    <row r="304" spans="1:27" ht="15.75" customHeight="1">
      <c r="A304" s="1062"/>
      <c r="B304" s="1055"/>
      <c r="C304" s="1055"/>
      <c r="D304" s="1055"/>
      <c r="E304" s="1057"/>
      <c r="F304" s="1058"/>
      <c r="G304" s="1058"/>
      <c r="H304" s="1065"/>
      <c r="I304" s="1066"/>
      <c r="K304" s="25" t="s">
        <v>24</v>
      </c>
      <c r="L304" s="16">
        <f>'Daily Stock'!Q194</f>
        <v>0</v>
      </c>
      <c r="R304" s="327"/>
      <c r="S304" s="328"/>
      <c r="T304" s="329"/>
      <c r="U304" s="329"/>
      <c r="V304" s="324"/>
      <c r="W304" s="286"/>
      <c r="X304" s="366" t="s">
        <v>132</v>
      </c>
      <c r="Y304" s="206"/>
      <c r="Z304" s="367">
        <f>G309+G305</f>
        <v>0</v>
      </c>
      <c r="AA304" s="368">
        <f>G311+G310</f>
        <v>0</v>
      </c>
    </row>
    <row r="305" spans="1:27" ht="15" customHeight="1">
      <c r="A305" s="1062"/>
      <c r="B305" s="1055"/>
      <c r="C305" s="1055"/>
      <c r="D305" s="1055"/>
      <c r="E305" s="1057"/>
      <c r="F305" s="1058"/>
      <c r="G305" s="1058"/>
      <c r="H305" s="1065"/>
      <c r="I305" s="1066"/>
      <c r="R305" s="327"/>
      <c r="S305" s="318">
        <v>5</v>
      </c>
      <c r="T305" s="319">
        <f>U305</f>
        <v>0</v>
      </c>
      <c r="U305" s="319">
        <f>G301</f>
        <v>0</v>
      </c>
      <c r="V305" s="321" t="s">
        <v>119</v>
      </c>
      <c r="W305" s="379"/>
      <c r="X305" s="366"/>
      <c r="Y305" s="206"/>
      <c r="Z305" s="206"/>
      <c r="AA305" s="368"/>
    </row>
    <row r="306" spans="1:27" ht="15" customHeight="1">
      <c r="A306" s="1062"/>
      <c r="B306" s="1055"/>
      <c r="C306" s="1055"/>
      <c r="D306" s="1055"/>
      <c r="E306" s="1057"/>
      <c r="F306" s="1058"/>
      <c r="G306" s="1058"/>
      <c r="H306" s="401"/>
      <c r="I306" s="1336"/>
      <c r="K306" s="338">
        <f>'Monthly Prod'!B12</f>
        <v>0</v>
      </c>
      <c r="L306" s="338">
        <f>'Monthly Prod'!C12</f>
        <v>0</v>
      </c>
      <c r="M306" s="338">
        <f>'Monthly Prod'!D12</f>
        <v>0</v>
      </c>
      <c r="N306" s="338">
        <f>'Monthly Prod'!E12</f>
        <v>0</v>
      </c>
      <c r="O306" s="338">
        <f>'Monthly Prod'!F12</f>
        <v>0</v>
      </c>
      <c r="P306" s="338">
        <f>'Monthly Prod'!H12</f>
        <v>0</v>
      </c>
      <c r="Q306" t="s">
        <v>134</v>
      </c>
      <c r="R306" s="339"/>
      <c r="S306" s="340" t="s">
        <v>121</v>
      </c>
      <c r="T306" s="319">
        <f>U306</f>
        <v>0</v>
      </c>
      <c r="U306" s="319">
        <f>G303</f>
        <v>0</v>
      </c>
      <c r="V306" s="321" t="s">
        <v>119</v>
      </c>
      <c r="W306" s="379"/>
      <c r="X306" s="380" t="s">
        <v>135</v>
      </c>
      <c r="Y306" s="381">
        <f>SUM(Y303:Y305)</f>
        <v>0</v>
      </c>
      <c r="Z306" s="381">
        <f>SUM(Z303:Z305)</f>
        <v>0</v>
      </c>
      <c r="AA306" s="381">
        <f>SUM(AA303:AA305)</f>
        <v>0</v>
      </c>
    </row>
    <row r="307" spans="1:27" ht="15" customHeight="1">
      <c r="A307" s="1062"/>
      <c r="B307" s="1055"/>
      <c r="C307" s="1055"/>
      <c r="D307" s="1055"/>
      <c r="E307" s="1057"/>
      <c r="F307" s="1058"/>
      <c r="G307" s="1058"/>
      <c r="H307" s="1065"/>
      <c r="I307" s="1336"/>
      <c r="K307" s="286" t="s">
        <v>136</v>
      </c>
      <c r="L307" s="286" t="s">
        <v>137</v>
      </c>
      <c r="M307" s="277" t="s">
        <v>4</v>
      </c>
      <c r="N307" s="277" t="s">
        <v>138</v>
      </c>
      <c r="O307" s="286" t="s">
        <v>139</v>
      </c>
      <c r="P307" s="286" t="s">
        <v>140</v>
      </c>
      <c r="R307" s="326" t="s">
        <v>141</v>
      </c>
      <c r="S307" s="236">
        <v>6</v>
      </c>
      <c r="T307" s="320">
        <v>0</v>
      </c>
      <c r="U307" s="320">
        <v>0</v>
      </c>
      <c r="V307" s="325"/>
      <c r="W307" s="379"/>
    </row>
    <row r="308" spans="1:27" ht="15" customHeight="1">
      <c r="A308" s="1062"/>
      <c r="B308" s="1055"/>
      <c r="C308" s="1055"/>
      <c r="D308" s="1055"/>
      <c r="E308" s="1057"/>
      <c r="F308" s="1058"/>
      <c r="G308" s="1058"/>
      <c r="H308" s="1065"/>
      <c r="I308" s="1336"/>
      <c r="K308" s="282">
        <f ca="1">SUM('Monthly Prod'!B3:B12)</f>
        <v>0</v>
      </c>
      <c r="L308" s="282">
        <f ca="1">SUM('Monthly Prod'!C3:C12)</f>
        <v>0</v>
      </c>
      <c r="M308" s="282">
        <f ca="1">SUM('Monthly Prod'!D3:D12)</f>
        <v>0</v>
      </c>
      <c r="N308" s="282">
        <f ca="1">SUM('Monthly Prod'!E3:E12)</f>
        <v>0</v>
      </c>
      <c r="O308" s="282">
        <f ca="1">SUM('Monthly Prod'!F3:F12)</f>
        <v>0</v>
      </c>
      <c r="P308" s="282">
        <f ca="1">SUM('Monthly Prod'!H3:H12)</f>
        <v>0</v>
      </c>
      <c r="Q308" t="s">
        <v>142</v>
      </c>
      <c r="R308" s="327"/>
      <c r="S308" s="341">
        <v>4.8</v>
      </c>
      <c r="T308" s="342"/>
      <c r="U308" s="342"/>
      <c r="V308" s="343"/>
      <c r="W308" s="379"/>
      <c r="X308" s="370" t="s">
        <v>143</v>
      </c>
      <c r="Y308" s="371"/>
      <c r="Z308" s="371" t="s">
        <v>127</v>
      </c>
      <c r="AA308" s="372" t="s">
        <v>128</v>
      </c>
    </row>
    <row r="309" spans="1:27" ht="15" customHeight="1">
      <c r="A309" s="1062"/>
      <c r="B309" s="1055"/>
      <c r="C309" s="1055"/>
      <c r="D309" s="1055"/>
      <c r="E309" s="1057"/>
      <c r="F309" s="1058"/>
      <c r="G309" s="1058"/>
      <c r="H309" s="1065"/>
      <c r="I309" s="1336"/>
      <c r="R309" s="327"/>
      <c r="S309" s="318">
        <v>4</v>
      </c>
      <c r="T309" s="319">
        <f>U309</f>
        <v>0</v>
      </c>
      <c r="U309" s="319">
        <f>G307</f>
        <v>0</v>
      </c>
      <c r="V309" s="321" t="s">
        <v>119</v>
      </c>
      <c r="W309" s="379"/>
      <c r="X309" s="366"/>
      <c r="Y309" s="206" t="s">
        <v>145</v>
      </c>
      <c r="Z309" s="282">
        <f>400-69.71</f>
        <v>330.29</v>
      </c>
      <c r="AA309" s="373" t="s">
        <v>146</v>
      </c>
    </row>
    <row r="310" spans="1:27" ht="15" customHeight="1">
      <c r="A310" s="1062"/>
      <c r="B310" s="1055"/>
      <c r="C310" s="1055"/>
      <c r="D310" s="1055"/>
      <c r="E310" s="1057"/>
      <c r="F310" s="1058"/>
      <c r="G310" s="1058"/>
      <c r="H310" s="1065"/>
      <c r="I310" s="1336"/>
      <c r="R310" s="327"/>
      <c r="S310" s="328"/>
      <c r="T310" s="329"/>
      <c r="U310" s="329"/>
      <c r="V310" s="324"/>
      <c r="W310" s="286"/>
      <c r="X310" s="374"/>
      <c r="Y310" s="206" t="s">
        <v>148</v>
      </c>
      <c r="Z310" s="282">
        <v>30.79</v>
      </c>
      <c r="AA310" s="369"/>
    </row>
    <row r="311" spans="1:27" ht="15" customHeight="1">
      <c r="A311" s="1062"/>
      <c r="B311" s="1055"/>
      <c r="C311" s="1055"/>
      <c r="D311" s="1055"/>
      <c r="E311" s="1057"/>
      <c r="F311" s="1058"/>
      <c r="G311" s="1058"/>
      <c r="H311" s="1055"/>
      <c r="I311" s="1055"/>
      <c r="R311" s="327"/>
      <c r="S311" s="318">
        <v>3</v>
      </c>
      <c r="T311" s="319">
        <f>U311</f>
        <v>0</v>
      </c>
      <c r="U311" s="319">
        <f>G306</f>
        <v>0</v>
      </c>
      <c r="V311" s="321" t="s">
        <v>119</v>
      </c>
      <c r="W311" s="379"/>
      <c r="X311" s="374"/>
      <c r="Y311" s="206" t="s">
        <v>133</v>
      </c>
      <c r="Z311" s="282">
        <f>146.5-74.8</f>
        <v>71.7</v>
      </c>
      <c r="AA311" s="369"/>
    </row>
    <row r="312" spans="1:27" ht="15" customHeight="1">
      <c r="A312" s="1337"/>
      <c r="B312" s="1337"/>
      <c r="C312" s="1337"/>
      <c r="D312" s="1337"/>
      <c r="E312" s="1337"/>
      <c r="F312" s="1337"/>
      <c r="G312" s="1067"/>
      <c r="H312" s="1067"/>
      <c r="I312" s="1068"/>
      <c r="R312" s="327"/>
      <c r="S312" s="328"/>
      <c r="T312" s="329"/>
      <c r="U312" s="329"/>
      <c r="V312" s="324"/>
      <c r="X312" s="366"/>
      <c r="Y312" s="206" t="s">
        <v>158</v>
      </c>
      <c r="Z312" s="282"/>
      <c r="AA312" s="368">
        <v>400.91</v>
      </c>
    </row>
    <row r="313" spans="1:27" ht="15" customHeight="1">
      <c r="A313" s="1320"/>
      <c r="B313" s="1320"/>
      <c r="C313" s="1320"/>
      <c r="D313" s="1320"/>
      <c r="E313" s="1321"/>
      <c r="F313" s="1322"/>
      <c r="G313" s="1323"/>
      <c r="H313" s="1321"/>
      <c r="I313" s="1320"/>
      <c r="R313" s="327"/>
      <c r="S313" s="236">
        <v>5</v>
      </c>
      <c r="T313" s="320">
        <f>U313</f>
        <v>0</v>
      </c>
      <c r="U313" s="320">
        <f>G308</f>
        <v>0</v>
      </c>
      <c r="V313" s="325" t="s">
        <v>119</v>
      </c>
      <c r="X313" s="366"/>
      <c r="Y313" s="206" t="s">
        <v>150</v>
      </c>
      <c r="Z313" s="282"/>
      <c r="AA313" s="368">
        <v>1000</v>
      </c>
    </row>
    <row r="314" spans="1:27" ht="15.75" customHeight="1">
      <c r="A314" s="1320"/>
      <c r="B314" s="1320"/>
      <c r="C314" s="1320"/>
      <c r="D314" s="1320"/>
      <c r="E314" s="1320"/>
      <c r="F314" s="1320"/>
      <c r="G314" s="1320"/>
      <c r="H314" s="1320"/>
      <c r="I314" s="1320"/>
      <c r="R314" s="327"/>
      <c r="S314" s="236">
        <v>4.8</v>
      </c>
      <c r="T314" s="320">
        <v>0</v>
      </c>
      <c r="U314" s="320">
        <v>0</v>
      </c>
      <c r="V314" s="325" t="s">
        <v>119</v>
      </c>
      <c r="X314" s="375"/>
      <c r="Y314" s="245" t="s">
        <v>158</v>
      </c>
      <c r="Z314" s="376"/>
      <c r="AA314" s="377">
        <v>500</v>
      </c>
    </row>
    <row r="315" spans="1:27" ht="15" customHeight="1">
      <c r="A315" s="1072"/>
      <c r="B315" s="1072"/>
      <c r="C315" s="1072"/>
      <c r="D315" s="1072"/>
      <c r="E315" s="1072"/>
      <c r="F315" s="1072"/>
      <c r="G315" s="1073"/>
      <c r="H315" s="1074"/>
      <c r="I315" s="1075"/>
      <c r="R315" s="339"/>
      <c r="S315" s="236" t="s">
        <v>121</v>
      </c>
      <c r="T315" s="320">
        <v>0</v>
      </c>
      <c r="U315" s="320">
        <v>0</v>
      </c>
      <c r="V315" s="325" t="s">
        <v>119</v>
      </c>
    </row>
    <row r="316" spans="1:27" ht="15" customHeight="1">
      <c r="A316" s="1056"/>
      <c r="B316" s="1055"/>
      <c r="C316" s="1056"/>
      <c r="D316" s="1325"/>
      <c r="E316" s="1325"/>
      <c r="F316" s="1325"/>
      <c r="G316" s="1058"/>
      <c r="H316" s="1059"/>
      <c r="I316" s="286"/>
      <c r="R316" s="339"/>
      <c r="S316" s="236">
        <v>5</v>
      </c>
      <c r="T316" s="320">
        <v>0</v>
      </c>
      <c r="U316" s="320">
        <v>0</v>
      </c>
      <c r="V316" s="325"/>
    </row>
    <row r="317" spans="1:27" ht="15" customHeight="1">
      <c r="A317" s="1326"/>
      <c r="B317" s="1326"/>
      <c r="C317" s="1326"/>
      <c r="D317" s="1326"/>
      <c r="E317" s="1326"/>
      <c r="F317" s="1326"/>
      <c r="G317" s="1326"/>
      <c r="H317" s="1059"/>
      <c r="I317" s="286"/>
      <c r="R317" s="350"/>
      <c r="S317" s="211"/>
      <c r="T317" s="351">
        <f>SUM(T296:T316)</f>
        <v>0</v>
      </c>
      <c r="U317" s="351">
        <f>SUM(U296:U316)</f>
        <v>0</v>
      </c>
      <c r="V317" s="352"/>
    </row>
    <row r="318" spans="1:27" ht="25.5" customHeight="1">
      <c r="A318" s="1076"/>
      <c r="B318" s="1076"/>
      <c r="C318" s="1075"/>
      <c r="D318" s="1069"/>
      <c r="E318" s="1070"/>
      <c r="F318" s="1071"/>
      <c r="G318" s="1067"/>
      <c r="H318" s="1059"/>
      <c r="I318" s="286"/>
      <c r="R318" s="350"/>
      <c r="S318" s="211"/>
      <c r="T318" s="211"/>
      <c r="U318" s="211"/>
      <c r="V318" s="352"/>
    </row>
    <row r="319" spans="1:27" ht="15" customHeight="1">
      <c r="A319" s="1067"/>
      <c r="B319" s="1067"/>
      <c r="C319" s="1073"/>
      <c r="D319" s="1073"/>
      <c r="E319" s="1077"/>
      <c r="F319" s="1073"/>
      <c r="G319" s="1073"/>
      <c r="H319" s="1078"/>
      <c r="I319" s="286"/>
      <c r="R319" s="350"/>
      <c r="S319" s="211"/>
      <c r="T319" s="211"/>
      <c r="U319" s="211"/>
      <c r="V319" s="352"/>
    </row>
    <row r="320" spans="1:27" ht="15" customHeight="1">
      <c r="D320" s="1327"/>
      <c r="E320" s="1327"/>
      <c r="R320" s="350"/>
      <c r="S320" s="211"/>
      <c r="T320" s="211"/>
      <c r="U320" s="211"/>
      <c r="V320" s="352"/>
    </row>
    <row r="321" spans="1:27" ht="15.75" customHeight="1">
      <c r="A321" s="1330"/>
      <c r="B321" s="1330"/>
      <c r="C321" s="1330"/>
      <c r="D321" s="1330"/>
      <c r="E321" s="1330"/>
      <c r="F321" s="1330"/>
      <c r="G321" s="1330"/>
      <c r="H321" s="1330"/>
      <c r="I321" s="1330"/>
    </row>
    <row r="322" spans="1:27" ht="15" customHeight="1">
      <c r="A322" s="1331"/>
      <c r="B322" s="1331"/>
      <c r="C322" s="1331"/>
      <c r="D322" s="1331"/>
      <c r="E322" s="1331"/>
      <c r="F322" s="1331"/>
      <c r="G322" s="1331"/>
      <c r="H322" s="1331"/>
      <c r="I322" s="1331"/>
    </row>
    <row r="323" spans="1:27" ht="15" customHeight="1">
      <c r="A323" s="1054"/>
      <c r="B323" s="1055"/>
      <c r="C323" s="1056"/>
      <c r="D323" s="1056"/>
      <c r="E323" s="1057"/>
      <c r="F323" s="1058"/>
      <c r="G323" s="1058"/>
      <c r="H323" s="1059"/>
      <c r="I323" s="286"/>
    </row>
    <row r="324" spans="1:27" ht="15" customHeight="1">
      <c r="A324" s="1332"/>
      <c r="B324" s="1332"/>
      <c r="C324" s="1332"/>
      <c r="D324" s="1333"/>
      <c r="E324" s="1332"/>
      <c r="F324" s="1332"/>
      <c r="G324" s="1332"/>
      <c r="H324" s="1333"/>
      <c r="I324" s="1332"/>
    </row>
    <row r="325" spans="1:27" ht="38.25" customHeight="1">
      <c r="A325" s="1332"/>
      <c r="B325" s="1332"/>
      <c r="C325" s="1332"/>
      <c r="D325" s="1332"/>
      <c r="E325" s="1061"/>
      <c r="F325" s="1061"/>
      <c r="G325" s="1061"/>
      <c r="H325" s="1333"/>
      <c r="I325" s="1333"/>
    </row>
    <row r="326" spans="1:27" ht="15.75" customHeight="1">
      <c r="A326" s="1062"/>
      <c r="B326" s="1055"/>
      <c r="C326" s="1060"/>
      <c r="D326" s="1063"/>
      <c r="E326" s="1063"/>
      <c r="F326" s="1064"/>
      <c r="G326" s="1058"/>
      <c r="H326" s="1065"/>
      <c r="I326" s="1332"/>
      <c r="K326" s="8" t="s">
        <v>14</v>
      </c>
      <c r="L326" s="16">
        <f>'Daily Stock'!Q202</f>
        <v>0</v>
      </c>
      <c r="R326" s="309" t="s">
        <v>178</v>
      </c>
      <c r="S326" s="310"/>
    </row>
    <row r="327" spans="1:27" ht="18.75" customHeight="1">
      <c r="A327" s="1062"/>
      <c r="B327" s="1055"/>
      <c r="C327" s="1060"/>
      <c r="D327" s="1055"/>
      <c r="E327" s="1063"/>
      <c r="F327" s="1064"/>
      <c r="G327" s="1058"/>
      <c r="H327" s="1065"/>
      <c r="I327" s="1332"/>
      <c r="K327" s="8" t="s">
        <v>112</v>
      </c>
      <c r="L327" s="16">
        <f>'Daily Stock'!Q203</f>
        <v>0</v>
      </c>
      <c r="R327" s="311" t="s">
        <v>100</v>
      </c>
      <c r="S327" s="312"/>
      <c r="T327" s="313" t="s">
        <v>9</v>
      </c>
      <c r="U327" s="313" t="s">
        <v>113</v>
      </c>
      <c r="V327" s="314" t="s">
        <v>114</v>
      </c>
    </row>
    <row r="328" spans="1:27" ht="15" customHeight="1">
      <c r="A328" s="1062"/>
      <c r="B328" s="1055"/>
      <c r="C328" s="1055"/>
      <c r="D328" s="1055"/>
      <c r="E328" s="1057"/>
      <c r="F328" s="1058"/>
      <c r="G328" s="1058"/>
      <c r="H328" s="1065"/>
      <c r="I328" s="1334"/>
      <c r="K328" s="22" t="s">
        <v>117</v>
      </c>
      <c r="L328" s="16">
        <f>'Daily Stock'!Q204</f>
        <v>0</v>
      </c>
      <c r="R328" s="317" t="s">
        <v>118</v>
      </c>
      <c r="S328" s="318">
        <v>6</v>
      </c>
      <c r="T328" s="319">
        <f>U328</f>
        <v>0</v>
      </c>
      <c r="U328" s="320">
        <f>H328</f>
        <v>0</v>
      </c>
      <c r="V328" s="321" t="s">
        <v>119</v>
      </c>
    </row>
    <row r="329" spans="1:27" ht="15" customHeight="1">
      <c r="A329" s="1062"/>
      <c r="B329" s="1055"/>
      <c r="C329" s="1055"/>
      <c r="D329" s="1055"/>
      <c r="E329" s="1057"/>
      <c r="F329" s="1058"/>
      <c r="G329" s="1058"/>
      <c r="H329" s="1065"/>
      <c r="I329" s="1334"/>
      <c r="K329" s="22" t="s">
        <v>17</v>
      </c>
      <c r="L329" s="16">
        <f>'Daily Stock'!Q205</f>
        <v>0</v>
      </c>
      <c r="R329" s="317"/>
      <c r="S329" s="322"/>
      <c r="T329" s="323"/>
      <c r="U329" s="320">
        <v>0</v>
      </c>
      <c r="V329" s="324"/>
    </row>
    <row r="330" spans="1:27" ht="15" customHeight="1">
      <c r="A330" s="1062"/>
      <c r="B330" s="1055"/>
      <c r="C330" s="1055"/>
      <c r="D330" s="1055"/>
      <c r="E330" s="1057"/>
      <c r="F330" s="1058"/>
      <c r="G330" s="1058"/>
      <c r="H330" s="1065"/>
      <c r="I330" s="1334"/>
      <c r="K330" s="22" t="s">
        <v>18</v>
      </c>
      <c r="L330" s="16">
        <f>'Daily Stock'!Q206</f>
        <v>0</v>
      </c>
      <c r="R330" s="317"/>
      <c r="S330" s="236" t="s">
        <v>121</v>
      </c>
      <c r="T330" s="320">
        <v>0</v>
      </c>
      <c r="U330" s="320">
        <v>0</v>
      </c>
      <c r="V330" s="325"/>
    </row>
    <row r="331" spans="1:27" ht="15" customHeight="1">
      <c r="A331" s="1062"/>
      <c r="B331" s="1055"/>
      <c r="C331" s="1055"/>
      <c r="D331" s="1055"/>
      <c r="E331" s="1057"/>
      <c r="F331" s="1058"/>
      <c r="G331" s="1058"/>
      <c r="H331" s="1065"/>
      <c r="I331" s="1335"/>
      <c r="K331" s="22" t="s">
        <v>19</v>
      </c>
      <c r="L331" s="16">
        <f>'Daily Stock'!Q207</f>
        <v>0</v>
      </c>
      <c r="R331" s="326" t="s">
        <v>123</v>
      </c>
      <c r="S331" s="318">
        <v>6</v>
      </c>
      <c r="T331" s="319">
        <f>U331</f>
        <v>0</v>
      </c>
      <c r="U331" s="319">
        <f>H332</f>
        <v>0</v>
      </c>
      <c r="V331" s="321" t="s">
        <v>119</v>
      </c>
    </row>
    <row r="332" spans="1:27" ht="15" customHeight="1">
      <c r="A332" s="1062"/>
      <c r="B332" s="1055"/>
      <c r="C332" s="1055"/>
      <c r="D332" s="1055"/>
      <c r="E332" s="1057"/>
      <c r="F332" s="1058"/>
      <c r="G332" s="1058"/>
      <c r="H332" s="1065"/>
      <c r="I332" s="1335"/>
      <c r="K332" s="22" t="s">
        <v>20</v>
      </c>
      <c r="L332" s="16">
        <f>'Daily Stock'!Q208</f>
        <v>0</v>
      </c>
      <c r="R332" s="327"/>
      <c r="S332" s="328"/>
      <c r="T332" s="329"/>
      <c r="U332" s="329"/>
      <c r="V332" s="324"/>
    </row>
    <row r="333" spans="1:27" ht="15.75" customHeight="1">
      <c r="A333" s="1062"/>
      <c r="B333" s="1055"/>
      <c r="C333" s="1055"/>
      <c r="D333" s="1055"/>
      <c r="E333" s="1057"/>
      <c r="F333" s="1058"/>
      <c r="G333" s="1058"/>
      <c r="H333" s="1065"/>
      <c r="I333" s="1335"/>
      <c r="K333" s="22" t="s">
        <v>124</v>
      </c>
      <c r="L333" s="16">
        <f>'Daily Stock'!Q209</f>
        <v>0</v>
      </c>
      <c r="R333" s="327"/>
      <c r="S333" s="318">
        <v>4</v>
      </c>
      <c r="T333" s="319">
        <f>U333</f>
        <v>0</v>
      </c>
      <c r="U333" s="319">
        <f>G334</f>
        <v>0</v>
      </c>
      <c r="V333" s="321" t="s">
        <v>119</v>
      </c>
      <c r="X333" s="1304" t="str">
        <f>R326</f>
        <v>As on 11.10.2026</v>
      </c>
      <c r="Y333" s="1304"/>
      <c r="Z333" s="1304"/>
      <c r="AA333" s="1304"/>
    </row>
    <row r="334" spans="1:27" ht="15" customHeight="1">
      <c r="A334" s="1062"/>
      <c r="B334" s="1055"/>
      <c r="C334" s="1055"/>
      <c r="D334" s="1055"/>
      <c r="E334" s="1057"/>
      <c r="F334" s="1058"/>
      <c r="G334" s="1058"/>
      <c r="H334" s="1065"/>
      <c r="I334" s="1335"/>
      <c r="K334" s="22" t="s">
        <v>22</v>
      </c>
      <c r="L334" s="16">
        <f>'Daily Stock'!Q210</f>
        <v>0</v>
      </c>
      <c r="R334" s="327"/>
      <c r="S334" s="328"/>
      <c r="T334" s="329"/>
      <c r="U334" s="329"/>
      <c r="V334" s="324"/>
      <c r="X334" s="363" t="s">
        <v>125</v>
      </c>
      <c r="Y334" s="364" t="s">
        <v>126</v>
      </c>
      <c r="Z334" s="364" t="s">
        <v>127</v>
      </c>
      <c r="AA334" s="365" t="s">
        <v>128</v>
      </c>
    </row>
    <row r="335" spans="1:27" ht="15" customHeight="1">
      <c r="A335" s="1062"/>
      <c r="B335" s="1055"/>
      <c r="C335" s="1055"/>
      <c r="D335" s="1055"/>
      <c r="E335" s="1057"/>
      <c r="F335" s="1058"/>
      <c r="G335" s="1058"/>
      <c r="H335" s="1065"/>
      <c r="I335" s="1335"/>
      <c r="K335" s="22" t="s">
        <v>23</v>
      </c>
      <c r="L335" s="16">
        <f>'Daily Stock'!Q211</f>
        <v>0</v>
      </c>
      <c r="R335" s="327"/>
      <c r="S335" s="318">
        <v>3</v>
      </c>
      <c r="T335" s="319">
        <f>U335</f>
        <v>0</v>
      </c>
      <c r="U335" s="319">
        <f>G331</f>
        <v>0</v>
      </c>
      <c r="V335" s="321" t="s">
        <v>119</v>
      </c>
      <c r="X335" s="366" t="s">
        <v>129</v>
      </c>
      <c r="Y335" s="367">
        <f>I328</f>
        <v>0</v>
      </c>
      <c r="Z335" s="367">
        <f>I331</f>
        <v>0</v>
      </c>
      <c r="AA335" s="368">
        <f>I338</f>
        <v>0</v>
      </c>
    </row>
    <row r="336" spans="1:27" ht="15.75" customHeight="1">
      <c r="A336" s="1062"/>
      <c r="B336" s="1055"/>
      <c r="C336" s="1055"/>
      <c r="D336" s="1055"/>
      <c r="E336" s="1057"/>
      <c r="F336" s="1058"/>
      <c r="G336" s="1058"/>
      <c r="H336" s="1065"/>
      <c r="I336" s="1066"/>
      <c r="K336" s="25" t="s">
        <v>24</v>
      </c>
      <c r="L336" s="16">
        <f>'Daily Stock'!Q212</f>
        <v>0</v>
      </c>
      <c r="R336" s="327"/>
      <c r="S336" s="328"/>
      <c r="T336" s="329"/>
      <c r="U336" s="329"/>
      <c r="V336" s="324"/>
      <c r="W336" s="286"/>
      <c r="X336" s="366" t="s">
        <v>132</v>
      </c>
      <c r="Y336" s="206"/>
      <c r="Z336" s="367">
        <f>G341+G337</f>
        <v>0</v>
      </c>
      <c r="AA336" s="368">
        <f>G343+G342</f>
        <v>0</v>
      </c>
    </row>
    <row r="337" spans="1:27" ht="15" customHeight="1">
      <c r="A337" s="1062"/>
      <c r="B337" s="1055"/>
      <c r="C337" s="1055"/>
      <c r="D337" s="1055"/>
      <c r="E337" s="1057"/>
      <c r="F337" s="1058"/>
      <c r="G337" s="1058"/>
      <c r="H337" s="1065"/>
      <c r="I337" s="1066"/>
      <c r="R337" s="327"/>
      <c r="S337" s="318">
        <v>5</v>
      </c>
      <c r="T337" s="319">
        <f>U337</f>
        <v>0</v>
      </c>
      <c r="U337" s="319">
        <f>G333</f>
        <v>0</v>
      </c>
      <c r="V337" s="321" t="s">
        <v>119</v>
      </c>
      <c r="W337" s="379"/>
      <c r="X337" s="366"/>
      <c r="Y337" s="206"/>
      <c r="Z337" s="206"/>
      <c r="AA337" s="368"/>
    </row>
    <row r="338" spans="1:27" ht="15" customHeight="1">
      <c r="A338" s="1062"/>
      <c r="B338" s="1055"/>
      <c r="C338" s="1055"/>
      <c r="D338" s="1055"/>
      <c r="E338" s="1057"/>
      <c r="F338" s="1058"/>
      <c r="G338" s="1058"/>
      <c r="H338" s="401"/>
      <c r="I338" s="1336"/>
      <c r="K338" s="338">
        <f>'Monthly Prod'!B13</f>
        <v>0</v>
      </c>
      <c r="L338" s="338">
        <f>'Monthly Prod'!C13</f>
        <v>0</v>
      </c>
      <c r="M338" s="338">
        <f>'Monthly Prod'!D13</f>
        <v>0</v>
      </c>
      <c r="N338" s="338">
        <f>'Monthly Prod'!E13</f>
        <v>0</v>
      </c>
      <c r="O338" s="338">
        <f>'Monthly Prod'!F13</f>
        <v>0</v>
      </c>
      <c r="P338" s="338">
        <f>'Monthly Prod'!H13</f>
        <v>0</v>
      </c>
      <c r="Q338" t="s">
        <v>134</v>
      </c>
      <c r="R338" s="339"/>
      <c r="S338" s="340" t="s">
        <v>121</v>
      </c>
      <c r="T338" s="319">
        <f>U338</f>
        <v>0</v>
      </c>
      <c r="U338" s="319">
        <f>G335</f>
        <v>0</v>
      </c>
      <c r="V338" s="321" t="s">
        <v>119</v>
      </c>
      <c r="W338" s="379"/>
      <c r="X338" s="380" t="s">
        <v>135</v>
      </c>
      <c r="Y338" s="381">
        <f>SUM(Y335:Y337)</f>
        <v>0</v>
      </c>
      <c r="Z338" s="381">
        <f>SUM(Z335:Z337)</f>
        <v>0</v>
      </c>
      <c r="AA338" s="381">
        <f>SUM(AA335:AA337)</f>
        <v>0</v>
      </c>
    </row>
    <row r="339" spans="1:27" ht="15" customHeight="1">
      <c r="A339" s="1062"/>
      <c r="B339" s="1055"/>
      <c r="C339" s="1055"/>
      <c r="D339" s="1055"/>
      <c r="E339" s="1057"/>
      <c r="F339" s="1058"/>
      <c r="G339" s="1058"/>
      <c r="H339" s="1065"/>
      <c r="I339" s="1336"/>
      <c r="K339" s="286" t="s">
        <v>136</v>
      </c>
      <c r="L339" s="286" t="s">
        <v>137</v>
      </c>
      <c r="M339" s="277" t="s">
        <v>4</v>
      </c>
      <c r="N339" s="277" t="s">
        <v>138</v>
      </c>
      <c r="O339" s="286" t="s">
        <v>139</v>
      </c>
      <c r="P339" s="286" t="s">
        <v>140</v>
      </c>
      <c r="R339" s="326" t="s">
        <v>141</v>
      </c>
      <c r="S339" s="236">
        <v>6</v>
      </c>
      <c r="T339" s="320">
        <v>0</v>
      </c>
      <c r="U339" s="320">
        <v>0</v>
      </c>
      <c r="V339" s="325"/>
      <c r="W339" s="379"/>
    </row>
    <row r="340" spans="1:27" ht="15" customHeight="1">
      <c r="A340" s="1062"/>
      <c r="B340" s="1055"/>
      <c r="C340" s="1055"/>
      <c r="D340" s="1055"/>
      <c r="E340" s="1057"/>
      <c r="F340" s="1058"/>
      <c r="G340" s="1058"/>
      <c r="H340" s="1065"/>
      <c r="I340" s="1336"/>
      <c r="K340" s="282">
        <f ca="1">SUM('Monthly Prod'!B3:B13)</f>
        <v>0</v>
      </c>
      <c r="L340" s="282">
        <f ca="1">SUM('Monthly Prod'!C3:C13)</f>
        <v>0</v>
      </c>
      <c r="M340" s="282">
        <f ca="1">SUM('Monthly Prod'!D3:D13)</f>
        <v>0</v>
      </c>
      <c r="N340" s="282">
        <f ca="1">SUM('Monthly Prod'!E3:E13)</f>
        <v>0</v>
      </c>
      <c r="O340" s="282">
        <f ca="1">SUM('Monthly Prod'!F3:F13)</f>
        <v>0</v>
      </c>
      <c r="P340" s="282">
        <f ca="1">SUM('Monthly Prod'!H3:H13)</f>
        <v>0</v>
      </c>
      <c r="Q340" t="s">
        <v>142</v>
      </c>
      <c r="R340" s="327"/>
      <c r="S340" s="341">
        <v>4.8</v>
      </c>
      <c r="T340" s="342"/>
      <c r="U340" s="342"/>
      <c r="V340" s="343"/>
      <c r="W340" s="379"/>
      <c r="X340" s="370" t="s">
        <v>143</v>
      </c>
      <c r="Y340" s="371"/>
      <c r="Z340" s="371" t="s">
        <v>127</v>
      </c>
      <c r="AA340" s="372" t="s">
        <v>128</v>
      </c>
    </row>
    <row r="341" spans="1:27" ht="15" customHeight="1">
      <c r="A341" s="1062"/>
      <c r="B341" s="1055"/>
      <c r="C341" s="1055"/>
      <c r="D341" s="1055"/>
      <c r="E341" s="1057"/>
      <c r="F341" s="1058"/>
      <c r="G341" s="1058"/>
      <c r="H341" s="1065"/>
      <c r="I341" s="1336"/>
      <c r="R341" s="327"/>
      <c r="S341" s="318">
        <v>4</v>
      </c>
      <c r="T341" s="319">
        <f>U341</f>
        <v>0</v>
      </c>
      <c r="U341" s="319">
        <f>G339</f>
        <v>0</v>
      </c>
      <c r="V341" s="321" t="s">
        <v>119</v>
      </c>
      <c r="W341" s="379"/>
      <c r="X341" s="366"/>
      <c r="Y341" s="206" t="s">
        <v>145</v>
      </c>
      <c r="Z341" s="282">
        <f>400-69.71</f>
        <v>330.29</v>
      </c>
      <c r="AA341" s="373" t="s">
        <v>146</v>
      </c>
    </row>
    <row r="342" spans="1:27" ht="15" customHeight="1">
      <c r="A342" s="1062"/>
      <c r="B342" s="1055"/>
      <c r="C342" s="1055"/>
      <c r="D342" s="1055"/>
      <c r="E342" s="1057"/>
      <c r="F342" s="1058"/>
      <c r="G342" s="1058"/>
      <c r="H342" s="1065"/>
      <c r="I342" s="1336"/>
      <c r="R342" s="327"/>
      <c r="S342" s="328"/>
      <c r="T342" s="329"/>
      <c r="U342" s="329"/>
      <c r="V342" s="324"/>
      <c r="W342" s="286"/>
      <c r="X342" s="374"/>
      <c r="Y342" s="206" t="s">
        <v>148</v>
      </c>
      <c r="Z342" s="282">
        <v>30.79</v>
      </c>
      <c r="AA342" s="369"/>
    </row>
    <row r="343" spans="1:27" ht="15" customHeight="1">
      <c r="A343" s="1062"/>
      <c r="B343" s="1055"/>
      <c r="C343" s="1055"/>
      <c r="D343" s="1055"/>
      <c r="E343" s="1057"/>
      <c r="F343" s="1058"/>
      <c r="G343" s="1058"/>
      <c r="H343" s="1055"/>
      <c r="I343" s="1055"/>
      <c r="R343" s="327"/>
      <c r="S343" s="318">
        <v>3</v>
      </c>
      <c r="T343" s="319">
        <f>U343</f>
        <v>0</v>
      </c>
      <c r="U343" s="319">
        <f>G338</f>
        <v>0</v>
      </c>
      <c r="V343" s="321" t="s">
        <v>119</v>
      </c>
      <c r="W343" s="379"/>
      <c r="X343" s="374"/>
      <c r="Y343" s="206" t="s">
        <v>133</v>
      </c>
      <c r="Z343" s="282">
        <v>0</v>
      </c>
      <c r="AA343" s="369">
        <v>320</v>
      </c>
    </row>
    <row r="344" spans="1:27" ht="15" customHeight="1">
      <c r="A344" s="1337"/>
      <c r="B344" s="1337"/>
      <c r="C344" s="1337"/>
      <c r="D344" s="1337"/>
      <c r="E344" s="1337"/>
      <c r="F344" s="1337"/>
      <c r="G344" s="1067"/>
      <c r="H344" s="1067"/>
      <c r="I344" s="1068"/>
      <c r="R344" s="327"/>
      <c r="S344" s="328"/>
      <c r="T344" s="329"/>
      <c r="U344" s="329"/>
      <c r="V344" s="324"/>
      <c r="X344" s="366"/>
      <c r="Y344" s="206" t="s">
        <v>158</v>
      </c>
      <c r="Z344" s="282"/>
      <c r="AA344" s="368">
        <f>400.91-80.1</f>
        <v>320.81000000000006</v>
      </c>
    </row>
    <row r="345" spans="1:27" ht="15" customHeight="1">
      <c r="A345" s="1320"/>
      <c r="B345" s="1320"/>
      <c r="C345" s="1320"/>
      <c r="D345" s="1320"/>
      <c r="E345" s="1321"/>
      <c r="F345" s="1322"/>
      <c r="G345" s="1323"/>
      <c r="H345" s="1321"/>
      <c r="I345" s="1320"/>
      <c r="R345" s="327"/>
      <c r="S345" s="236">
        <v>5</v>
      </c>
      <c r="T345" s="320">
        <f>U345</f>
        <v>0</v>
      </c>
      <c r="U345" s="320">
        <f>G340</f>
        <v>0</v>
      </c>
      <c r="V345" s="325" t="s">
        <v>119</v>
      </c>
      <c r="X345" s="366"/>
      <c r="Y345" s="206" t="s">
        <v>150</v>
      </c>
      <c r="Z345" s="282"/>
      <c r="AA345" s="368">
        <v>1000</v>
      </c>
    </row>
    <row r="346" spans="1:27" ht="15.75" customHeight="1">
      <c r="A346" s="1320"/>
      <c r="B346" s="1320"/>
      <c r="C346" s="1320"/>
      <c r="D346" s="1320"/>
      <c r="E346" s="1320"/>
      <c r="F346" s="1320"/>
      <c r="G346" s="1320"/>
      <c r="H346" s="1320"/>
      <c r="I346" s="1320"/>
      <c r="R346" s="327"/>
      <c r="S346" s="236">
        <v>4.8</v>
      </c>
      <c r="T346" s="320">
        <v>0</v>
      </c>
      <c r="U346" s="320">
        <v>0</v>
      </c>
      <c r="V346" s="325" t="s">
        <v>119</v>
      </c>
      <c r="X346" s="375"/>
      <c r="Y346" s="245" t="s">
        <v>158</v>
      </c>
      <c r="Z346" s="376"/>
      <c r="AA346" s="377">
        <v>500</v>
      </c>
    </row>
    <row r="347" spans="1:27" ht="15" customHeight="1">
      <c r="A347" s="1072"/>
      <c r="B347" s="1072"/>
      <c r="C347" s="1072"/>
      <c r="D347" s="1072"/>
      <c r="E347" s="1072"/>
      <c r="F347" s="1072"/>
      <c r="G347" s="1073"/>
      <c r="H347" s="1074"/>
      <c r="I347" s="1075"/>
      <c r="R347" s="339"/>
      <c r="S347" s="236" t="s">
        <v>121</v>
      </c>
      <c r="T347" s="320">
        <v>0</v>
      </c>
      <c r="U347" s="320">
        <v>0</v>
      </c>
      <c r="V347" s="325" t="s">
        <v>119</v>
      </c>
      <c r="W347" s="382"/>
    </row>
    <row r="348" spans="1:27" ht="15" customHeight="1">
      <c r="A348" s="1056"/>
      <c r="B348" s="1055"/>
      <c r="C348" s="1056"/>
      <c r="D348" s="1325"/>
      <c r="E348" s="1325"/>
      <c r="F348" s="1325"/>
      <c r="G348" s="1058"/>
      <c r="H348" s="1059"/>
      <c r="I348" s="286"/>
      <c r="R348" s="339"/>
      <c r="S348" s="236">
        <v>5</v>
      </c>
      <c r="T348" s="320">
        <v>0</v>
      </c>
      <c r="U348" s="320">
        <v>0</v>
      </c>
      <c r="V348" s="325"/>
    </row>
    <row r="349" spans="1:27" ht="15" customHeight="1">
      <c r="A349" s="1326"/>
      <c r="B349" s="1326"/>
      <c r="C349" s="1326"/>
      <c r="D349" s="1326"/>
      <c r="E349" s="1326"/>
      <c r="F349" s="1326"/>
      <c r="G349" s="1326"/>
      <c r="H349" s="1059"/>
      <c r="I349" s="286"/>
      <c r="R349" s="350"/>
      <c r="S349" s="211"/>
      <c r="T349" s="351">
        <f>SUM(T328:T348)</f>
        <v>0</v>
      </c>
      <c r="U349" s="351">
        <f>SUM(U328:U348)</f>
        <v>0</v>
      </c>
      <c r="V349" s="352"/>
    </row>
    <row r="350" spans="1:27" ht="25.5" customHeight="1">
      <c r="A350" s="1076"/>
      <c r="B350" s="1076"/>
      <c r="C350" s="1075"/>
      <c r="D350" s="1069"/>
      <c r="E350" s="1070"/>
      <c r="F350" s="1071"/>
      <c r="G350" s="1067"/>
      <c r="H350" s="1059"/>
      <c r="I350" s="286"/>
      <c r="R350" s="350"/>
      <c r="S350" s="211"/>
      <c r="T350" s="211"/>
      <c r="U350" s="211"/>
      <c r="V350" s="352"/>
    </row>
    <row r="351" spans="1:27" ht="15" customHeight="1">
      <c r="A351" s="1067"/>
      <c r="B351" s="1067"/>
      <c r="C351" s="1073"/>
      <c r="D351" s="1073"/>
      <c r="E351" s="1077"/>
      <c r="F351" s="1073"/>
      <c r="G351" s="1073"/>
      <c r="H351" s="1078"/>
      <c r="I351" s="286"/>
      <c r="R351" s="350"/>
      <c r="S351" s="211"/>
      <c r="T351" s="211"/>
      <c r="U351" s="211"/>
      <c r="V351" s="352"/>
    </row>
    <row r="352" spans="1:27" ht="15" customHeight="1">
      <c r="D352" s="1327"/>
      <c r="E352" s="1327"/>
      <c r="R352" s="350"/>
      <c r="S352" s="211"/>
      <c r="T352" s="211"/>
      <c r="U352" s="211"/>
      <c r="V352" s="352"/>
    </row>
    <row r="353" spans="1:27" ht="15.75" customHeight="1">
      <c r="A353" s="1330"/>
      <c r="B353" s="1330"/>
      <c r="C353" s="1330"/>
      <c r="D353" s="1330"/>
      <c r="E353" s="1330"/>
      <c r="F353" s="1330"/>
      <c r="G353" s="1330"/>
      <c r="H353" s="1330"/>
      <c r="I353" s="1330"/>
    </row>
    <row r="354" spans="1:27" ht="15" customHeight="1">
      <c r="A354" s="1331"/>
      <c r="B354" s="1331"/>
      <c r="C354" s="1331"/>
      <c r="D354" s="1331"/>
      <c r="E354" s="1331"/>
      <c r="F354" s="1331"/>
      <c r="G354" s="1331"/>
      <c r="H354" s="1331"/>
      <c r="I354" s="1331"/>
    </row>
    <row r="355" spans="1:27" ht="15" customHeight="1">
      <c r="A355" s="1054"/>
      <c r="B355" s="1055"/>
      <c r="C355" s="1056"/>
      <c r="D355" s="1056"/>
      <c r="E355" s="1057"/>
      <c r="F355" s="1058"/>
      <c r="G355" s="1058"/>
      <c r="H355" s="1059"/>
      <c r="I355" s="286"/>
    </row>
    <row r="356" spans="1:27" ht="15" customHeight="1">
      <c r="A356" s="1332"/>
      <c r="B356" s="1332"/>
      <c r="C356" s="1332"/>
      <c r="D356" s="1333"/>
      <c r="E356" s="1332"/>
      <c r="F356" s="1332"/>
      <c r="G356" s="1332"/>
      <c r="H356" s="1333"/>
      <c r="I356" s="1332"/>
    </row>
    <row r="357" spans="1:27" ht="38.25" customHeight="1">
      <c r="A357" s="1332"/>
      <c r="B357" s="1332"/>
      <c r="C357" s="1332"/>
      <c r="D357" s="1332"/>
      <c r="E357" s="1061"/>
      <c r="F357" s="1061"/>
      <c r="G357" s="1061"/>
      <c r="H357" s="1333"/>
      <c r="I357" s="1333"/>
    </row>
    <row r="358" spans="1:27" ht="15.75" customHeight="1">
      <c r="A358" s="1062"/>
      <c r="B358" s="1055"/>
      <c r="C358" s="1060"/>
      <c r="D358" s="1063"/>
      <c r="E358" s="1063"/>
      <c r="F358" s="1064"/>
      <c r="G358" s="1058"/>
      <c r="H358" s="1065"/>
      <c r="I358" s="1332"/>
      <c r="K358" s="8" t="s">
        <v>14</v>
      </c>
      <c r="L358" s="16">
        <f>'Daily Stock'!Q220</f>
        <v>0</v>
      </c>
      <c r="R358" s="309" t="s">
        <v>179</v>
      </c>
      <c r="S358" s="310"/>
    </row>
    <row r="359" spans="1:27" ht="18.75" customHeight="1">
      <c r="A359" s="1062"/>
      <c r="B359" s="1055"/>
      <c r="C359" s="1060"/>
      <c r="D359" s="1055"/>
      <c r="E359" s="1063"/>
      <c r="F359" s="1064"/>
      <c r="G359" s="1058"/>
      <c r="H359" s="1065"/>
      <c r="I359" s="1332"/>
      <c r="K359" s="8" t="s">
        <v>112</v>
      </c>
      <c r="L359" s="16">
        <f>'Daily Stock'!Q221</f>
        <v>0</v>
      </c>
      <c r="R359" s="311" t="s">
        <v>100</v>
      </c>
      <c r="S359" s="312"/>
      <c r="T359" s="313" t="s">
        <v>9</v>
      </c>
      <c r="U359" s="313" t="s">
        <v>113</v>
      </c>
      <c r="V359" s="314" t="s">
        <v>114</v>
      </c>
    </row>
    <row r="360" spans="1:27" ht="15" customHeight="1">
      <c r="A360" s="1062"/>
      <c r="B360" s="1055"/>
      <c r="C360" s="1055"/>
      <c r="D360" s="1055"/>
      <c r="E360" s="1057"/>
      <c r="F360" s="1058"/>
      <c r="G360" s="1058"/>
      <c r="H360" s="1065"/>
      <c r="I360" s="1334"/>
      <c r="K360" s="22" t="s">
        <v>117</v>
      </c>
      <c r="L360" s="16">
        <f>'Daily Stock'!Q222</f>
        <v>0</v>
      </c>
      <c r="R360" s="317" t="s">
        <v>118</v>
      </c>
      <c r="S360" s="318">
        <v>6</v>
      </c>
      <c r="T360" s="319">
        <f>U360</f>
        <v>0</v>
      </c>
      <c r="U360" s="320">
        <f>H360</f>
        <v>0</v>
      </c>
      <c r="V360" s="321" t="s">
        <v>119</v>
      </c>
    </row>
    <row r="361" spans="1:27" ht="15" customHeight="1">
      <c r="A361" s="1062"/>
      <c r="B361" s="1055"/>
      <c r="C361" s="1055"/>
      <c r="D361" s="1055"/>
      <c r="E361" s="1057"/>
      <c r="F361" s="1058"/>
      <c r="G361" s="1058"/>
      <c r="H361" s="1065"/>
      <c r="I361" s="1334"/>
      <c r="K361" s="22" t="s">
        <v>17</v>
      </c>
      <c r="L361" s="16">
        <f>'Daily Stock'!Q223</f>
        <v>0</v>
      </c>
      <c r="R361" s="317"/>
      <c r="S361" s="322"/>
      <c r="T361" s="323"/>
      <c r="U361" s="320">
        <v>0</v>
      </c>
      <c r="V361" s="324"/>
    </row>
    <row r="362" spans="1:27" ht="15" customHeight="1">
      <c r="A362" s="1062"/>
      <c r="B362" s="1055"/>
      <c r="C362" s="1055"/>
      <c r="D362" s="1055"/>
      <c r="E362" s="1057"/>
      <c r="F362" s="1058"/>
      <c r="G362" s="1058"/>
      <c r="H362" s="1065"/>
      <c r="I362" s="1334"/>
      <c r="K362" s="22" t="s">
        <v>18</v>
      </c>
      <c r="L362" s="16">
        <f>'Daily Stock'!Q224</f>
        <v>0</v>
      </c>
      <c r="R362" s="317"/>
      <c r="S362" s="236" t="s">
        <v>121</v>
      </c>
      <c r="T362" s="320">
        <v>0</v>
      </c>
      <c r="U362" s="320">
        <v>0</v>
      </c>
      <c r="V362" s="325"/>
    </row>
    <row r="363" spans="1:27" ht="15" customHeight="1">
      <c r="A363" s="1062"/>
      <c r="B363" s="1055"/>
      <c r="C363" s="1055"/>
      <c r="D363" s="1055"/>
      <c r="E363" s="1057"/>
      <c r="F363" s="1058"/>
      <c r="G363" s="1058"/>
      <c r="H363" s="1065"/>
      <c r="I363" s="1335"/>
      <c r="K363" s="22" t="s">
        <v>19</v>
      </c>
      <c r="L363" s="16">
        <f>'Daily Stock'!Q225</f>
        <v>0</v>
      </c>
      <c r="R363" s="326" t="s">
        <v>123</v>
      </c>
      <c r="S363" s="318">
        <v>6</v>
      </c>
      <c r="T363" s="319">
        <f>U363</f>
        <v>0</v>
      </c>
      <c r="U363" s="319">
        <f>H364</f>
        <v>0</v>
      </c>
      <c r="V363" s="321" t="s">
        <v>119</v>
      </c>
    </row>
    <row r="364" spans="1:27" ht="15" customHeight="1">
      <c r="A364" s="1062"/>
      <c r="B364" s="1055"/>
      <c r="C364" s="1055"/>
      <c r="D364" s="1055"/>
      <c r="E364" s="1057"/>
      <c r="F364" s="1058"/>
      <c r="G364" s="1058"/>
      <c r="H364" s="1065"/>
      <c r="I364" s="1335"/>
      <c r="K364" s="22" t="s">
        <v>20</v>
      </c>
      <c r="L364" s="16">
        <f>'Daily Stock'!Q226</f>
        <v>0</v>
      </c>
      <c r="R364" s="327"/>
      <c r="S364" s="328"/>
      <c r="T364" s="329"/>
      <c r="U364" s="329"/>
      <c r="V364" s="324"/>
    </row>
    <row r="365" spans="1:27" ht="15.75" customHeight="1">
      <c r="A365" s="1062"/>
      <c r="B365" s="1055"/>
      <c r="C365" s="1055"/>
      <c r="D365" s="1055"/>
      <c r="E365" s="1057"/>
      <c r="F365" s="1058"/>
      <c r="G365" s="1058"/>
      <c r="H365" s="1065"/>
      <c r="I365" s="1335"/>
      <c r="K365" s="22" t="s">
        <v>124</v>
      </c>
      <c r="L365" s="16">
        <f>'Daily Stock'!Q227</f>
        <v>0</v>
      </c>
      <c r="R365" s="327"/>
      <c r="S365" s="318">
        <v>4</v>
      </c>
      <c r="T365" s="319">
        <f>U365</f>
        <v>0</v>
      </c>
      <c r="U365" s="319">
        <f>G366</f>
        <v>0</v>
      </c>
      <c r="V365" s="321" t="s">
        <v>119</v>
      </c>
      <c r="X365" s="1304" t="str">
        <f>R358</f>
        <v>As on 12.10.2026</v>
      </c>
      <c r="Y365" s="1304"/>
      <c r="Z365" s="1304"/>
      <c r="AA365" s="1304"/>
    </row>
    <row r="366" spans="1:27" ht="15" customHeight="1">
      <c r="A366" s="1062"/>
      <c r="B366" s="1055"/>
      <c r="C366" s="1055"/>
      <c r="D366" s="1055"/>
      <c r="E366" s="1057"/>
      <c r="F366" s="1058"/>
      <c r="G366" s="1058"/>
      <c r="H366" s="1065"/>
      <c r="I366" s="1335"/>
      <c r="K366" s="22" t="s">
        <v>22</v>
      </c>
      <c r="L366" s="16">
        <f>'Daily Stock'!Q228</f>
        <v>0</v>
      </c>
      <c r="R366" s="327"/>
      <c r="S366" s="328"/>
      <c r="T366" s="329"/>
      <c r="U366" s="329"/>
      <c r="V366" s="324"/>
      <c r="X366" s="363" t="s">
        <v>125</v>
      </c>
      <c r="Y366" s="364" t="s">
        <v>126</v>
      </c>
      <c r="Z366" s="364" t="s">
        <v>127</v>
      </c>
      <c r="AA366" s="365" t="s">
        <v>128</v>
      </c>
    </row>
    <row r="367" spans="1:27" ht="15" customHeight="1">
      <c r="A367" s="1062"/>
      <c r="B367" s="1055"/>
      <c r="C367" s="1055"/>
      <c r="D367" s="1055"/>
      <c r="E367" s="1057"/>
      <c r="F367" s="1058"/>
      <c r="G367" s="1058"/>
      <c r="H367" s="1065"/>
      <c r="I367" s="1335"/>
      <c r="K367" s="22" t="s">
        <v>23</v>
      </c>
      <c r="L367" s="16">
        <f>'Daily Stock'!Q229</f>
        <v>0</v>
      </c>
      <c r="R367" s="327"/>
      <c r="S367" s="318">
        <v>3</v>
      </c>
      <c r="T367" s="319">
        <f>U367</f>
        <v>0</v>
      </c>
      <c r="U367" s="319">
        <f>G363</f>
        <v>0</v>
      </c>
      <c r="V367" s="321" t="s">
        <v>119</v>
      </c>
      <c r="X367" s="366" t="s">
        <v>129</v>
      </c>
      <c r="Y367" s="367">
        <f>I360</f>
        <v>0</v>
      </c>
      <c r="Z367" s="367">
        <f>I363</f>
        <v>0</v>
      </c>
      <c r="AA367" s="368">
        <f>I370</f>
        <v>0</v>
      </c>
    </row>
    <row r="368" spans="1:27" ht="15.75" customHeight="1">
      <c r="A368" s="1062"/>
      <c r="B368" s="1055"/>
      <c r="C368" s="1055"/>
      <c r="D368" s="1055"/>
      <c r="E368" s="1057"/>
      <c r="F368" s="1058"/>
      <c r="G368" s="1058"/>
      <c r="H368" s="1065"/>
      <c r="I368" s="1066"/>
      <c r="K368" s="25" t="s">
        <v>24</v>
      </c>
      <c r="L368" s="16">
        <f>'Daily Stock'!Q230</f>
        <v>0</v>
      </c>
      <c r="R368" s="327"/>
      <c r="S368" s="328"/>
      <c r="T368" s="329"/>
      <c r="U368" s="329"/>
      <c r="V368" s="324"/>
      <c r="W368" s="286"/>
      <c r="X368" s="366" t="s">
        <v>132</v>
      </c>
      <c r="Y368" s="206"/>
      <c r="Z368" s="367">
        <f>G373+G369</f>
        <v>0</v>
      </c>
      <c r="AA368" s="368">
        <f>G375+G374</f>
        <v>0</v>
      </c>
    </row>
    <row r="369" spans="1:27" ht="15" customHeight="1">
      <c r="A369" s="1062"/>
      <c r="B369" s="1055"/>
      <c r="C369" s="1055"/>
      <c r="D369" s="1055"/>
      <c r="E369" s="1057"/>
      <c r="F369" s="1058"/>
      <c r="G369" s="1058"/>
      <c r="H369" s="1065"/>
      <c r="I369" s="1066"/>
      <c r="R369" s="327"/>
      <c r="S369" s="318">
        <v>5</v>
      </c>
      <c r="T369" s="319">
        <f>U369</f>
        <v>0</v>
      </c>
      <c r="U369" s="319">
        <f>G365</f>
        <v>0</v>
      </c>
      <c r="V369" s="321" t="s">
        <v>119</v>
      </c>
      <c r="W369" s="379"/>
      <c r="X369" s="366"/>
      <c r="Y369" s="206"/>
      <c r="Z369" s="206"/>
      <c r="AA369" s="368"/>
    </row>
    <row r="370" spans="1:27" ht="15" customHeight="1">
      <c r="A370" s="1062"/>
      <c r="B370" s="1055"/>
      <c r="C370" s="1055"/>
      <c r="D370" s="1055"/>
      <c r="E370" s="1057"/>
      <c r="F370" s="1058"/>
      <c r="G370" s="1058"/>
      <c r="H370" s="401"/>
      <c r="I370" s="1336"/>
      <c r="K370" s="338">
        <f>'Monthly Prod'!B14</f>
        <v>0</v>
      </c>
      <c r="L370" s="338">
        <f>'Monthly Prod'!C14</f>
        <v>0</v>
      </c>
      <c r="M370" s="338">
        <f>'Monthly Prod'!D14</f>
        <v>0</v>
      </c>
      <c r="N370" s="338">
        <f>'Monthly Prod'!E14</f>
        <v>0</v>
      </c>
      <c r="O370" s="338">
        <f>'Monthly Prod'!F14</f>
        <v>0</v>
      </c>
      <c r="P370" s="338">
        <f>'Monthly Prod'!H14</f>
        <v>0</v>
      </c>
      <c r="Q370" t="s">
        <v>134</v>
      </c>
      <c r="R370" s="339"/>
      <c r="S370" s="340" t="s">
        <v>121</v>
      </c>
      <c r="T370" s="319">
        <f>U370</f>
        <v>0</v>
      </c>
      <c r="U370" s="319">
        <f>G367</f>
        <v>0</v>
      </c>
      <c r="V370" s="321" t="s">
        <v>119</v>
      </c>
      <c r="W370" s="379"/>
      <c r="X370" s="380" t="s">
        <v>135</v>
      </c>
      <c r="Y370" s="381">
        <f>SUM(Y367:Y369)</f>
        <v>0</v>
      </c>
      <c r="Z370" s="381">
        <f>SUM(Z367:Z369)</f>
        <v>0</v>
      </c>
      <c r="AA370" s="381">
        <f>SUM(AA367:AA369)</f>
        <v>0</v>
      </c>
    </row>
    <row r="371" spans="1:27" ht="15" customHeight="1">
      <c r="A371" s="1062"/>
      <c r="B371" s="1055"/>
      <c r="C371" s="1055"/>
      <c r="D371" s="1055"/>
      <c r="E371" s="1057"/>
      <c r="F371" s="1058"/>
      <c r="G371" s="1058"/>
      <c r="H371" s="1065"/>
      <c r="I371" s="1336"/>
      <c r="K371" s="286" t="s">
        <v>136</v>
      </c>
      <c r="L371" s="286" t="s">
        <v>137</v>
      </c>
      <c r="M371" s="277" t="s">
        <v>4</v>
      </c>
      <c r="N371" s="277" t="s">
        <v>138</v>
      </c>
      <c r="O371" s="286" t="s">
        <v>139</v>
      </c>
      <c r="P371" s="286" t="s">
        <v>140</v>
      </c>
      <c r="R371" s="326" t="s">
        <v>141</v>
      </c>
      <c r="S371" s="236">
        <v>6</v>
      </c>
      <c r="T371" s="320">
        <v>0</v>
      </c>
      <c r="U371" s="320">
        <v>0</v>
      </c>
      <c r="V371" s="325"/>
      <c r="W371" s="379"/>
    </row>
    <row r="372" spans="1:27" ht="15" customHeight="1">
      <c r="A372" s="1062"/>
      <c r="B372" s="1055"/>
      <c r="C372" s="1055"/>
      <c r="D372" s="1055"/>
      <c r="E372" s="1057"/>
      <c r="F372" s="1058"/>
      <c r="G372" s="1058"/>
      <c r="H372" s="1065"/>
      <c r="I372" s="1336"/>
      <c r="K372" s="282">
        <f ca="1">SUM('Monthly Prod'!B3:B14)</f>
        <v>0</v>
      </c>
      <c r="L372" s="282">
        <f ca="1">SUM('Monthly Prod'!C3:C14)</f>
        <v>0</v>
      </c>
      <c r="M372" s="282">
        <f ca="1">SUM('Monthly Prod'!D3:D14)</f>
        <v>0</v>
      </c>
      <c r="N372" s="282">
        <f ca="1">SUM('Monthly Prod'!E3:E14)</f>
        <v>0</v>
      </c>
      <c r="O372" s="282">
        <f ca="1">SUM('Monthly Prod'!F3:F14)</f>
        <v>0</v>
      </c>
      <c r="P372" s="282">
        <f ca="1">SUM('Monthly Prod'!H3:H14)</f>
        <v>0</v>
      </c>
      <c r="Q372" t="s">
        <v>142</v>
      </c>
      <c r="R372" s="327"/>
      <c r="S372" s="341">
        <v>4.8</v>
      </c>
      <c r="T372" s="342"/>
      <c r="U372" s="342"/>
      <c r="V372" s="343"/>
      <c r="W372" s="379"/>
      <c r="X372" s="370" t="s">
        <v>143</v>
      </c>
      <c r="Y372" s="371"/>
      <c r="Z372" s="371" t="s">
        <v>127</v>
      </c>
      <c r="AA372" s="372" t="s">
        <v>128</v>
      </c>
    </row>
    <row r="373" spans="1:27" ht="15" customHeight="1">
      <c r="A373" s="1062"/>
      <c r="B373" s="1055"/>
      <c r="C373" s="1055"/>
      <c r="D373" s="1055"/>
      <c r="E373" s="1057"/>
      <c r="F373" s="1058"/>
      <c r="G373" s="1058"/>
      <c r="H373" s="1065"/>
      <c r="I373" s="1336"/>
      <c r="R373" s="327"/>
      <c r="S373" s="318">
        <v>4</v>
      </c>
      <c r="T373" s="319">
        <f>U373</f>
        <v>0</v>
      </c>
      <c r="U373" s="319">
        <f>G371</f>
        <v>0</v>
      </c>
      <c r="V373" s="321" t="s">
        <v>119</v>
      </c>
      <c r="W373" s="379"/>
      <c r="X373" s="366"/>
      <c r="Y373" s="206" t="s">
        <v>145</v>
      </c>
      <c r="Z373" s="282">
        <f>400-69.71-140.17</f>
        <v>190.12000000000003</v>
      </c>
      <c r="AA373" s="373" t="s">
        <v>146</v>
      </c>
    </row>
    <row r="374" spans="1:27" ht="15" customHeight="1">
      <c r="A374" s="1062"/>
      <c r="B374" s="1055"/>
      <c r="C374" s="1055"/>
      <c r="D374" s="1055"/>
      <c r="E374" s="1057"/>
      <c r="F374" s="1058"/>
      <c r="G374" s="1058"/>
      <c r="H374" s="1065"/>
      <c r="I374" s="1336"/>
      <c r="R374" s="327"/>
      <c r="S374" s="328"/>
      <c r="T374" s="329"/>
      <c r="U374" s="329"/>
      <c r="V374" s="324"/>
      <c r="W374" s="286"/>
      <c r="X374" s="374"/>
      <c r="Y374" s="206" t="s">
        <v>148</v>
      </c>
      <c r="Z374" s="282">
        <v>30.79</v>
      </c>
      <c r="AA374" s="369"/>
    </row>
    <row r="375" spans="1:27" ht="15" customHeight="1">
      <c r="A375" s="1062"/>
      <c r="B375" s="1055"/>
      <c r="C375" s="1055"/>
      <c r="D375" s="1055"/>
      <c r="E375" s="1057"/>
      <c r="F375" s="1058"/>
      <c r="G375" s="1058"/>
      <c r="H375" s="1055"/>
      <c r="I375" s="1055"/>
      <c r="R375" s="327"/>
      <c r="S375" s="318">
        <v>3</v>
      </c>
      <c r="T375" s="319">
        <f>U375</f>
        <v>0</v>
      </c>
      <c r="U375" s="319">
        <f>G370</f>
        <v>0</v>
      </c>
      <c r="V375" s="321" t="s">
        <v>119</v>
      </c>
      <c r="W375" s="379"/>
      <c r="X375" s="374"/>
      <c r="Y375" s="206" t="s">
        <v>133</v>
      </c>
      <c r="Z375" s="282">
        <v>0</v>
      </c>
      <c r="AA375" s="369">
        <v>320</v>
      </c>
    </row>
    <row r="376" spans="1:27" ht="15" customHeight="1">
      <c r="A376" s="1337"/>
      <c r="B376" s="1337"/>
      <c r="C376" s="1337"/>
      <c r="D376" s="1337"/>
      <c r="E376" s="1337"/>
      <c r="F376" s="1337"/>
      <c r="G376" s="1067"/>
      <c r="H376" s="1067"/>
      <c r="I376" s="1068"/>
      <c r="R376" s="327"/>
      <c r="S376" s="328"/>
      <c r="T376" s="329"/>
      <c r="U376" s="329"/>
      <c r="V376" s="324"/>
      <c r="X376" s="366"/>
      <c r="Y376" s="206" t="s">
        <v>158</v>
      </c>
      <c r="Z376" s="282"/>
      <c r="AA376" s="368">
        <f>400.91-80.1</f>
        <v>320.81000000000006</v>
      </c>
    </row>
    <row r="377" spans="1:27" ht="15" customHeight="1">
      <c r="A377" s="1320"/>
      <c r="B377" s="1320"/>
      <c r="C377" s="1320"/>
      <c r="D377" s="1320"/>
      <c r="E377" s="1321"/>
      <c r="F377" s="1322"/>
      <c r="G377" s="1323"/>
      <c r="H377" s="1321"/>
      <c r="I377" s="1320"/>
      <c r="R377" s="327"/>
      <c r="S377" s="236">
        <v>5</v>
      </c>
      <c r="T377" s="320">
        <f>U377</f>
        <v>0</v>
      </c>
      <c r="U377" s="320">
        <f>G372</f>
        <v>0</v>
      </c>
      <c r="V377" s="325" t="s">
        <v>119</v>
      </c>
      <c r="X377" s="366"/>
      <c r="Y377" s="206" t="s">
        <v>150</v>
      </c>
      <c r="Z377" s="282"/>
      <c r="AA377" s="368">
        <v>1000</v>
      </c>
    </row>
    <row r="378" spans="1:27" ht="15.75" customHeight="1">
      <c r="A378" s="1320"/>
      <c r="B378" s="1320"/>
      <c r="C378" s="1320"/>
      <c r="D378" s="1320"/>
      <c r="E378" s="1320"/>
      <c r="F378" s="1320"/>
      <c r="G378" s="1320"/>
      <c r="H378" s="1320"/>
      <c r="I378" s="1320"/>
      <c r="R378" s="327"/>
      <c r="S378" s="236">
        <v>4.8</v>
      </c>
      <c r="T378" s="320">
        <v>0</v>
      </c>
      <c r="U378" s="320">
        <v>0</v>
      </c>
      <c r="V378" s="325" t="s">
        <v>119</v>
      </c>
      <c r="X378" s="375"/>
      <c r="Y378" s="245" t="s">
        <v>158</v>
      </c>
      <c r="Z378" s="376"/>
      <c r="AA378" s="377">
        <v>500</v>
      </c>
    </row>
    <row r="379" spans="1:27" ht="15" customHeight="1">
      <c r="A379" s="1072"/>
      <c r="B379" s="1072"/>
      <c r="C379" s="1072"/>
      <c r="D379" s="1072"/>
      <c r="E379" s="1072"/>
      <c r="F379" s="1072"/>
      <c r="G379" s="1073"/>
      <c r="H379" s="1074"/>
      <c r="I379" s="1075"/>
      <c r="R379" s="339"/>
      <c r="S379" s="236" t="s">
        <v>121</v>
      </c>
      <c r="T379" s="320">
        <v>0</v>
      </c>
      <c r="U379" s="320">
        <v>0</v>
      </c>
      <c r="V379" s="325" t="s">
        <v>119</v>
      </c>
    </row>
    <row r="380" spans="1:27" ht="15" customHeight="1">
      <c r="A380" s="1056"/>
      <c r="B380" s="1055"/>
      <c r="C380" s="1056"/>
      <c r="D380" s="1325"/>
      <c r="E380" s="1325"/>
      <c r="F380" s="1325"/>
      <c r="G380" s="1058"/>
      <c r="H380" s="1059"/>
      <c r="I380" s="286"/>
      <c r="R380" s="339"/>
      <c r="S380" s="236">
        <v>5</v>
      </c>
      <c r="T380" s="320">
        <v>0</v>
      </c>
      <c r="U380" s="320">
        <v>0</v>
      </c>
      <c r="V380" s="325"/>
    </row>
    <row r="381" spans="1:27" ht="15" customHeight="1">
      <c r="A381" s="1326"/>
      <c r="B381" s="1326"/>
      <c r="C381" s="1326"/>
      <c r="D381" s="1326"/>
      <c r="E381" s="1326"/>
      <c r="F381" s="1326"/>
      <c r="G381" s="1326"/>
      <c r="H381" s="1059"/>
      <c r="I381" s="286"/>
      <c r="R381" s="350"/>
      <c r="S381" s="211"/>
      <c r="T381" s="351">
        <f>SUM(T360:T380)</f>
        <v>0</v>
      </c>
      <c r="U381" s="351">
        <f>SUM(U360:U380)</f>
        <v>0</v>
      </c>
      <c r="V381" s="352"/>
    </row>
    <row r="382" spans="1:27" ht="25.5" customHeight="1">
      <c r="A382" s="1076"/>
      <c r="B382" s="1076"/>
      <c r="C382" s="1075"/>
      <c r="D382" s="1069"/>
      <c r="E382" s="1070"/>
      <c r="F382" s="1071"/>
      <c r="G382" s="1067"/>
      <c r="H382" s="1059"/>
      <c r="I382" s="286"/>
      <c r="R382" s="350"/>
      <c r="S382" s="211"/>
      <c r="T382" s="211"/>
      <c r="U382" s="211"/>
      <c r="V382" s="352"/>
    </row>
    <row r="383" spans="1:27" ht="15" customHeight="1">
      <c r="A383" s="1067"/>
      <c r="B383" s="1067"/>
      <c r="C383" s="1073"/>
      <c r="D383" s="1073"/>
      <c r="E383" s="1077"/>
      <c r="F383" s="1073"/>
      <c r="G383" s="1073"/>
      <c r="H383" s="1078"/>
      <c r="I383" s="286"/>
      <c r="R383" s="350"/>
      <c r="S383" s="211"/>
      <c r="T383" s="211"/>
      <c r="U383" s="211"/>
      <c r="V383" s="352"/>
    </row>
    <row r="384" spans="1:27" ht="15" customHeight="1">
      <c r="D384" s="1327"/>
      <c r="E384" s="1327"/>
      <c r="R384" s="350"/>
      <c r="S384" s="211"/>
      <c r="T384" s="211"/>
      <c r="U384" s="211"/>
      <c r="V384" s="352"/>
    </row>
    <row r="385" spans="1:27" ht="15.75" customHeight="1">
      <c r="A385" s="1330"/>
      <c r="B385" s="1330"/>
      <c r="C385" s="1330"/>
      <c r="D385" s="1330"/>
      <c r="E385" s="1330"/>
      <c r="F385" s="1330"/>
      <c r="G385" s="1330"/>
      <c r="H385" s="1330"/>
      <c r="I385" s="1330"/>
    </row>
    <row r="386" spans="1:27" ht="15" customHeight="1">
      <c r="A386" s="1331"/>
      <c r="B386" s="1331"/>
      <c r="C386" s="1331"/>
      <c r="D386" s="1331"/>
      <c r="E386" s="1331"/>
      <c r="F386" s="1331"/>
      <c r="G386" s="1331"/>
      <c r="H386" s="1331"/>
      <c r="I386" s="1331"/>
    </row>
    <row r="387" spans="1:27" ht="15" customHeight="1">
      <c r="A387" s="1054"/>
      <c r="B387" s="1055"/>
      <c r="C387" s="1056"/>
      <c r="D387" s="1056"/>
      <c r="E387" s="1057"/>
      <c r="F387" s="1058"/>
      <c r="G387" s="1058"/>
      <c r="H387" s="1059"/>
      <c r="I387" s="286"/>
    </row>
    <row r="388" spans="1:27" ht="15" customHeight="1">
      <c r="A388" s="1332"/>
      <c r="B388" s="1332"/>
      <c r="C388" s="1332"/>
      <c r="D388" s="1333"/>
      <c r="E388" s="1332"/>
      <c r="F388" s="1332"/>
      <c r="G388" s="1332"/>
      <c r="H388" s="1333"/>
      <c r="I388" s="1332"/>
    </row>
    <row r="389" spans="1:27" ht="38.25" customHeight="1">
      <c r="A389" s="1332"/>
      <c r="B389" s="1332"/>
      <c r="C389" s="1332"/>
      <c r="D389" s="1332"/>
      <c r="E389" s="1061"/>
      <c r="F389" s="1061"/>
      <c r="G389" s="1061"/>
      <c r="H389" s="1333"/>
      <c r="I389" s="1333"/>
    </row>
    <row r="390" spans="1:27" ht="15.75" customHeight="1">
      <c r="A390" s="1062"/>
      <c r="B390" s="1055"/>
      <c r="C390" s="1060"/>
      <c r="D390" s="1063"/>
      <c r="E390" s="1063"/>
      <c r="F390" s="1064"/>
      <c r="G390" s="1058"/>
      <c r="H390" s="1065"/>
      <c r="I390" s="1332"/>
      <c r="K390" s="8" t="s">
        <v>14</v>
      </c>
      <c r="L390" s="16">
        <f>'Daily Stock'!Q238</f>
        <v>0</v>
      </c>
      <c r="R390" s="309" t="s">
        <v>180</v>
      </c>
      <c r="S390" s="310"/>
    </row>
    <row r="391" spans="1:27" ht="18.75" customHeight="1">
      <c r="A391" s="1062"/>
      <c r="B391" s="1055"/>
      <c r="C391" s="1060"/>
      <c r="D391" s="1055"/>
      <c r="E391" s="1063"/>
      <c r="F391" s="1064"/>
      <c r="G391" s="1058"/>
      <c r="H391" s="1065"/>
      <c r="I391" s="1332"/>
      <c r="K391" s="8" t="s">
        <v>112</v>
      </c>
      <c r="L391" s="16">
        <f>'Daily Stock'!Q239</f>
        <v>0</v>
      </c>
      <c r="R391" s="311" t="s">
        <v>100</v>
      </c>
      <c r="S391" s="312"/>
      <c r="T391" s="313" t="s">
        <v>9</v>
      </c>
      <c r="U391" s="313" t="s">
        <v>113</v>
      </c>
      <c r="V391" s="314" t="s">
        <v>114</v>
      </c>
    </row>
    <row r="392" spans="1:27" ht="15" customHeight="1">
      <c r="A392" s="1062"/>
      <c r="B392" s="1055"/>
      <c r="C392" s="1055"/>
      <c r="D392" s="1055"/>
      <c r="E392" s="1057"/>
      <c r="F392" s="1058"/>
      <c r="G392" s="1058"/>
      <c r="H392" s="1065"/>
      <c r="I392" s="1334"/>
      <c r="K392" s="22" t="s">
        <v>117</v>
      </c>
      <c r="L392" s="16">
        <f>'Daily Stock'!Q240</f>
        <v>0</v>
      </c>
      <c r="R392" s="317" t="s">
        <v>118</v>
      </c>
      <c r="S392" s="318">
        <v>6</v>
      </c>
      <c r="T392" s="319">
        <f>U392</f>
        <v>0</v>
      </c>
      <c r="U392" s="320">
        <f>H392</f>
        <v>0</v>
      </c>
      <c r="V392" s="321" t="s">
        <v>119</v>
      </c>
    </row>
    <row r="393" spans="1:27" ht="15" customHeight="1">
      <c r="A393" s="1062"/>
      <c r="B393" s="1055"/>
      <c r="C393" s="1055"/>
      <c r="D393" s="1055"/>
      <c r="E393" s="1057"/>
      <c r="F393" s="1058"/>
      <c r="G393" s="1058"/>
      <c r="H393" s="1065"/>
      <c r="I393" s="1334"/>
      <c r="K393" s="22" t="s">
        <v>17</v>
      </c>
      <c r="L393" s="16">
        <f>'Daily Stock'!Q241</f>
        <v>0</v>
      </c>
      <c r="R393" s="317"/>
      <c r="S393" s="322"/>
      <c r="T393" s="323"/>
      <c r="U393" s="320">
        <v>0</v>
      </c>
      <c r="V393" s="324"/>
    </row>
    <row r="394" spans="1:27" ht="15" customHeight="1">
      <c r="A394" s="1062"/>
      <c r="B394" s="1055"/>
      <c r="C394" s="1055"/>
      <c r="D394" s="1055"/>
      <c r="E394" s="1057"/>
      <c r="F394" s="1058"/>
      <c r="G394" s="1058"/>
      <c r="H394" s="1065"/>
      <c r="I394" s="1334"/>
      <c r="K394" s="22" t="s">
        <v>18</v>
      </c>
      <c r="L394" s="16">
        <f>'Daily Stock'!Q242</f>
        <v>0</v>
      </c>
      <c r="R394" s="317"/>
      <c r="S394" s="236" t="s">
        <v>121</v>
      </c>
      <c r="T394" s="320">
        <v>0</v>
      </c>
      <c r="U394" s="320">
        <v>0</v>
      </c>
      <c r="V394" s="325"/>
    </row>
    <row r="395" spans="1:27" ht="15" customHeight="1">
      <c r="A395" s="1062"/>
      <c r="B395" s="1055"/>
      <c r="C395" s="1055"/>
      <c r="D395" s="1055"/>
      <c r="E395" s="1057"/>
      <c r="F395" s="1058"/>
      <c r="G395" s="1058"/>
      <c r="H395" s="1065"/>
      <c r="I395" s="1335"/>
      <c r="K395" s="22" t="s">
        <v>19</v>
      </c>
      <c r="L395" s="16">
        <f>'Daily Stock'!Q243</f>
        <v>0</v>
      </c>
      <c r="R395" s="326" t="s">
        <v>123</v>
      </c>
      <c r="S395" s="318">
        <v>6</v>
      </c>
      <c r="T395" s="319">
        <f>U395</f>
        <v>0</v>
      </c>
      <c r="U395" s="319">
        <f>H396</f>
        <v>0</v>
      </c>
      <c r="V395" s="321" t="s">
        <v>119</v>
      </c>
    </row>
    <row r="396" spans="1:27" ht="15" customHeight="1">
      <c r="A396" s="1062"/>
      <c r="B396" s="1055"/>
      <c r="C396" s="1055"/>
      <c r="D396" s="1055"/>
      <c r="E396" s="1057"/>
      <c r="F396" s="1058"/>
      <c r="G396" s="1058"/>
      <c r="H396" s="1065"/>
      <c r="I396" s="1335"/>
      <c r="K396" s="22" t="s">
        <v>20</v>
      </c>
      <c r="L396" s="16">
        <f>'Daily Stock'!Q244</f>
        <v>0</v>
      </c>
      <c r="R396" s="327"/>
      <c r="S396" s="328"/>
      <c r="T396" s="329"/>
      <c r="U396" s="329"/>
      <c r="V396" s="324"/>
    </row>
    <row r="397" spans="1:27" ht="15.75" customHeight="1">
      <c r="A397" s="1062"/>
      <c r="B397" s="1055"/>
      <c r="C397" s="1055"/>
      <c r="D397" s="1055"/>
      <c r="E397" s="1057"/>
      <c r="F397" s="1058"/>
      <c r="G397" s="1058"/>
      <c r="H397" s="1065"/>
      <c r="I397" s="1335"/>
      <c r="K397" s="22" t="s">
        <v>124</v>
      </c>
      <c r="L397" s="16">
        <f>'Daily Stock'!Q245</f>
        <v>0</v>
      </c>
      <c r="R397" s="327"/>
      <c r="S397" s="318">
        <v>4</v>
      </c>
      <c r="T397" s="319">
        <f>U397</f>
        <v>0</v>
      </c>
      <c r="U397" s="319">
        <f>G398</f>
        <v>0</v>
      </c>
      <c r="V397" s="321" t="s">
        <v>119</v>
      </c>
      <c r="X397" s="1304" t="str">
        <f>R390</f>
        <v>As on 13.10.2026</v>
      </c>
      <c r="Y397" s="1304"/>
      <c r="Z397" s="1304"/>
      <c r="AA397" s="1304"/>
    </row>
    <row r="398" spans="1:27" ht="15" customHeight="1">
      <c r="A398" s="1062"/>
      <c r="B398" s="1055"/>
      <c r="C398" s="1055"/>
      <c r="D398" s="1055"/>
      <c r="E398" s="1057"/>
      <c r="F398" s="1058"/>
      <c r="G398" s="1058"/>
      <c r="H398" s="1065"/>
      <c r="I398" s="1335"/>
      <c r="K398" s="22" t="s">
        <v>22</v>
      </c>
      <c r="L398" s="16">
        <f>'Daily Stock'!Q246</f>
        <v>0</v>
      </c>
      <c r="R398" s="327"/>
      <c r="S398" s="328"/>
      <c r="T398" s="329"/>
      <c r="U398" s="329"/>
      <c r="V398" s="324"/>
      <c r="X398" s="363" t="s">
        <v>125</v>
      </c>
      <c r="Y398" s="364" t="s">
        <v>126</v>
      </c>
      <c r="Z398" s="364" t="s">
        <v>127</v>
      </c>
      <c r="AA398" s="365" t="s">
        <v>128</v>
      </c>
    </row>
    <row r="399" spans="1:27" ht="15" customHeight="1">
      <c r="A399" s="1062"/>
      <c r="B399" s="1055"/>
      <c r="C399" s="1055"/>
      <c r="D399" s="1055"/>
      <c r="E399" s="1057"/>
      <c r="F399" s="1058"/>
      <c r="G399" s="1058"/>
      <c r="H399" s="1065"/>
      <c r="I399" s="1335"/>
      <c r="K399" s="22" t="s">
        <v>23</v>
      </c>
      <c r="L399" s="16">
        <f>'Daily Stock'!Q247</f>
        <v>0</v>
      </c>
      <c r="R399" s="327"/>
      <c r="S399" s="318">
        <v>3</v>
      </c>
      <c r="T399" s="319">
        <f>U399</f>
        <v>0</v>
      </c>
      <c r="U399" s="319">
        <f>G395</f>
        <v>0</v>
      </c>
      <c r="V399" s="321" t="s">
        <v>119</v>
      </c>
      <c r="X399" s="366" t="s">
        <v>129</v>
      </c>
      <c r="Y399" s="367">
        <f>I392</f>
        <v>0</v>
      </c>
      <c r="Z399" s="367">
        <f>I395</f>
        <v>0</v>
      </c>
      <c r="AA399" s="368">
        <f>I402</f>
        <v>0</v>
      </c>
    </row>
    <row r="400" spans="1:27" ht="15.75" customHeight="1">
      <c r="A400" s="1062"/>
      <c r="B400" s="1055"/>
      <c r="C400" s="1055"/>
      <c r="D400" s="1055"/>
      <c r="E400" s="1057"/>
      <c r="F400" s="1058"/>
      <c r="G400" s="1058"/>
      <c r="H400" s="1065"/>
      <c r="I400" s="1066"/>
      <c r="K400" s="25" t="s">
        <v>24</v>
      </c>
      <c r="L400" s="16">
        <f>'Daily Stock'!Q248</f>
        <v>0</v>
      </c>
      <c r="R400" s="327"/>
      <c r="S400" s="328"/>
      <c r="T400" s="329"/>
      <c r="U400" s="329"/>
      <c r="V400" s="324"/>
      <c r="W400" s="286"/>
      <c r="X400" s="366" t="s">
        <v>132</v>
      </c>
      <c r="Y400" s="206"/>
      <c r="Z400" s="367">
        <f>G405+G401</f>
        <v>0</v>
      </c>
      <c r="AA400" s="368">
        <f>G407+G406</f>
        <v>0</v>
      </c>
    </row>
    <row r="401" spans="1:27" ht="15" customHeight="1">
      <c r="A401" s="1062"/>
      <c r="B401" s="1055"/>
      <c r="C401" s="1055"/>
      <c r="D401" s="1055"/>
      <c r="E401" s="1057"/>
      <c r="F401" s="1058"/>
      <c r="G401" s="1058"/>
      <c r="H401" s="1065"/>
      <c r="I401" s="1066"/>
      <c r="R401" s="327"/>
      <c r="S401" s="318">
        <v>5</v>
      </c>
      <c r="T401" s="319">
        <f>U401</f>
        <v>0</v>
      </c>
      <c r="U401" s="319">
        <f>G397</f>
        <v>0</v>
      </c>
      <c r="V401" s="321" t="s">
        <v>119</v>
      </c>
      <c r="W401" s="379"/>
      <c r="X401" s="366"/>
      <c r="Y401" s="206"/>
      <c r="Z401" s="206"/>
      <c r="AA401" s="368"/>
    </row>
    <row r="402" spans="1:27" ht="15" customHeight="1">
      <c r="A402" s="1062"/>
      <c r="B402" s="1055"/>
      <c r="C402" s="1055"/>
      <c r="D402" s="1055"/>
      <c r="E402" s="1057"/>
      <c r="F402" s="1058"/>
      <c r="G402" s="1058"/>
      <c r="H402" s="401"/>
      <c r="I402" s="1336"/>
      <c r="K402" s="338">
        <f>'Monthly Prod'!B15</f>
        <v>0</v>
      </c>
      <c r="L402" s="338">
        <f>'Monthly Prod'!C15</f>
        <v>0</v>
      </c>
      <c r="M402" s="338">
        <f>'Monthly Prod'!D15</f>
        <v>0</v>
      </c>
      <c r="N402" s="338">
        <f>'Monthly Prod'!E15</f>
        <v>0</v>
      </c>
      <c r="O402" s="338">
        <f>'Monthly Prod'!F15</f>
        <v>0</v>
      </c>
      <c r="P402" s="338">
        <f>'Monthly Prod'!H15</f>
        <v>0</v>
      </c>
      <c r="Q402" t="s">
        <v>134</v>
      </c>
      <c r="R402" s="339"/>
      <c r="S402" s="340" t="s">
        <v>121</v>
      </c>
      <c r="T402" s="319">
        <f>U402</f>
        <v>0</v>
      </c>
      <c r="U402" s="319">
        <f>G399</f>
        <v>0</v>
      </c>
      <c r="V402" s="321" t="s">
        <v>119</v>
      </c>
      <c r="W402" s="379"/>
      <c r="X402" s="380" t="s">
        <v>135</v>
      </c>
      <c r="Y402" s="381">
        <f>SUM(Y399:Y401)</f>
        <v>0</v>
      </c>
      <c r="Z402" s="381">
        <f>SUM(Z399:Z401)</f>
        <v>0</v>
      </c>
      <c r="AA402" s="381">
        <f>SUM(AA399:AA401)</f>
        <v>0</v>
      </c>
    </row>
    <row r="403" spans="1:27" ht="15" customHeight="1">
      <c r="A403" s="1062"/>
      <c r="B403" s="1055"/>
      <c r="C403" s="1055"/>
      <c r="D403" s="1055"/>
      <c r="E403" s="1057"/>
      <c r="F403" s="1058"/>
      <c r="G403" s="1058"/>
      <c r="H403" s="1065"/>
      <c r="I403" s="1336"/>
      <c r="K403" s="286" t="s">
        <v>136</v>
      </c>
      <c r="L403" s="286" t="s">
        <v>137</v>
      </c>
      <c r="M403" s="277" t="s">
        <v>4</v>
      </c>
      <c r="N403" s="277" t="s">
        <v>138</v>
      </c>
      <c r="O403" s="286" t="s">
        <v>139</v>
      </c>
      <c r="P403" s="286" t="s">
        <v>140</v>
      </c>
      <c r="R403" s="326" t="s">
        <v>141</v>
      </c>
      <c r="S403" s="236">
        <v>6</v>
      </c>
      <c r="T403" s="320">
        <v>0</v>
      </c>
      <c r="U403" s="320">
        <v>0</v>
      </c>
      <c r="V403" s="325"/>
      <c r="W403" s="379"/>
    </row>
    <row r="404" spans="1:27" ht="15" customHeight="1">
      <c r="A404" s="1062"/>
      <c r="B404" s="1055"/>
      <c r="C404" s="1055"/>
      <c r="D404" s="1055"/>
      <c r="E404" s="1057"/>
      <c r="F404" s="1058"/>
      <c r="G404" s="1058"/>
      <c r="H404" s="1065"/>
      <c r="I404" s="1336"/>
      <c r="K404" s="282">
        <f ca="1">SUM('Monthly Prod'!B3:B15)</f>
        <v>0</v>
      </c>
      <c r="L404" s="282">
        <f ca="1">SUM('Monthly Prod'!C3:C15)</f>
        <v>0</v>
      </c>
      <c r="M404" s="282">
        <f ca="1">SUM('Monthly Prod'!D3:D15)</f>
        <v>0</v>
      </c>
      <c r="N404" s="282">
        <f ca="1">SUM('Monthly Prod'!E3:E15)</f>
        <v>0</v>
      </c>
      <c r="O404" s="282">
        <f ca="1">SUM('Monthly Prod'!F3:F15)</f>
        <v>0</v>
      </c>
      <c r="P404" s="282">
        <f ca="1">SUM('Monthly Prod'!H3:H15)</f>
        <v>0</v>
      </c>
      <c r="Q404" t="s">
        <v>142</v>
      </c>
      <c r="R404" s="327"/>
      <c r="S404" s="341">
        <v>4.8</v>
      </c>
      <c r="T404" s="342"/>
      <c r="U404" s="342"/>
      <c r="V404" s="343"/>
      <c r="W404" s="379"/>
      <c r="X404" s="370" t="s">
        <v>143</v>
      </c>
      <c r="Y404" s="371"/>
      <c r="Z404" s="371" t="s">
        <v>127</v>
      </c>
      <c r="AA404" s="372" t="s">
        <v>128</v>
      </c>
    </row>
    <row r="405" spans="1:27" ht="15" customHeight="1">
      <c r="A405" s="1062"/>
      <c r="B405" s="1055"/>
      <c r="C405" s="1055"/>
      <c r="D405" s="1055"/>
      <c r="E405" s="1057"/>
      <c r="F405" s="1058"/>
      <c r="G405" s="1058"/>
      <c r="H405" s="1065"/>
      <c r="I405" s="1336"/>
      <c r="R405" s="327"/>
      <c r="S405" s="318">
        <v>4</v>
      </c>
      <c r="T405" s="319">
        <f>U405</f>
        <v>0</v>
      </c>
      <c r="U405" s="319">
        <f>G403</f>
        <v>0</v>
      </c>
      <c r="V405" s="321" t="s">
        <v>119</v>
      </c>
      <c r="W405" s="379"/>
      <c r="X405" s="366"/>
      <c r="Y405" s="206" t="s">
        <v>145</v>
      </c>
      <c r="Z405" s="282">
        <f>400-69.71-140.17</f>
        <v>190.12000000000003</v>
      </c>
      <c r="AA405" s="373" t="s">
        <v>146</v>
      </c>
    </row>
    <row r="406" spans="1:27" ht="15" customHeight="1">
      <c r="A406" s="1062"/>
      <c r="B406" s="1055"/>
      <c r="C406" s="1055"/>
      <c r="D406" s="1055"/>
      <c r="E406" s="1057"/>
      <c r="F406" s="1058"/>
      <c r="G406" s="1058"/>
      <c r="H406" s="1065"/>
      <c r="I406" s="1336"/>
      <c r="R406" s="327"/>
      <c r="S406" s="328"/>
      <c r="T406" s="329"/>
      <c r="U406" s="329"/>
      <c r="V406" s="324"/>
      <c r="W406" s="286"/>
      <c r="X406" s="374"/>
      <c r="Y406" s="206" t="s">
        <v>148</v>
      </c>
      <c r="Z406" s="282">
        <v>30.79</v>
      </c>
      <c r="AA406" s="369"/>
    </row>
    <row r="407" spans="1:27" ht="15" customHeight="1">
      <c r="A407" s="1062"/>
      <c r="B407" s="1055"/>
      <c r="C407" s="1055"/>
      <c r="D407" s="1055"/>
      <c r="E407" s="1057"/>
      <c r="F407" s="1058"/>
      <c r="G407" s="1058"/>
      <c r="H407" s="1055"/>
      <c r="I407" s="1055"/>
      <c r="R407" s="327"/>
      <c r="S407" s="318">
        <v>3</v>
      </c>
      <c r="T407" s="319">
        <f>U407</f>
        <v>0</v>
      </c>
      <c r="U407" s="319">
        <f>G402</f>
        <v>0</v>
      </c>
      <c r="V407" s="321" t="s">
        <v>119</v>
      </c>
      <c r="W407" s="379"/>
      <c r="X407" s="374"/>
      <c r="Y407" s="206" t="s">
        <v>133</v>
      </c>
      <c r="Z407" s="282">
        <v>0</v>
      </c>
      <c r="AA407" s="369">
        <v>320</v>
      </c>
    </row>
    <row r="408" spans="1:27" ht="15" customHeight="1">
      <c r="A408" s="1337"/>
      <c r="B408" s="1337"/>
      <c r="C408" s="1337"/>
      <c r="D408" s="1337"/>
      <c r="E408" s="1337"/>
      <c r="F408" s="1337"/>
      <c r="G408" s="1067"/>
      <c r="H408" s="1067"/>
      <c r="I408" s="1068"/>
      <c r="R408" s="327"/>
      <c r="S408" s="328"/>
      <c r="T408" s="329"/>
      <c r="U408" s="329"/>
      <c r="V408" s="324"/>
      <c r="X408" s="366"/>
      <c r="Y408" s="206" t="s">
        <v>158</v>
      </c>
      <c r="Z408" s="282"/>
      <c r="AA408" s="368">
        <f>400.91-80.1</f>
        <v>320.81000000000006</v>
      </c>
    </row>
    <row r="409" spans="1:27" ht="15" customHeight="1">
      <c r="A409" s="1320"/>
      <c r="B409" s="1320"/>
      <c r="C409" s="1320"/>
      <c r="D409" s="1320"/>
      <c r="E409" s="1321"/>
      <c r="F409" s="1322"/>
      <c r="G409" s="1323"/>
      <c r="H409" s="1321"/>
      <c r="I409" s="1320"/>
      <c r="R409" s="327"/>
      <c r="S409" s="236">
        <v>5</v>
      </c>
      <c r="T409" s="320">
        <f>U409</f>
        <v>0</v>
      </c>
      <c r="U409" s="320">
        <f>G404</f>
        <v>0</v>
      </c>
      <c r="V409" s="325" t="s">
        <v>119</v>
      </c>
      <c r="X409" s="366"/>
      <c r="Y409" s="206" t="s">
        <v>150</v>
      </c>
      <c r="Z409" s="282"/>
      <c r="AA409" s="368">
        <v>1000</v>
      </c>
    </row>
    <row r="410" spans="1:27" ht="15.75" customHeight="1">
      <c r="A410" s="1320"/>
      <c r="B410" s="1320"/>
      <c r="C410" s="1320"/>
      <c r="D410" s="1320"/>
      <c r="E410" s="1320"/>
      <c r="F410" s="1320"/>
      <c r="G410" s="1320"/>
      <c r="H410" s="1320"/>
      <c r="I410" s="1320"/>
      <c r="R410" s="327"/>
      <c r="S410" s="236">
        <v>4.8</v>
      </c>
      <c r="T410" s="320">
        <v>0</v>
      </c>
      <c r="U410" s="320">
        <v>0</v>
      </c>
      <c r="V410" s="325" t="s">
        <v>119</v>
      </c>
      <c r="X410" s="375"/>
      <c r="Y410" s="245" t="s">
        <v>158</v>
      </c>
      <c r="Z410" s="376"/>
      <c r="AA410" s="377">
        <v>500</v>
      </c>
    </row>
    <row r="411" spans="1:27" ht="15" customHeight="1">
      <c r="A411" s="1072"/>
      <c r="B411" s="1072"/>
      <c r="C411" s="1072"/>
      <c r="D411" s="1072"/>
      <c r="E411" s="1072"/>
      <c r="F411" s="1072"/>
      <c r="G411" s="1073"/>
      <c r="H411" s="1074"/>
      <c r="I411" s="1075"/>
      <c r="R411" s="339"/>
      <c r="S411" s="236" t="s">
        <v>121</v>
      </c>
      <c r="T411" s="320">
        <v>0</v>
      </c>
      <c r="U411" s="320">
        <v>0</v>
      </c>
      <c r="V411" s="325" t="s">
        <v>119</v>
      </c>
    </row>
    <row r="412" spans="1:27" ht="15" customHeight="1">
      <c r="A412" s="1056"/>
      <c r="B412" s="1055"/>
      <c r="C412" s="1056"/>
      <c r="D412" s="1325"/>
      <c r="E412" s="1325"/>
      <c r="F412" s="1325"/>
      <c r="G412" s="1058"/>
      <c r="H412" s="1059"/>
      <c r="I412" s="286"/>
      <c r="R412" s="339"/>
      <c r="S412" s="236">
        <v>5</v>
      </c>
      <c r="T412" s="320">
        <v>0</v>
      </c>
      <c r="U412" s="320">
        <v>0</v>
      </c>
      <c r="V412" s="325"/>
    </row>
    <row r="413" spans="1:27" ht="15" customHeight="1">
      <c r="A413" s="1326"/>
      <c r="B413" s="1326"/>
      <c r="C413" s="1326"/>
      <c r="D413" s="1326"/>
      <c r="E413" s="1326"/>
      <c r="F413" s="1326"/>
      <c r="G413" s="1326"/>
      <c r="H413" s="1059"/>
      <c r="I413" s="286"/>
      <c r="R413" s="350"/>
      <c r="S413" s="211"/>
      <c r="T413" s="351">
        <f>SUM(T392:T412)</f>
        <v>0</v>
      </c>
      <c r="U413" s="351">
        <f>SUM(U392:U412)</f>
        <v>0</v>
      </c>
      <c r="V413" s="352"/>
    </row>
    <row r="414" spans="1:27" ht="25.5" customHeight="1">
      <c r="A414" s="1076"/>
      <c r="B414" s="1076"/>
      <c r="C414" s="1075"/>
      <c r="D414" s="1069"/>
      <c r="E414" s="1070"/>
      <c r="F414" s="1071"/>
      <c r="G414" s="1067"/>
      <c r="H414" s="1059"/>
      <c r="I414" s="286"/>
      <c r="R414" s="350"/>
      <c r="S414" s="211"/>
      <c r="T414" s="211"/>
      <c r="U414" s="211"/>
      <c r="V414" s="352"/>
    </row>
    <row r="415" spans="1:27" ht="15" customHeight="1">
      <c r="A415" s="1067"/>
      <c r="B415" s="1067"/>
      <c r="C415" s="1073"/>
      <c r="D415" s="1073"/>
      <c r="E415" s="1077"/>
      <c r="F415" s="1073"/>
      <c r="G415" s="1073"/>
      <c r="H415" s="1078"/>
      <c r="I415" s="286"/>
      <c r="R415" s="350"/>
      <c r="S415" s="211"/>
      <c r="T415" s="211"/>
      <c r="U415" s="211"/>
      <c r="V415" s="352"/>
    </row>
    <row r="416" spans="1:27" ht="15" customHeight="1">
      <c r="D416" s="1327"/>
      <c r="E416" s="1327"/>
      <c r="R416" s="350"/>
      <c r="S416" s="211"/>
      <c r="T416" s="211"/>
      <c r="U416" s="211"/>
      <c r="V416" s="352"/>
    </row>
    <row r="417" spans="1:27" ht="15.75" customHeight="1">
      <c r="A417" s="1330"/>
      <c r="B417" s="1330"/>
      <c r="C417" s="1330"/>
      <c r="D417" s="1330"/>
      <c r="E417" s="1330"/>
      <c r="F417" s="1330"/>
      <c r="G417" s="1330"/>
      <c r="H417" s="1330"/>
      <c r="I417" s="1330"/>
    </row>
    <row r="418" spans="1:27" ht="15" customHeight="1">
      <c r="A418" s="1331"/>
      <c r="B418" s="1331"/>
      <c r="C418" s="1331"/>
      <c r="D418" s="1331"/>
      <c r="E418" s="1331"/>
      <c r="F418" s="1331"/>
      <c r="G418" s="1331"/>
      <c r="H418" s="1331"/>
      <c r="I418" s="1331"/>
    </row>
    <row r="419" spans="1:27" ht="15" customHeight="1">
      <c r="A419" s="1054"/>
      <c r="B419" s="1055"/>
      <c r="C419" s="1056"/>
      <c r="D419" s="1056"/>
      <c r="E419" s="1057"/>
      <c r="F419" s="1058"/>
      <c r="G419" s="1058"/>
      <c r="H419" s="1059"/>
      <c r="I419" s="286"/>
    </row>
    <row r="420" spans="1:27" ht="15" customHeight="1">
      <c r="A420" s="1332"/>
      <c r="B420" s="1332"/>
      <c r="C420" s="1332"/>
      <c r="D420" s="1333"/>
      <c r="E420" s="1332"/>
      <c r="F420" s="1332"/>
      <c r="G420" s="1332"/>
      <c r="H420" s="1333"/>
      <c r="I420" s="1332"/>
    </row>
    <row r="421" spans="1:27" ht="15" customHeight="1">
      <c r="A421" s="1332"/>
      <c r="B421" s="1332"/>
      <c r="C421" s="1332"/>
      <c r="D421" s="1332"/>
      <c r="E421" s="1061"/>
      <c r="F421" s="1061"/>
      <c r="G421" s="1061"/>
      <c r="H421" s="1333"/>
      <c r="I421" s="1333"/>
    </row>
    <row r="422" spans="1:27" ht="15.75" customHeight="1">
      <c r="A422" s="1062"/>
      <c r="B422" s="1055"/>
      <c r="C422" s="1060"/>
      <c r="D422" s="1063"/>
      <c r="E422" s="1063"/>
      <c r="F422" s="1064"/>
      <c r="G422" s="1058"/>
      <c r="H422" s="1065"/>
      <c r="I422" s="1332"/>
      <c r="K422" s="8" t="s">
        <v>14</v>
      </c>
      <c r="L422" s="16">
        <f>'Daily Stock'!Q256</f>
        <v>0</v>
      </c>
      <c r="R422" s="309" t="s">
        <v>181</v>
      </c>
      <c r="S422" s="310"/>
    </row>
    <row r="423" spans="1:27" ht="18.75" customHeight="1">
      <c r="A423" s="1062"/>
      <c r="B423" s="1055"/>
      <c r="C423" s="1060"/>
      <c r="D423" s="1055"/>
      <c r="E423" s="1063"/>
      <c r="F423" s="1064"/>
      <c r="G423" s="1058"/>
      <c r="H423" s="1065"/>
      <c r="I423" s="1332"/>
      <c r="K423" s="8" t="s">
        <v>112</v>
      </c>
      <c r="L423" s="16">
        <f>'Daily Stock'!Q257</f>
        <v>0</v>
      </c>
      <c r="R423" s="311" t="s">
        <v>100</v>
      </c>
      <c r="S423" s="312"/>
      <c r="T423" s="313" t="s">
        <v>9</v>
      </c>
      <c r="U423" s="313" t="s">
        <v>113</v>
      </c>
      <c r="V423" s="314" t="s">
        <v>114</v>
      </c>
    </row>
    <row r="424" spans="1:27" ht="15" customHeight="1">
      <c r="A424" s="1062"/>
      <c r="B424" s="1055"/>
      <c r="C424" s="1055"/>
      <c r="D424" s="1055"/>
      <c r="E424" s="1057"/>
      <c r="F424" s="1058"/>
      <c r="G424" s="1058"/>
      <c r="H424" s="1065"/>
      <c r="I424" s="1334"/>
      <c r="K424" s="22" t="s">
        <v>117</v>
      </c>
      <c r="L424" s="16">
        <f>'Daily Stock'!Q258</f>
        <v>0</v>
      </c>
      <c r="R424" s="317" t="s">
        <v>118</v>
      </c>
      <c r="S424" s="318">
        <v>6</v>
      </c>
      <c r="T424" s="319">
        <f>U424</f>
        <v>0</v>
      </c>
      <c r="U424" s="320">
        <f>H424</f>
        <v>0</v>
      </c>
      <c r="V424" s="321" t="s">
        <v>119</v>
      </c>
    </row>
    <row r="425" spans="1:27" ht="15" customHeight="1">
      <c r="A425" s="1062"/>
      <c r="B425" s="1055"/>
      <c r="C425" s="1055"/>
      <c r="D425" s="1055"/>
      <c r="E425" s="1057"/>
      <c r="F425" s="1058"/>
      <c r="G425" s="1058"/>
      <c r="H425" s="1065"/>
      <c r="I425" s="1334"/>
      <c r="K425" s="22" t="s">
        <v>17</v>
      </c>
      <c r="L425" s="16">
        <f>'Daily Stock'!Q259</f>
        <v>0</v>
      </c>
      <c r="R425" s="317"/>
      <c r="S425" s="322"/>
      <c r="T425" s="323"/>
      <c r="U425" s="320">
        <v>0</v>
      </c>
      <c r="V425" s="324"/>
    </row>
    <row r="426" spans="1:27" ht="15" customHeight="1">
      <c r="A426" s="1062"/>
      <c r="B426" s="1055"/>
      <c r="C426" s="1055"/>
      <c r="D426" s="1055"/>
      <c r="E426" s="1057"/>
      <c r="F426" s="1058"/>
      <c r="G426" s="1058"/>
      <c r="H426" s="1065"/>
      <c r="I426" s="1334"/>
      <c r="K426" s="22" t="s">
        <v>18</v>
      </c>
      <c r="L426" s="16">
        <f>'Daily Stock'!Q260</f>
        <v>0</v>
      </c>
      <c r="R426" s="317"/>
      <c r="S426" s="236" t="s">
        <v>121</v>
      </c>
      <c r="T426" s="320">
        <v>0</v>
      </c>
      <c r="U426" s="320">
        <v>0</v>
      </c>
      <c r="V426" s="325"/>
    </row>
    <row r="427" spans="1:27" ht="15" customHeight="1">
      <c r="A427" s="1062"/>
      <c r="B427" s="1055"/>
      <c r="C427" s="1055"/>
      <c r="D427" s="1055"/>
      <c r="E427" s="1057"/>
      <c r="F427" s="1058"/>
      <c r="G427" s="1058"/>
      <c r="H427" s="1065"/>
      <c r="I427" s="1335"/>
      <c r="K427" s="22" t="s">
        <v>19</v>
      </c>
      <c r="L427" s="16">
        <f>'Daily Stock'!Q261</f>
        <v>0</v>
      </c>
      <c r="R427" s="326" t="s">
        <v>123</v>
      </c>
      <c r="S427" s="318">
        <v>6</v>
      </c>
      <c r="T427" s="319">
        <f>U427</f>
        <v>0</v>
      </c>
      <c r="U427" s="319">
        <f>H428</f>
        <v>0</v>
      </c>
      <c r="V427" s="321" t="s">
        <v>119</v>
      </c>
    </row>
    <row r="428" spans="1:27" ht="15" customHeight="1">
      <c r="A428" s="1062"/>
      <c r="B428" s="1055"/>
      <c r="C428" s="1055"/>
      <c r="D428" s="1055"/>
      <c r="E428" s="1057"/>
      <c r="F428" s="1058"/>
      <c r="G428" s="1058"/>
      <c r="H428" s="1065"/>
      <c r="I428" s="1335"/>
      <c r="K428" s="22" t="s">
        <v>20</v>
      </c>
      <c r="L428" s="16">
        <f>'Daily Stock'!Q262</f>
        <v>0</v>
      </c>
      <c r="R428" s="327"/>
      <c r="S428" s="328"/>
      <c r="T428" s="329"/>
      <c r="U428" s="329"/>
      <c r="V428" s="324"/>
    </row>
    <row r="429" spans="1:27" ht="15.75" customHeight="1">
      <c r="A429" s="1062"/>
      <c r="B429" s="1055"/>
      <c r="C429" s="1055"/>
      <c r="D429" s="1055"/>
      <c r="E429" s="1057"/>
      <c r="F429" s="1058"/>
      <c r="G429" s="1058"/>
      <c r="H429" s="1065"/>
      <c r="I429" s="1335"/>
      <c r="K429" s="22" t="s">
        <v>124</v>
      </c>
      <c r="L429" s="16">
        <f>'Daily Stock'!Q263</f>
        <v>0</v>
      </c>
      <c r="R429" s="327"/>
      <c r="S429" s="318">
        <v>4</v>
      </c>
      <c r="T429" s="319">
        <f>U429</f>
        <v>0</v>
      </c>
      <c r="U429" s="319">
        <f>G430</f>
        <v>0</v>
      </c>
      <c r="V429" s="321" t="s">
        <v>119</v>
      </c>
      <c r="X429" s="1304" t="str">
        <f>R422</f>
        <v>As on 14.10.2026</v>
      </c>
      <c r="Y429" s="1304"/>
      <c r="Z429" s="1304"/>
      <c r="AA429" s="1304"/>
    </row>
    <row r="430" spans="1:27" ht="15" customHeight="1">
      <c r="A430" s="1062"/>
      <c r="B430" s="1055"/>
      <c r="C430" s="1055"/>
      <c r="D430" s="1055"/>
      <c r="E430" s="1057"/>
      <c r="F430" s="1058"/>
      <c r="G430" s="1058"/>
      <c r="H430" s="1065"/>
      <c r="I430" s="1335"/>
      <c r="K430" s="22" t="s">
        <v>22</v>
      </c>
      <c r="L430" s="16">
        <f>'Daily Stock'!Q264</f>
        <v>0</v>
      </c>
      <c r="R430" s="327"/>
      <c r="S430" s="328"/>
      <c r="T430" s="329"/>
      <c r="U430" s="329"/>
      <c r="V430" s="324"/>
      <c r="X430" s="363" t="s">
        <v>125</v>
      </c>
      <c r="Y430" s="364" t="s">
        <v>126</v>
      </c>
      <c r="Z430" s="364" t="s">
        <v>127</v>
      </c>
      <c r="AA430" s="365" t="s">
        <v>128</v>
      </c>
    </row>
    <row r="431" spans="1:27" ht="15" customHeight="1">
      <c r="A431" s="1062"/>
      <c r="B431" s="1055"/>
      <c r="C431" s="1055"/>
      <c r="D431" s="1055"/>
      <c r="E431" s="1057"/>
      <c r="F431" s="1058"/>
      <c r="G431" s="1058"/>
      <c r="H431" s="1065"/>
      <c r="I431" s="1335"/>
      <c r="K431" s="22" t="s">
        <v>23</v>
      </c>
      <c r="L431" s="16">
        <f>'Daily Stock'!Q265</f>
        <v>0</v>
      </c>
      <c r="R431" s="327"/>
      <c r="S431" s="318">
        <v>3</v>
      </c>
      <c r="T431" s="319">
        <f>U431</f>
        <v>0</v>
      </c>
      <c r="U431" s="319">
        <f>G427</f>
        <v>0</v>
      </c>
      <c r="V431" s="321" t="s">
        <v>119</v>
      </c>
      <c r="X431" s="366" t="s">
        <v>129</v>
      </c>
      <c r="Y431" s="367">
        <f>I424</f>
        <v>0</v>
      </c>
      <c r="Z431" s="367">
        <f>I427</f>
        <v>0</v>
      </c>
      <c r="AA431" s="368">
        <f>I434</f>
        <v>0</v>
      </c>
    </row>
    <row r="432" spans="1:27" ht="15.75" customHeight="1">
      <c r="A432" s="1062"/>
      <c r="B432" s="1055"/>
      <c r="C432" s="1055"/>
      <c r="D432" s="1055"/>
      <c r="E432" s="1057"/>
      <c r="F432" s="1058"/>
      <c r="G432" s="1058"/>
      <c r="H432" s="1065"/>
      <c r="I432" s="1066"/>
      <c r="K432" s="25" t="s">
        <v>24</v>
      </c>
      <c r="L432" s="16">
        <f>'Daily Stock'!Q266</f>
        <v>0</v>
      </c>
      <c r="R432" s="327"/>
      <c r="S432" s="328"/>
      <c r="T432" s="329"/>
      <c r="U432" s="329"/>
      <c r="V432" s="324"/>
      <c r="W432" s="286"/>
      <c r="X432" s="366" t="s">
        <v>132</v>
      </c>
      <c r="Y432" s="206"/>
      <c r="Z432" s="367">
        <f>G437+G433</f>
        <v>0</v>
      </c>
      <c r="AA432" s="368">
        <f>G439+G438</f>
        <v>0</v>
      </c>
    </row>
    <row r="433" spans="1:27" ht="15" customHeight="1">
      <c r="A433" s="1062"/>
      <c r="B433" s="1055"/>
      <c r="C433" s="1055"/>
      <c r="D433" s="1055"/>
      <c r="E433" s="1057"/>
      <c r="F433" s="1058"/>
      <c r="G433" s="1058"/>
      <c r="H433" s="1065"/>
      <c r="I433" s="1066"/>
      <c r="R433" s="327"/>
      <c r="S433" s="318">
        <v>5</v>
      </c>
      <c r="T433" s="319">
        <f>U433</f>
        <v>0</v>
      </c>
      <c r="U433" s="319">
        <f>G429</f>
        <v>0</v>
      </c>
      <c r="V433" s="321" t="s">
        <v>119</v>
      </c>
      <c r="W433" s="379"/>
      <c r="X433" s="366"/>
      <c r="Y433" s="206"/>
      <c r="Z433" s="206"/>
      <c r="AA433" s="368"/>
    </row>
    <row r="434" spans="1:27" ht="15" customHeight="1">
      <c r="A434" s="1062"/>
      <c r="B434" s="1055"/>
      <c r="C434" s="1055"/>
      <c r="D434" s="1055"/>
      <c r="E434" s="1057"/>
      <c r="F434" s="1058"/>
      <c r="G434" s="1058"/>
      <c r="H434" s="401"/>
      <c r="I434" s="1336"/>
      <c r="K434" s="338">
        <f>'Monthly Prod'!B16</f>
        <v>0</v>
      </c>
      <c r="L434" s="338">
        <f>'Monthly Prod'!C16</f>
        <v>0</v>
      </c>
      <c r="M434" s="338">
        <f>'Monthly Prod'!D16</f>
        <v>0</v>
      </c>
      <c r="N434" s="338">
        <f>'Monthly Prod'!E16</f>
        <v>0</v>
      </c>
      <c r="O434" s="338">
        <f>'Monthly Prod'!F16</f>
        <v>0</v>
      </c>
      <c r="P434" s="338">
        <f>'Monthly Prod'!H16</f>
        <v>0</v>
      </c>
      <c r="Q434" t="s">
        <v>134</v>
      </c>
      <c r="R434" s="339"/>
      <c r="S434" s="340" t="s">
        <v>121</v>
      </c>
      <c r="T434" s="319">
        <f>U434</f>
        <v>0</v>
      </c>
      <c r="U434" s="319">
        <f>G431</f>
        <v>0</v>
      </c>
      <c r="V434" s="321" t="s">
        <v>119</v>
      </c>
      <c r="W434" s="379"/>
      <c r="X434" s="380" t="s">
        <v>135</v>
      </c>
      <c r="Y434" s="381">
        <f>SUM(Y431:Y433)</f>
        <v>0</v>
      </c>
      <c r="Z434" s="381">
        <f>SUM(Z431:Z433)</f>
        <v>0</v>
      </c>
      <c r="AA434" s="381">
        <f>SUM(AA431:AA433)</f>
        <v>0</v>
      </c>
    </row>
    <row r="435" spans="1:27" ht="15" customHeight="1">
      <c r="A435" s="1062"/>
      <c r="B435" s="1055"/>
      <c r="C435" s="1055"/>
      <c r="D435" s="1055"/>
      <c r="E435" s="1057"/>
      <c r="F435" s="1058"/>
      <c r="G435" s="1058"/>
      <c r="H435" s="1065"/>
      <c r="I435" s="1336"/>
      <c r="K435" s="286" t="s">
        <v>136</v>
      </c>
      <c r="L435" s="286" t="s">
        <v>137</v>
      </c>
      <c r="M435" s="277" t="s">
        <v>4</v>
      </c>
      <c r="N435" s="277" t="s">
        <v>138</v>
      </c>
      <c r="O435" s="286" t="s">
        <v>139</v>
      </c>
      <c r="P435" s="286" t="s">
        <v>140</v>
      </c>
      <c r="R435" s="326" t="s">
        <v>141</v>
      </c>
      <c r="S435" s="236">
        <v>6</v>
      </c>
      <c r="T435" s="320">
        <v>0</v>
      </c>
      <c r="U435" s="320">
        <v>0</v>
      </c>
      <c r="V435" s="325"/>
      <c r="W435" s="379"/>
    </row>
    <row r="436" spans="1:27" ht="15" customHeight="1">
      <c r="A436" s="1062"/>
      <c r="B436" s="1055"/>
      <c r="C436" s="1055"/>
      <c r="D436" s="1055"/>
      <c r="E436" s="1057"/>
      <c r="F436" s="1058"/>
      <c r="G436" s="1058"/>
      <c r="H436" s="1065"/>
      <c r="I436" s="1336"/>
      <c r="K436" s="282">
        <f ca="1">SUM('Monthly Prod'!B3:B16)</f>
        <v>0</v>
      </c>
      <c r="L436" s="282">
        <f ca="1">SUM('Monthly Prod'!C3:C16)</f>
        <v>0</v>
      </c>
      <c r="M436" s="282">
        <f ca="1">SUM('Monthly Prod'!D3:D16)</f>
        <v>0</v>
      </c>
      <c r="N436" s="282">
        <f ca="1">SUM('Monthly Prod'!E3:E16)</f>
        <v>0</v>
      </c>
      <c r="O436" s="282">
        <f ca="1">SUM('Monthly Prod'!F3:F16)</f>
        <v>0</v>
      </c>
      <c r="P436" s="282">
        <f ca="1">SUM('Monthly Prod'!H3:H16)</f>
        <v>0</v>
      </c>
      <c r="Q436" t="s">
        <v>142</v>
      </c>
      <c r="R436" s="327"/>
      <c r="S436" s="341">
        <v>4.8</v>
      </c>
      <c r="T436" s="342"/>
      <c r="U436" s="342"/>
      <c r="V436" s="343"/>
      <c r="W436" s="379"/>
      <c r="X436" s="370" t="s">
        <v>143</v>
      </c>
      <c r="Y436" s="371"/>
      <c r="Z436" s="371" t="s">
        <v>127</v>
      </c>
      <c r="AA436" s="372" t="s">
        <v>128</v>
      </c>
    </row>
    <row r="437" spans="1:27" ht="15" customHeight="1">
      <c r="A437" s="1062"/>
      <c r="B437" s="1055"/>
      <c r="C437" s="1055"/>
      <c r="D437" s="1055"/>
      <c r="E437" s="1057"/>
      <c r="F437" s="1058"/>
      <c r="G437" s="1058"/>
      <c r="H437" s="1065"/>
      <c r="I437" s="1336"/>
      <c r="R437" s="327"/>
      <c r="S437" s="318">
        <v>4</v>
      </c>
      <c r="T437" s="319">
        <f>U437</f>
        <v>0</v>
      </c>
      <c r="U437" s="319">
        <f>G435</f>
        <v>0</v>
      </c>
      <c r="V437" s="321" t="s">
        <v>119</v>
      </c>
      <c r="W437" s="379"/>
      <c r="X437" s="366"/>
      <c r="Y437" s="206" t="s">
        <v>145</v>
      </c>
      <c r="Z437" s="282">
        <f>400-69.71-140.17</f>
        <v>190.12000000000003</v>
      </c>
      <c r="AA437" s="373" t="s">
        <v>146</v>
      </c>
    </row>
    <row r="438" spans="1:27" ht="15" customHeight="1">
      <c r="A438" s="1062"/>
      <c r="B438" s="1055"/>
      <c r="C438" s="1055"/>
      <c r="D438" s="1055"/>
      <c r="E438" s="1057"/>
      <c r="F438" s="1058"/>
      <c r="G438" s="1058"/>
      <c r="H438" s="1065"/>
      <c r="I438" s="1336"/>
      <c r="R438" s="327"/>
      <c r="S438" s="328"/>
      <c r="T438" s="329"/>
      <c r="U438" s="329"/>
      <c r="V438" s="324"/>
      <c r="W438" s="286"/>
      <c r="X438" s="374"/>
      <c r="Y438" s="206" t="s">
        <v>148</v>
      </c>
      <c r="Z438" s="282">
        <v>30.79</v>
      </c>
      <c r="AA438" s="369"/>
    </row>
    <row r="439" spans="1:27" ht="15" customHeight="1">
      <c r="A439" s="1062"/>
      <c r="B439" s="1055"/>
      <c r="C439" s="1055"/>
      <c r="D439" s="1055"/>
      <c r="E439" s="1057"/>
      <c r="F439" s="1058"/>
      <c r="G439" s="1058"/>
      <c r="H439" s="1065"/>
      <c r="I439" s="1055"/>
      <c r="R439" s="327"/>
      <c r="S439" s="318">
        <v>3</v>
      </c>
      <c r="T439" s="319">
        <f>U439</f>
        <v>0</v>
      </c>
      <c r="U439" s="319">
        <f>G434</f>
        <v>0</v>
      </c>
      <c r="V439" s="321" t="s">
        <v>119</v>
      </c>
      <c r="W439" s="379"/>
      <c r="X439" s="374"/>
      <c r="Y439" s="206" t="s">
        <v>133</v>
      </c>
      <c r="Z439" s="282">
        <v>0</v>
      </c>
      <c r="AA439" s="369">
        <v>320</v>
      </c>
    </row>
    <row r="440" spans="1:27" ht="15" customHeight="1">
      <c r="A440" s="1337"/>
      <c r="B440" s="1337"/>
      <c r="C440" s="1337"/>
      <c r="D440" s="1337"/>
      <c r="E440" s="1337"/>
      <c r="F440" s="1337"/>
      <c r="G440" s="1067"/>
      <c r="H440" s="1067"/>
      <c r="I440" s="1068"/>
      <c r="R440" s="327"/>
      <c r="S440" s="328"/>
      <c r="T440" s="329"/>
      <c r="U440" s="329"/>
      <c r="V440" s="324"/>
      <c r="X440" s="366"/>
      <c r="Y440" s="206" t="s">
        <v>158</v>
      </c>
      <c r="Z440" s="282"/>
      <c r="AA440" s="368">
        <f>400.91-80.1</f>
        <v>320.81000000000006</v>
      </c>
    </row>
    <row r="441" spans="1:27" ht="15" customHeight="1">
      <c r="A441" s="1320"/>
      <c r="B441" s="1320"/>
      <c r="C441" s="1320"/>
      <c r="D441" s="1320"/>
      <c r="E441" s="1321"/>
      <c r="F441" s="1322"/>
      <c r="G441" s="1323"/>
      <c r="H441" s="1321"/>
      <c r="I441" s="1320"/>
      <c r="R441" s="327"/>
      <c r="S441" s="236">
        <v>5</v>
      </c>
      <c r="T441" s="320">
        <f>U441</f>
        <v>0</v>
      </c>
      <c r="U441" s="320">
        <f>G436</f>
        <v>0</v>
      </c>
      <c r="V441" s="325" t="s">
        <v>119</v>
      </c>
      <c r="X441" s="366"/>
      <c r="Y441" s="206" t="s">
        <v>150</v>
      </c>
      <c r="Z441" s="282"/>
      <c r="AA441" s="368">
        <v>1000</v>
      </c>
    </row>
    <row r="442" spans="1:27" ht="15.75" customHeight="1">
      <c r="A442" s="1320"/>
      <c r="B442" s="1320"/>
      <c r="C442" s="1320"/>
      <c r="D442" s="1320"/>
      <c r="E442" s="1320"/>
      <c r="F442" s="1320"/>
      <c r="G442" s="1320"/>
      <c r="H442" s="1320"/>
      <c r="I442" s="1320"/>
      <c r="R442" s="327"/>
      <c r="S442" s="236">
        <v>4.8</v>
      </c>
      <c r="T442" s="320">
        <v>0</v>
      </c>
      <c r="U442" s="320">
        <v>0</v>
      </c>
      <c r="V442" s="325" t="s">
        <v>119</v>
      </c>
      <c r="X442" s="375"/>
      <c r="Y442" s="245" t="s">
        <v>158</v>
      </c>
      <c r="Z442" s="376"/>
      <c r="AA442" s="377">
        <v>500</v>
      </c>
    </row>
    <row r="443" spans="1:27" ht="15" customHeight="1">
      <c r="A443" s="1072"/>
      <c r="B443" s="1072"/>
      <c r="C443" s="1072"/>
      <c r="D443" s="1072"/>
      <c r="E443" s="1072"/>
      <c r="F443" s="1072"/>
      <c r="G443" s="1073"/>
      <c r="H443" s="1074"/>
      <c r="I443" s="1075"/>
      <c r="R443" s="339"/>
      <c r="S443" s="236" t="s">
        <v>121</v>
      </c>
      <c r="T443" s="320">
        <v>0</v>
      </c>
      <c r="U443" s="320">
        <v>0</v>
      </c>
      <c r="V443" s="325" t="s">
        <v>119</v>
      </c>
    </row>
    <row r="444" spans="1:27" ht="15" customHeight="1">
      <c r="A444" s="1056"/>
      <c r="B444" s="1055"/>
      <c r="C444" s="1056"/>
      <c r="D444" s="1325"/>
      <c r="E444" s="1325"/>
      <c r="F444" s="1325"/>
      <c r="G444" s="1058"/>
      <c r="H444" s="1059"/>
      <c r="I444" s="286"/>
      <c r="R444" s="339"/>
      <c r="S444" s="236">
        <v>5</v>
      </c>
      <c r="T444" s="320">
        <v>0</v>
      </c>
      <c r="U444" s="320">
        <v>0</v>
      </c>
      <c r="V444" s="325"/>
    </row>
    <row r="445" spans="1:27" ht="15" customHeight="1">
      <c r="A445" s="1326"/>
      <c r="B445" s="1326"/>
      <c r="C445" s="1326"/>
      <c r="D445" s="1326"/>
      <c r="E445" s="1326"/>
      <c r="F445" s="1326"/>
      <c r="G445" s="1326"/>
      <c r="H445" s="1059"/>
      <c r="I445" s="286"/>
      <c r="R445" s="350"/>
      <c r="S445" s="211"/>
      <c r="T445" s="351">
        <f>SUM(T424:T444)</f>
        <v>0</v>
      </c>
      <c r="U445" s="351">
        <f>SUM(U424:U444)</f>
        <v>0</v>
      </c>
      <c r="V445" s="352"/>
    </row>
    <row r="446" spans="1:27" ht="25.5" customHeight="1">
      <c r="A446" s="1076"/>
      <c r="B446" s="1076"/>
      <c r="C446" s="1075"/>
      <c r="D446" s="1069"/>
      <c r="E446" s="1070"/>
      <c r="F446" s="1071"/>
      <c r="G446" s="1067"/>
      <c r="H446" s="1059"/>
      <c r="I446" s="286"/>
      <c r="R446" s="350"/>
      <c r="S446" s="211"/>
      <c r="T446" s="211"/>
      <c r="U446" s="211"/>
      <c r="V446" s="352"/>
    </row>
    <row r="447" spans="1:27" ht="15" customHeight="1">
      <c r="A447" s="1067"/>
      <c r="B447" s="1067"/>
      <c r="C447" s="1073"/>
      <c r="D447" s="1073"/>
      <c r="E447" s="1077"/>
      <c r="F447" s="1073"/>
      <c r="G447" s="1073"/>
      <c r="H447" s="1078"/>
      <c r="I447" s="286"/>
      <c r="R447" s="350"/>
      <c r="S447" s="211"/>
      <c r="T447" s="211"/>
      <c r="U447" s="211"/>
      <c r="V447" s="352"/>
    </row>
    <row r="448" spans="1:27" ht="15" customHeight="1">
      <c r="D448" s="1327"/>
      <c r="E448" s="1327"/>
      <c r="R448" s="350"/>
      <c r="S448" s="211"/>
      <c r="T448" s="211"/>
      <c r="U448" s="211"/>
      <c r="V448" s="352"/>
    </row>
    <row r="449" spans="1:27" ht="15.75" customHeight="1">
      <c r="A449" s="1330"/>
      <c r="B449" s="1330"/>
      <c r="C449" s="1330"/>
      <c r="D449" s="1330"/>
      <c r="E449" s="1330"/>
      <c r="F449" s="1330"/>
      <c r="G449" s="1330"/>
      <c r="H449" s="1330"/>
      <c r="I449" s="1330"/>
    </row>
    <row r="450" spans="1:27" ht="15" customHeight="1">
      <c r="A450" s="1331"/>
      <c r="B450" s="1331"/>
      <c r="C450" s="1331"/>
      <c r="D450" s="1331"/>
      <c r="E450" s="1331"/>
      <c r="F450" s="1331"/>
      <c r="G450" s="1331"/>
      <c r="H450" s="1331"/>
      <c r="I450" s="1331"/>
    </row>
    <row r="451" spans="1:27" ht="15" customHeight="1">
      <c r="A451" s="1054"/>
      <c r="B451" s="1055"/>
      <c r="C451" s="1056"/>
      <c r="D451" s="1056"/>
      <c r="E451" s="1057"/>
      <c r="F451" s="1058"/>
      <c r="G451" s="1058"/>
      <c r="H451" s="1059"/>
      <c r="I451" s="286"/>
    </row>
    <row r="452" spans="1:27" ht="15" customHeight="1">
      <c r="A452" s="1332"/>
      <c r="B452" s="1332"/>
      <c r="C452" s="1332"/>
      <c r="D452" s="1333"/>
      <c r="E452" s="1332"/>
      <c r="F452" s="1332"/>
      <c r="G452" s="1332"/>
      <c r="H452" s="1333"/>
      <c r="I452" s="1332"/>
    </row>
    <row r="453" spans="1:27" ht="38.25" customHeight="1">
      <c r="A453" s="1332"/>
      <c r="B453" s="1332"/>
      <c r="C453" s="1332"/>
      <c r="D453" s="1332"/>
      <c r="E453" s="1061"/>
      <c r="F453" s="1061"/>
      <c r="G453" s="1061"/>
      <c r="H453" s="1333"/>
      <c r="I453" s="1333"/>
    </row>
    <row r="454" spans="1:27" ht="15.75" customHeight="1">
      <c r="A454" s="1062"/>
      <c r="B454" s="1055"/>
      <c r="C454" s="1060"/>
      <c r="D454" s="1063"/>
      <c r="E454" s="1063"/>
      <c r="F454" s="1064"/>
      <c r="G454" s="1058"/>
      <c r="H454" s="1065"/>
      <c r="I454" s="1332"/>
      <c r="K454" s="8" t="s">
        <v>14</v>
      </c>
      <c r="L454" s="16">
        <f>'Daily Stock'!Q274</f>
        <v>0</v>
      </c>
      <c r="R454" s="309" t="s">
        <v>182</v>
      </c>
      <c r="S454" s="310"/>
    </row>
    <row r="455" spans="1:27" ht="18.75" customHeight="1">
      <c r="A455" s="1062"/>
      <c r="B455" s="1055"/>
      <c r="C455" s="1060"/>
      <c r="D455" s="1055"/>
      <c r="E455" s="1063"/>
      <c r="F455" s="1064"/>
      <c r="G455" s="1058"/>
      <c r="H455" s="1065"/>
      <c r="I455" s="1332"/>
      <c r="K455" s="8" t="s">
        <v>112</v>
      </c>
      <c r="L455" s="16">
        <f>'Daily Stock'!Q275</f>
        <v>0</v>
      </c>
      <c r="R455" s="311" t="s">
        <v>100</v>
      </c>
      <c r="S455" s="312"/>
      <c r="T455" s="313" t="s">
        <v>9</v>
      </c>
      <c r="U455" s="313" t="s">
        <v>113</v>
      </c>
      <c r="V455" s="314" t="s">
        <v>114</v>
      </c>
    </row>
    <row r="456" spans="1:27" ht="15" customHeight="1">
      <c r="A456" s="1062"/>
      <c r="B456" s="1055"/>
      <c r="C456" s="1055"/>
      <c r="D456" s="1055"/>
      <c r="E456" s="1057"/>
      <c r="F456" s="1058"/>
      <c r="G456" s="1058"/>
      <c r="H456" s="1065"/>
      <c r="I456" s="1334"/>
      <c r="K456" s="22" t="s">
        <v>117</v>
      </c>
      <c r="L456" s="16">
        <f>'Daily Stock'!Q276</f>
        <v>0</v>
      </c>
      <c r="R456" s="317" t="s">
        <v>118</v>
      </c>
      <c r="S456" s="318">
        <v>6</v>
      </c>
      <c r="T456" s="319">
        <f>U456</f>
        <v>0</v>
      </c>
      <c r="U456" s="320">
        <f>H456</f>
        <v>0</v>
      </c>
      <c r="V456" s="321" t="s">
        <v>119</v>
      </c>
    </row>
    <row r="457" spans="1:27" ht="15" customHeight="1">
      <c r="A457" s="1062"/>
      <c r="B457" s="1055"/>
      <c r="C457" s="1055"/>
      <c r="D457" s="1055"/>
      <c r="E457" s="1057"/>
      <c r="F457" s="1058"/>
      <c r="G457" s="1058"/>
      <c r="H457" s="1065"/>
      <c r="I457" s="1334"/>
      <c r="K457" s="22" t="s">
        <v>17</v>
      </c>
      <c r="L457" s="16">
        <f>'Daily Stock'!Q277</f>
        <v>0</v>
      </c>
      <c r="R457" s="317"/>
      <c r="S457" s="322"/>
      <c r="T457" s="323"/>
      <c r="U457" s="320">
        <v>0</v>
      </c>
      <c r="V457" s="324"/>
    </row>
    <row r="458" spans="1:27" ht="15" customHeight="1">
      <c r="A458" s="1062"/>
      <c r="B458" s="1055"/>
      <c r="C458" s="1055"/>
      <c r="D458" s="1055"/>
      <c r="E458" s="1057"/>
      <c r="F458" s="1058"/>
      <c r="G458" s="1058"/>
      <c r="H458" s="1065"/>
      <c r="I458" s="1334"/>
      <c r="K458" s="22" t="s">
        <v>18</v>
      </c>
      <c r="L458" s="16">
        <f>'Daily Stock'!Q278</f>
        <v>0</v>
      </c>
      <c r="R458" s="317"/>
      <c r="S458" s="236" t="s">
        <v>121</v>
      </c>
      <c r="T458" s="320">
        <v>0</v>
      </c>
      <c r="U458" s="320">
        <v>0</v>
      </c>
      <c r="V458" s="325"/>
    </row>
    <row r="459" spans="1:27" ht="15" customHeight="1">
      <c r="A459" s="1062"/>
      <c r="B459" s="1055"/>
      <c r="C459" s="1055"/>
      <c r="D459" s="1055"/>
      <c r="E459" s="1057"/>
      <c r="F459" s="1058"/>
      <c r="G459" s="1058"/>
      <c r="H459" s="1065"/>
      <c r="I459" s="1335"/>
      <c r="K459" s="22" t="s">
        <v>19</v>
      </c>
      <c r="L459" s="16">
        <f>'Daily Stock'!Q279</f>
        <v>0</v>
      </c>
      <c r="R459" s="326" t="s">
        <v>123</v>
      </c>
      <c r="S459" s="318">
        <v>6</v>
      </c>
      <c r="T459" s="319">
        <f>U459</f>
        <v>0</v>
      </c>
      <c r="U459" s="319">
        <f>H460</f>
        <v>0</v>
      </c>
      <c r="V459" s="321" t="s">
        <v>119</v>
      </c>
    </row>
    <row r="460" spans="1:27" ht="15" customHeight="1">
      <c r="A460" s="1062"/>
      <c r="B460" s="1055"/>
      <c r="C460" s="1055"/>
      <c r="D460" s="1055"/>
      <c r="E460" s="1057"/>
      <c r="F460" s="1058"/>
      <c r="G460" s="1058"/>
      <c r="H460" s="1065"/>
      <c r="I460" s="1335"/>
      <c r="K460" s="22" t="s">
        <v>20</v>
      </c>
      <c r="L460" s="16">
        <f>'Daily Stock'!Q280</f>
        <v>0</v>
      </c>
      <c r="R460" s="327"/>
      <c r="S460" s="328"/>
      <c r="T460" s="329"/>
      <c r="U460" s="329"/>
      <c r="V460" s="324"/>
    </row>
    <row r="461" spans="1:27" ht="15.75" customHeight="1">
      <c r="A461" s="1062"/>
      <c r="B461" s="1055"/>
      <c r="C461" s="1055"/>
      <c r="D461" s="1055"/>
      <c r="E461" s="1057"/>
      <c r="F461" s="1058"/>
      <c r="G461" s="1058"/>
      <c r="H461" s="1065"/>
      <c r="I461" s="1335"/>
      <c r="K461" s="22" t="s">
        <v>124</v>
      </c>
      <c r="L461" s="16">
        <f>'Daily Stock'!Q281</f>
        <v>0</v>
      </c>
      <c r="R461" s="327"/>
      <c r="S461" s="318">
        <v>4</v>
      </c>
      <c r="T461" s="319">
        <f>U461</f>
        <v>0</v>
      </c>
      <c r="U461" s="319">
        <f>G462</f>
        <v>0</v>
      </c>
      <c r="V461" s="321" t="s">
        <v>119</v>
      </c>
      <c r="X461" s="1304" t="str">
        <f>R454</f>
        <v>As on 15.10.2026</v>
      </c>
      <c r="Y461" s="1304"/>
      <c r="Z461" s="1304"/>
      <c r="AA461" s="1304"/>
    </row>
    <row r="462" spans="1:27" ht="15" customHeight="1">
      <c r="A462" s="1062"/>
      <c r="B462" s="1055"/>
      <c r="C462" s="1055"/>
      <c r="D462" s="1055"/>
      <c r="E462" s="1057"/>
      <c r="F462" s="1058"/>
      <c r="G462" s="1058"/>
      <c r="H462" s="1065"/>
      <c r="I462" s="1335"/>
      <c r="K462" s="22" t="s">
        <v>22</v>
      </c>
      <c r="L462" s="16">
        <f>'Daily Stock'!Q282</f>
        <v>0</v>
      </c>
      <c r="R462" s="327"/>
      <c r="S462" s="328"/>
      <c r="T462" s="329"/>
      <c r="U462" s="329"/>
      <c r="V462" s="324"/>
      <c r="X462" s="363" t="s">
        <v>125</v>
      </c>
      <c r="Y462" s="364" t="s">
        <v>126</v>
      </c>
      <c r="Z462" s="364" t="s">
        <v>127</v>
      </c>
      <c r="AA462" s="365" t="s">
        <v>128</v>
      </c>
    </row>
    <row r="463" spans="1:27" ht="15" customHeight="1">
      <c r="A463" s="1062"/>
      <c r="B463" s="1055"/>
      <c r="C463" s="1055"/>
      <c r="D463" s="1055"/>
      <c r="E463" s="1057"/>
      <c r="F463" s="1058"/>
      <c r="G463" s="1058"/>
      <c r="H463" s="1065"/>
      <c r="I463" s="1335"/>
      <c r="K463" s="22" t="s">
        <v>23</v>
      </c>
      <c r="L463" s="16">
        <f>'Daily Stock'!Q283</f>
        <v>0</v>
      </c>
      <c r="R463" s="327"/>
      <c r="S463" s="318">
        <v>3</v>
      </c>
      <c r="T463" s="319">
        <f>U463</f>
        <v>0</v>
      </c>
      <c r="U463" s="319">
        <f>G459</f>
        <v>0</v>
      </c>
      <c r="V463" s="321" t="s">
        <v>119</v>
      </c>
      <c r="X463" s="366" t="s">
        <v>129</v>
      </c>
      <c r="Y463" s="367">
        <f>I456</f>
        <v>0</v>
      </c>
      <c r="Z463" s="367">
        <f>I459</f>
        <v>0</v>
      </c>
      <c r="AA463" s="368">
        <f>I466</f>
        <v>0</v>
      </c>
    </row>
    <row r="464" spans="1:27" ht="15.75" customHeight="1">
      <c r="A464" s="1062"/>
      <c r="B464" s="1055"/>
      <c r="C464" s="1055"/>
      <c r="D464" s="1055"/>
      <c r="E464" s="1057"/>
      <c r="F464" s="1058"/>
      <c r="G464" s="1058"/>
      <c r="H464" s="1065"/>
      <c r="I464" s="1066"/>
      <c r="K464" s="25" t="s">
        <v>24</v>
      </c>
      <c r="L464" s="16">
        <f>'Daily Stock'!Q284</f>
        <v>0</v>
      </c>
      <c r="R464" s="327"/>
      <c r="S464" s="328"/>
      <c r="T464" s="329"/>
      <c r="U464" s="329"/>
      <c r="V464" s="324"/>
      <c r="W464" s="286"/>
      <c r="X464" s="366" t="s">
        <v>132</v>
      </c>
      <c r="Y464" s="206"/>
      <c r="Z464" s="367">
        <f>G469+G465</f>
        <v>0</v>
      </c>
      <c r="AA464" s="368">
        <f>G471+G470</f>
        <v>0</v>
      </c>
    </row>
    <row r="465" spans="1:27" ht="15" customHeight="1">
      <c r="A465" s="1062"/>
      <c r="B465" s="1055"/>
      <c r="C465" s="1055"/>
      <c r="D465" s="1055"/>
      <c r="E465" s="1057"/>
      <c r="F465" s="1058"/>
      <c r="G465" s="1058"/>
      <c r="H465" s="1065"/>
      <c r="I465" s="1066"/>
      <c r="R465" s="327"/>
      <c r="S465" s="318">
        <v>5</v>
      </c>
      <c r="T465" s="319">
        <f>U465</f>
        <v>0</v>
      </c>
      <c r="U465" s="319">
        <f>G461</f>
        <v>0</v>
      </c>
      <c r="V465" s="321" t="s">
        <v>119</v>
      </c>
      <c r="W465" s="379"/>
      <c r="X465" s="366"/>
      <c r="Y465" s="206"/>
      <c r="Z465" s="206"/>
      <c r="AA465" s="368"/>
    </row>
    <row r="466" spans="1:27" ht="15" customHeight="1">
      <c r="A466" s="1062"/>
      <c r="B466" s="1055"/>
      <c r="C466" s="1055"/>
      <c r="D466" s="1055"/>
      <c r="E466" s="1057"/>
      <c r="F466" s="1058"/>
      <c r="G466" s="1058"/>
      <c r="H466" s="401"/>
      <c r="I466" s="1336"/>
      <c r="K466" s="338">
        <f>'Monthly Prod'!B17</f>
        <v>0</v>
      </c>
      <c r="L466" s="338">
        <f>'Monthly Prod'!C17</f>
        <v>0</v>
      </c>
      <c r="M466" s="338">
        <f>'Monthly Prod'!D17</f>
        <v>0</v>
      </c>
      <c r="N466" s="338">
        <f>'Monthly Prod'!E17</f>
        <v>0</v>
      </c>
      <c r="O466" s="338">
        <f>'Monthly Prod'!F17</f>
        <v>0</v>
      </c>
      <c r="P466" s="338">
        <f>'Monthly Prod'!H17</f>
        <v>0</v>
      </c>
      <c r="Q466" t="s">
        <v>134</v>
      </c>
      <c r="R466" s="339"/>
      <c r="S466" s="340" t="s">
        <v>121</v>
      </c>
      <c r="T466" s="319">
        <f>U466</f>
        <v>0</v>
      </c>
      <c r="U466" s="319">
        <f>G463</f>
        <v>0</v>
      </c>
      <c r="V466" s="321" t="s">
        <v>119</v>
      </c>
      <c r="W466" s="379"/>
      <c r="X466" s="380" t="s">
        <v>135</v>
      </c>
      <c r="Y466" s="381">
        <f>SUM(Y463:Y465)</f>
        <v>0</v>
      </c>
      <c r="Z466" s="381">
        <f>SUM(Z463:Z465)</f>
        <v>0</v>
      </c>
      <c r="AA466" s="381">
        <f>SUM(AA463:AA465)</f>
        <v>0</v>
      </c>
    </row>
    <row r="467" spans="1:27" ht="15" customHeight="1">
      <c r="A467" s="1062"/>
      <c r="B467" s="1055"/>
      <c r="C467" s="1055"/>
      <c r="D467" s="1055"/>
      <c r="E467" s="1057"/>
      <c r="F467" s="1058"/>
      <c r="G467" s="1058"/>
      <c r="H467" s="1065"/>
      <c r="I467" s="1336"/>
      <c r="K467" s="286" t="s">
        <v>136</v>
      </c>
      <c r="L467" s="286" t="s">
        <v>137</v>
      </c>
      <c r="M467" s="277" t="s">
        <v>4</v>
      </c>
      <c r="N467" s="277" t="s">
        <v>138</v>
      </c>
      <c r="O467" s="286" t="s">
        <v>139</v>
      </c>
      <c r="P467" s="286" t="s">
        <v>140</v>
      </c>
      <c r="R467" s="326" t="s">
        <v>141</v>
      </c>
      <c r="S467" s="236">
        <v>6</v>
      </c>
      <c r="T467" s="320">
        <v>0</v>
      </c>
      <c r="U467" s="320">
        <v>0</v>
      </c>
      <c r="V467" s="325"/>
      <c r="W467" s="379"/>
    </row>
    <row r="468" spans="1:27" ht="15" customHeight="1">
      <c r="A468" s="1062"/>
      <c r="B468" s="1055"/>
      <c r="C468" s="1055"/>
      <c r="D468" s="1055"/>
      <c r="E468" s="1057"/>
      <c r="F468" s="1058"/>
      <c r="G468" s="1058"/>
      <c r="H468" s="1065"/>
      <c r="I468" s="1336"/>
      <c r="K468" s="282">
        <f ca="1">SUM('Monthly Prod'!B3:B17)</f>
        <v>0</v>
      </c>
      <c r="L468" s="282">
        <f ca="1">SUM('Monthly Prod'!C3:C17)</f>
        <v>0</v>
      </c>
      <c r="M468" s="282">
        <f ca="1">SUM('Monthly Prod'!D3:D17)</f>
        <v>0</v>
      </c>
      <c r="N468" s="282">
        <f ca="1">SUM('Monthly Prod'!E3:E17)</f>
        <v>0</v>
      </c>
      <c r="O468" s="282">
        <f ca="1">SUM('Monthly Prod'!F3:F17)</f>
        <v>0</v>
      </c>
      <c r="P468" s="282">
        <f ca="1">SUM('Monthly Prod'!H3:H17)</f>
        <v>0</v>
      </c>
      <c r="Q468" t="s">
        <v>142</v>
      </c>
      <c r="R468" s="327"/>
      <c r="S468" s="341">
        <v>4.8</v>
      </c>
      <c r="T468" s="342"/>
      <c r="U468" s="342"/>
      <c r="V468" s="343"/>
      <c r="W468" s="379"/>
      <c r="X468" s="370" t="s">
        <v>143</v>
      </c>
      <c r="Y468" s="371"/>
      <c r="Z468" s="371" t="s">
        <v>127</v>
      </c>
      <c r="AA468" s="372" t="s">
        <v>128</v>
      </c>
    </row>
    <row r="469" spans="1:27" ht="15" customHeight="1">
      <c r="A469" s="1062"/>
      <c r="B469" s="1055"/>
      <c r="C469" s="1055"/>
      <c r="D469" s="1055"/>
      <c r="E469" s="1057"/>
      <c r="F469" s="1058"/>
      <c r="G469" s="1058"/>
      <c r="H469" s="1065"/>
      <c r="I469" s="1336"/>
      <c r="R469" s="327"/>
      <c r="S469" s="318">
        <v>4</v>
      </c>
      <c r="T469" s="319">
        <f>U469</f>
        <v>0</v>
      </c>
      <c r="U469" s="319">
        <f>G467</f>
        <v>0</v>
      </c>
      <c r="V469" s="321" t="s">
        <v>119</v>
      </c>
      <c r="W469" s="379"/>
      <c r="X469" s="366"/>
      <c r="Y469" s="206" t="s">
        <v>145</v>
      </c>
      <c r="Z469" s="282">
        <f>400-69.71-140.17-34.22</f>
        <v>155.90000000000003</v>
      </c>
      <c r="AA469" s="373" t="s">
        <v>146</v>
      </c>
    </row>
    <row r="470" spans="1:27" ht="15" customHeight="1">
      <c r="A470" s="1062"/>
      <c r="B470" s="1055"/>
      <c r="C470" s="1055"/>
      <c r="D470" s="1055"/>
      <c r="E470" s="1057"/>
      <c r="F470" s="1058"/>
      <c r="G470" s="1058"/>
      <c r="H470" s="1065"/>
      <c r="I470" s="1336"/>
      <c r="R470" s="327"/>
      <c r="S470" s="328"/>
      <c r="T470" s="329"/>
      <c r="U470" s="329"/>
      <c r="V470" s="324"/>
      <c r="W470" s="286"/>
      <c r="X470" s="374"/>
      <c r="Y470" s="206" t="s">
        <v>148</v>
      </c>
      <c r="Z470" s="282">
        <v>30.79</v>
      </c>
      <c r="AA470" s="369"/>
    </row>
    <row r="471" spans="1:27" ht="15" customHeight="1">
      <c r="A471" s="1062"/>
      <c r="B471" s="1055"/>
      <c r="C471" s="1055"/>
      <c r="D471" s="1055"/>
      <c r="E471" s="1057"/>
      <c r="F471" s="1058"/>
      <c r="G471" s="1058"/>
      <c r="H471" s="1065"/>
      <c r="I471" s="1055"/>
      <c r="R471" s="327"/>
      <c r="S471" s="318">
        <v>3</v>
      </c>
      <c r="T471" s="319">
        <f>U471</f>
        <v>0</v>
      </c>
      <c r="U471" s="319">
        <f>G466</f>
        <v>0</v>
      </c>
      <c r="V471" s="321" t="s">
        <v>119</v>
      </c>
      <c r="W471" s="379"/>
      <c r="X471" s="374"/>
      <c r="Y471" s="206" t="s">
        <v>133</v>
      </c>
      <c r="Z471" s="282">
        <v>0</v>
      </c>
      <c r="AA471" s="369">
        <v>320</v>
      </c>
    </row>
    <row r="472" spans="1:27" ht="15" customHeight="1">
      <c r="A472" s="1337"/>
      <c r="B472" s="1337"/>
      <c r="C472" s="1337"/>
      <c r="D472" s="1337"/>
      <c r="E472" s="1337"/>
      <c r="F472" s="1337"/>
      <c r="G472" s="1067"/>
      <c r="H472" s="1067"/>
      <c r="I472" s="1068"/>
      <c r="R472" s="327"/>
      <c r="S472" s="328"/>
      <c r="T472" s="329"/>
      <c r="U472" s="329"/>
      <c r="V472" s="324"/>
      <c r="X472" s="366"/>
      <c r="Y472" s="206" t="s">
        <v>158</v>
      </c>
      <c r="Z472" s="282"/>
      <c r="AA472" s="368">
        <f>400.91-80.1</f>
        <v>320.81000000000006</v>
      </c>
    </row>
    <row r="473" spans="1:27" ht="15" customHeight="1">
      <c r="A473" s="1320"/>
      <c r="B473" s="1320"/>
      <c r="C473" s="1320"/>
      <c r="D473" s="1320"/>
      <c r="E473" s="1321"/>
      <c r="F473" s="1322"/>
      <c r="G473" s="1323"/>
      <c r="H473" s="1321"/>
      <c r="I473" s="1320"/>
      <c r="R473" s="327"/>
      <c r="S473" s="236">
        <v>5</v>
      </c>
      <c r="T473" s="320">
        <f>U473</f>
        <v>0</v>
      </c>
      <c r="U473" s="320">
        <f>G468</f>
        <v>0</v>
      </c>
      <c r="V473" s="325" t="s">
        <v>119</v>
      </c>
      <c r="X473" s="366"/>
      <c r="Y473" s="206" t="s">
        <v>150</v>
      </c>
      <c r="Z473" s="282"/>
      <c r="AA473" s="368">
        <v>1000</v>
      </c>
    </row>
    <row r="474" spans="1:27" ht="15.75" customHeight="1">
      <c r="A474" s="1320"/>
      <c r="B474" s="1320"/>
      <c r="C474" s="1320"/>
      <c r="D474" s="1320"/>
      <c r="E474" s="1320"/>
      <c r="F474" s="1320"/>
      <c r="G474" s="1320"/>
      <c r="H474" s="1320"/>
      <c r="I474" s="1320"/>
      <c r="R474" s="327"/>
      <c r="S474" s="236">
        <v>4.8</v>
      </c>
      <c r="T474" s="320">
        <v>0</v>
      </c>
      <c r="U474" s="320">
        <v>0</v>
      </c>
      <c r="V474" s="325" t="s">
        <v>119</v>
      </c>
      <c r="X474" s="375"/>
      <c r="Y474" s="245" t="s">
        <v>158</v>
      </c>
      <c r="Z474" s="376"/>
      <c r="AA474" s="377">
        <v>500</v>
      </c>
    </row>
    <row r="475" spans="1:27" ht="15" customHeight="1">
      <c r="A475" s="1072"/>
      <c r="B475" s="1072"/>
      <c r="C475" s="1072"/>
      <c r="D475" s="1072"/>
      <c r="E475" s="1072"/>
      <c r="F475" s="1072"/>
      <c r="G475" s="1073"/>
      <c r="H475" s="1074"/>
      <c r="I475" s="1075"/>
      <c r="R475" s="339"/>
      <c r="S475" s="236" t="s">
        <v>121</v>
      </c>
      <c r="T475" s="320">
        <v>0</v>
      </c>
      <c r="U475" s="320">
        <v>0</v>
      </c>
      <c r="V475" s="325" t="s">
        <v>119</v>
      </c>
    </row>
    <row r="476" spans="1:27" ht="15" customHeight="1">
      <c r="A476" s="1056"/>
      <c r="B476" s="1055"/>
      <c r="C476" s="1056"/>
      <c r="D476" s="1325"/>
      <c r="E476" s="1325"/>
      <c r="F476" s="1325"/>
      <c r="G476" s="1058"/>
      <c r="H476" s="1059"/>
      <c r="I476" s="286"/>
      <c r="R476" s="339"/>
      <c r="S476" s="236">
        <v>5</v>
      </c>
      <c r="T476" s="320">
        <v>0</v>
      </c>
      <c r="U476" s="320">
        <v>0</v>
      </c>
      <c r="V476" s="325"/>
    </row>
    <row r="477" spans="1:27" ht="15" customHeight="1">
      <c r="A477" s="1326"/>
      <c r="B477" s="1326"/>
      <c r="C477" s="1326"/>
      <c r="D477" s="1326"/>
      <c r="E477" s="1326"/>
      <c r="F477" s="1326"/>
      <c r="G477" s="1326"/>
      <c r="H477" s="1059"/>
      <c r="I477" s="286"/>
      <c r="R477" s="350"/>
      <c r="S477" s="211"/>
      <c r="T477" s="351">
        <f>SUM(T456:T476)</f>
        <v>0</v>
      </c>
      <c r="U477" s="351">
        <f>SUM(U456:U476)</f>
        <v>0</v>
      </c>
      <c r="V477" s="352"/>
    </row>
    <row r="478" spans="1:27" ht="25.5" customHeight="1">
      <c r="A478" s="1076"/>
      <c r="B478" s="1076"/>
      <c r="C478" s="1075"/>
      <c r="D478" s="1069"/>
      <c r="E478" s="1070"/>
      <c r="F478" s="1071"/>
      <c r="G478" s="1067"/>
      <c r="H478" s="1059"/>
      <c r="I478" s="286"/>
      <c r="R478" s="350"/>
      <c r="S478" s="211"/>
      <c r="T478" s="211"/>
      <c r="U478" s="211"/>
      <c r="V478" s="352"/>
    </row>
    <row r="479" spans="1:27" ht="15" customHeight="1">
      <c r="A479" s="1067"/>
      <c r="B479" s="1067"/>
      <c r="C479" s="1073"/>
      <c r="D479" s="1073"/>
      <c r="E479" s="1077"/>
      <c r="F479" s="1073"/>
      <c r="G479" s="1073"/>
      <c r="H479" s="1078"/>
      <c r="I479" s="286"/>
      <c r="R479" s="350"/>
      <c r="S479" s="211"/>
      <c r="T479" s="211"/>
      <c r="U479" s="211"/>
      <c r="V479" s="352"/>
    </row>
    <row r="480" spans="1:27" ht="15" customHeight="1">
      <c r="D480" s="1327"/>
      <c r="E480" s="1327"/>
      <c r="R480" s="350"/>
      <c r="S480" s="211"/>
      <c r="T480" s="211"/>
      <c r="U480" s="211"/>
      <c r="V480" s="352"/>
    </row>
    <row r="481" spans="1:27" ht="15.75" customHeight="1">
      <c r="A481" s="1330"/>
      <c r="B481" s="1330"/>
      <c r="C481" s="1330"/>
      <c r="D481" s="1330"/>
      <c r="E481" s="1330"/>
      <c r="F481" s="1330"/>
      <c r="G481" s="1330"/>
      <c r="H481" s="1330"/>
      <c r="I481" s="1330"/>
    </row>
    <row r="482" spans="1:27" ht="15" customHeight="1">
      <c r="A482" s="1331"/>
      <c r="B482" s="1331"/>
      <c r="C482" s="1331"/>
      <c r="D482" s="1331"/>
      <c r="E482" s="1331"/>
      <c r="F482" s="1331"/>
      <c r="G482" s="1331"/>
      <c r="H482" s="1331"/>
      <c r="I482" s="1331"/>
    </row>
    <row r="483" spans="1:27" ht="15" customHeight="1">
      <c r="A483" s="1054"/>
      <c r="B483" s="1055"/>
      <c r="C483" s="1056"/>
      <c r="D483" s="1056"/>
      <c r="E483" s="1057"/>
      <c r="F483" s="1058"/>
      <c r="G483" s="1058"/>
      <c r="H483" s="1059"/>
      <c r="I483" s="286"/>
    </row>
    <row r="484" spans="1:27" ht="15" customHeight="1">
      <c r="A484" s="1332"/>
      <c r="B484" s="1332"/>
      <c r="C484" s="1332"/>
      <c r="D484" s="1333"/>
      <c r="E484" s="1332"/>
      <c r="F484" s="1332"/>
      <c r="G484" s="1332"/>
      <c r="H484" s="1333"/>
      <c r="I484" s="1332"/>
    </row>
    <row r="485" spans="1:27" ht="38.25" customHeight="1">
      <c r="A485" s="1332"/>
      <c r="B485" s="1332"/>
      <c r="C485" s="1332"/>
      <c r="D485" s="1332"/>
      <c r="E485" s="1061"/>
      <c r="F485" s="1061"/>
      <c r="G485" s="1061"/>
      <c r="H485" s="1333"/>
      <c r="I485" s="1333"/>
    </row>
    <row r="486" spans="1:27" ht="15.75" customHeight="1">
      <c r="A486" s="1062"/>
      <c r="B486" s="1055"/>
      <c r="C486" s="1060"/>
      <c r="D486" s="1063"/>
      <c r="E486" s="1063"/>
      <c r="F486" s="1064"/>
      <c r="G486" s="1058"/>
      <c r="H486" s="1065"/>
      <c r="I486" s="1332"/>
      <c r="K486" s="8" t="s">
        <v>14</v>
      </c>
      <c r="L486" s="16">
        <f>'Daily Stock'!Q292</f>
        <v>0</v>
      </c>
      <c r="R486" s="309" t="s">
        <v>183</v>
      </c>
      <c r="S486" s="310"/>
    </row>
    <row r="487" spans="1:27" ht="18.75" customHeight="1">
      <c r="A487" s="1062"/>
      <c r="B487" s="1055"/>
      <c r="C487" s="1060"/>
      <c r="D487" s="1055"/>
      <c r="E487" s="1063"/>
      <c r="F487" s="1064"/>
      <c r="G487" s="1058"/>
      <c r="H487" s="1065"/>
      <c r="I487" s="1332"/>
      <c r="K487" s="8" t="s">
        <v>112</v>
      </c>
      <c r="L487" s="16">
        <f>'Daily Stock'!Q293</f>
        <v>0</v>
      </c>
      <c r="R487" s="311" t="s">
        <v>100</v>
      </c>
      <c r="S487" s="312"/>
      <c r="T487" s="313" t="s">
        <v>9</v>
      </c>
      <c r="U487" s="313" t="s">
        <v>113</v>
      </c>
      <c r="V487" s="314" t="s">
        <v>114</v>
      </c>
    </row>
    <row r="488" spans="1:27" ht="15" customHeight="1">
      <c r="A488" s="1062"/>
      <c r="B488" s="1055"/>
      <c r="C488" s="1055"/>
      <c r="D488" s="1055"/>
      <c r="E488" s="1057"/>
      <c r="F488" s="1058"/>
      <c r="G488" s="1058"/>
      <c r="H488" s="1065"/>
      <c r="I488" s="1334"/>
      <c r="K488" s="22" t="s">
        <v>117</v>
      </c>
      <c r="L488" s="16">
        <f>'Daily Stock'!Q294</f>
        <v>0</v>
      </c>
      <c r="R488" s="317" t="s">
        <v>118</v>
      </c>
      <c r="S488" s="318">
        <v>6</v>
      </c>
      <c r="T488" s="319">
        <f>U488</f>
        <v>0</v>
      </c>
      <c r="U488" s="320">
        <f>H488</f>
        <v>0</v>
      </c>
      <c r="V488" s="321" t="s">
        <v>119</v>
      </c>
    </row>
    <row r="489" spans="1:27" ht="15" customHeight="1">
      <c r="A489" s="1062"/>
      <c r="B489" s="1055"/>
      <c r="C489" s="1055"/>
      <c r="D489" s="1055"/>
      <c r="E489" s="1057"/>
      <c r="F489" s="1058"/>
      <c r="G489" s="1058"/>
      <c r="H489" s="1065"/>
      <c r="I489" s="1334"/>
      <c r="K489" s="22" t="s">
        <v>17</v>
      </c>
      <c r="L489" s="16">
        <f>'Daily Stock'!Q295</f>
        <v>0</v>
      </c>
      <c r="R489" s="317"/>
      <c r="S489" s="322"/>
      <c r="T489" s="323"/>
      <c r="U489" s="320">
        <v>0</v>
      </c>
      <c r="V489" s="324"/>
    </row>
    <row r="490" spans="1:27" ht="15" customHeight="1">
      <c r="A490" s="1062"/>
      <c r="B490" s="1055"/>
      <c r="C490" s="1055"/>
      <c r="D490" s="1055"/>
      <c r="E490" s="1057"/>
      <c r="F490" s="1058"/>
      <c r="G490" s="1058"/>
      <c r="H490" s="1065"/>
      <c r="I490" s="1334"/>
      <c r="K490" s="22" t="s">
        <v>18</v>
      </c>
      <c r="L490" s="16">
        <f>'Daily Stock'!Q296</f>
        <v>0</v>
      </c>
      <c r="R490" s="317"/>
      <c r="S490" s="236" t="s">
        <v>121</v>
      </c>
      <c r="T490" s="320">
        <v>0</v>
      </c>
      <c r="U490" s="320">
        <v>0</v>
      </c>
      <c r="V490" s="325"/>
    </row>
    <row r="491" spans="1:27" ht="15" customHeight="1">
      <c r="A491" s="1062"/>
      <c r="B491" s="1055"/>
      <c r="C491" s="1055"/>
      <c r="D491" s="1055"/>
      <c r="E491" s="1057"/>
      <c r="F491" s="1058"/>
      <c r="G491" s="1058"/>
      <c r="H491" s="1065"/>
      <c r="I491" s="1335"/>
      <c r="K491" s="22" t="s">
        <v>19</v>
      </c>
      <c r="L491" s="16">
        <f>'Daily Stock'!Q297</f>
        <v>0</v>
      </c>
      <c r="R491" s="326" t="s">
        <v>123</v>
      </c>
      <c r="S491" s="318">
        <v>6</v>
      </c>
      <c r="T491" s="319">
        <f>U491</f>
        <v>0</v>
      </c>
      <c r="U491" s="319">
        <f>H492</f>
        <v>0</v>
      </c>
      <c r="V491" s="321" t="s">
        <v>119</v>
      </c>
    </row>
    <row r="492" spans="1:27" ht="15" customHeight="1">
      <c r="A492" s="1062"/>
      <c r="B492" s="1055"/>
      <c r="C492" s="1055"/>
      <c r="D492" s="1055"/>
      <c r="E492" s="1057"/>
      <c r="F492" s="1058"/>
      <c r="G492" s="1058"/>
      <c r="H492" s="1065"/>
      <c r="I492" s="1335"/>
      <c r="K492" s="22" t="s">
        <v>20</v>
      </c>
      <c r="L492" s="16">
        <f>'Daily Stock'!Q298</f>
        <v>0</v>
      </c>
      <c r="R492" s="327"/>
      <c r="S492" s="328"/>
      <c r="T492" s="329"/>
      <c r="U492" s="329"/>
      <c r="V492" s="324"/>
    </row>
    <row r="493" spans="1:27" ht="15.75" customHeight="1">
      <c r="A493" s="1062"/>
      <c r="B493" s="1055"/>
      <c r="C493" s="1055"/>
      <c r="D493" s="1055"/>
      <c r="E493" s="1057"/>
      <c r="F493" s="1058"/>
      <c r="G493" s="1058"/>
      <c r="H493" s="1065"/>
      <c r="I493" s="1335"/>
      <c r="K493" s="22" t="s">
        <v>124</v>
      </c>
      <c r="L493" s="16">
        <f>'Daily Stock'!Q299</f>
        <v>0</v>
      </c>
      <c r="R493" s="327"/>
      <c r="S493" s="318">
        <v>4</v>
      </c>
      <c r="T493" s="319">
        <f>U493</f>
        <v>0</v>
      </c>
      <c r="U493" s="319">
        <f>G494</f>
        <v>0</v>
      </c>
      <c r="V493" s="321" t="s">
        <v>119</v>
      </c>
      <c r="X493" s="1304" t="str">
        <f>R486</f>
        <v>As on 16.10.2026</v>
      </c>
      <c r="Y493" s="1304"/>
      <c r="Z493" s="1304"/>
      <c r="AA493" s="1304"/>
    </row>
    <row r="494" spans="1:27" ht="15" customHeight="1">
      <c r="A494" s="1062"/>
      <c r="B494" s="1055"/>
      <c r="C494" s="1055"/>
      <c r="D494" s="1055"/>
      <c r="E494" s="1057"/>
      <c r="F494" s="1058"/>
      <c r="G494" s="1058"/>
      <c r="H494" s="1065"/>
      <c r="I494" s="1335"/>
      <c r="K494" s="22" t="s">
        <v>22</v>
      </c>
      <c r="L494" s="16">
        <f>'Daily Stock'!Q300</f>
        <v>0</v>
      </c>
      <c r="R494" s="327"/>
      <c r="S494" s="328"/>
      <c r="T494" s="329"/>
      <c r="U494" s="329"/>
      <c r="V494" s="324"/>
      <c r="X494" s="363" t="s">
        <v>125</v>
      </c>
      <c r="Y494" s="364" t="s">
        <v>126</v>
      </c>
      <c r="Z494" s="364" t="s">
        <v>127</v>
      </c>
      <c r="AA494" s="365" t="s">
        <v>128</v>
      </c>
    </row>
    <row r="495" spans="1:27" ht="15" customHeight="1">
      <c r="A495" s="1062"/>
      <c r="B495" s="1055"/>
      <c r="C495" s="1055"/>
      <c r="D495" s="1055"/>
      <c r="E495" s="1057"/>
      <c r="F495" s="1058"/>
      <c r="G495" s="1058"/>
      <c r="H495" s="1065"/>
      <c r="I495" s="1335"/>
      <c r="K495" s="22" t="s">
        <v>23</v>
      </c>
      <c r="L495" s="16">
        <f>'Daily Stock'!Q301</f>
        <v>0</v>
      </c>
      <c r="R495" s="327"/>
      <c r="S495" s="318">
        <v>3</v>
      </c>
      <c r="T495" s="319">
        <f>U495</f>
        <v>0</v>
      </c>
      <c r="U495" s="319">
        <f>G491</f>
        <v>0</v>
      </c>
      <c r="V495" s="321" t="s">
        <v>119</v>
      </c>
      <c r="X495" s="366" t="s">
        <v>129</v>
      </c>
      <c r="Y495" s="367">
        <f>I488</f>
        <v>0</v>
      </c>
      <c r="Z495" s="367">
        <f>I491</f>
        <v>0</v>
      </c>
      <c r="AA495" s="368">
        <f>I498</f>
        <v>0</v>
      </c>
    </row>
    <row r="496" spans="1:27" ht="15.75" customHeight="1">
      <c r="A496" s="1062"/>
      <c r="B496" s="1055"/>
      <c r="C496" s="1055"/>
      <c r="D496" s="1055"/>
      <c r="E496" s="1057"/>
      <c r="F496" s="1058"/>
      <c r="G496" s="1058"/>
      <c r="H496" s="1065"/>
      <c r="I496" s="1066"/>
      <c r="K496" s="25" t="s">
        <v>24</v>
      </c>
      <c r="L496" s="16">
        <f>'Daily Stock'!Q302</f>
        <v>0</v>
      </c>
      <c r="R496" s="327"/>
      <c r="S496" s="328"/>
      <c r="T496" s="329"/>
      <c r="U496" s="329"/>
      <c r="V496" s="324"/>
      <c r="W496" s="286"/>
      <c r="X496" s="366" t="s">
        <v>132</v>
      </c>
      <c r="Y496" s="206"/>
      <c r="Z496" s="367">
        <f>G501+G497</f>
        <v>0</v>
      </c>
      <c r="AA496" s="368">
        <f>G503+G502</f>
        <v>0</v>
      </c>
    </row>
    <row r="497" spans="1:27" ht="15" customHeight="1">
      <c r="A497" s="1062"/>
      <c r="B497" s="1055"/>
      <c r="C497" s="1055"/>
      <c r="D497" s="1055"/>
      <c r="E497" s="1057"/>
      <c r="F497" s="1058"/>
      <c r="G497" s="1058"/>
      <c r="H497" s="1065"/>
      <c r="I497" s="1066"/>
      <c r="R497" s="327"/>
      <c r="S497" s="318">
        <v>5</v>
      </c>
      <c r="T497" s="319">
        <f>U497</f>
        <v>0</v>
      </c>
      <c r="U497" s="319">
        <f>G493</f>
        <v>0</v>
      </c>
      <c r="V497" s="321" t="s">
        <v>119</v>
      </c>
      <c r="W497" s="379"/>
      <c r="X497" s="366"/>
      <c r="Y497" s="206"/>
      <c r="Z497" s="206"/>
      <c r="AA497" s="368"/>
    </row>
    <row r="498" spans="1:27" ht="15" customHeight="1">
      <c r="A498" s="1062"/>
      <c r="B498" s="1055"/>
      <c r="C498" s="1055"/>
      <c r="D498" s="1055"/>
      <c r="E498" s="1057"/>
      <c r="F498" s="1058"/>
      <c r="G498" s="1058"/>
      <c r="H498" s="401"/>
      <c r="I498" s="1336"/>
      <c r="K498" s="338">
        <f>'Monthly Prod'!B18</f>
        <v>0</v>
      </c>
      <c r="L498" s="338">
        <f>'Monthly Prod'!C18</f>
        <v>0</v>
      </c>
      <c r="M498" s="338">
        <f>'Monthly Prod'!D18</f>
        <v>0</v>
      </c>
      <c r="N498" s="338">
        <f>'Monthly Prod'!E18</f>
        <v>0</v>
      </c>
      <c r="O498" s="338">
        <f>'Monthly Prod'!F18</f>
        <v>0</v>
      </c>
      <c r="P498" s="338">
        <f>'Monthly Prod'!H18</f>
        <v>0</v>
      </c>
      <c r="Q498" t="s">
        <v>134</v>
      </c>
      <c r="R498" s="339"/>
      <c r="S498" s="340" t="s">
        <v>121</v>
      </c>
      <c r="T498" s="319">
        <f>U498</f>
        <v>0</v>
      </c>
      <c r="U498" s="319">
        <f>G495</f>
        <v>0</v>
      </c>
      <c r="V498" s="321" t="s">
        <v>119</v>
      </c>
      <c r="W498" s="379"/>
      <c r="X498" s="380" t="s">
        <v>135</v>
      </c>
      <c r="Y498" s="381">
        <f>SUM(Y495:Y497)</f>
        <v>0</v>
      </c>
      <c r="Z498" s="381">
        <f>SUM(Z495:Z497)</f>
        <v>0</v>
      </c>
      <c r="AA498" s="381">
        <f>SUM(AA495:AA497)</f>
        <v>0</v>
      </c>
    </row>
    <row r="499" spans="1:27" ht="15" customHeight="1">
      <c r="A499" s="1062"/>
      <c r="B499" s="1055"/>
      <c r="C499" s="1055"/>
      <c r="D499" s="1055"/>
      <c r="E499" s="1057"/>
      <c r="F499" s="1058"/>
      <c r="G499" s="1058"/>
      <c r="H499" s="1065"/>
      <c r="I499" s="1336"/>
      <c r="K499" s="286" t="s">
        <v>136</v>
      </c>
      <c r="L499" s="286" t="s">
        <v>137</v>
      </c>
      <c r="M499" s="277" t="s">
        <v>4</v>
      </c>
      <c r="N499" s="277" t="s">
        <v>138</v>
      </c>
      <c r="O499" s="286" t="s">
        <v>139</v>
      </c>
      <c r="P499" s="286" t="s">
        <v>140</v>
      </c>
      <c r="R499" s="326" t="s">
        <v>141</v>
      </c>
      <c r="S499" s="236">
        <v>6</v>
      </c>
      <c r="T499" s="320">
        <v>0</v>
      </c>
      <c r="U499" s="320">
        <v>0</v>
      </c>
      <c r="V499" s="325"/>
      <c r="W499" s="379"/>
    </row>
    <row r="500" spans="1:27" ht="15" customHeight="1">
      <c r="A500" s="1062"/>
      <c r="B500" s="1055"/>
      <c r="C500" s="1055"/>
      <c r="D500" s="1055"/>
      <c r="E500" s="1057"/>
      <c r="F500" s="1058"/>
      <c r="G500" s="1058"/>
      <c r="H500" s="1065"/>
      <c r="I500" s="1336"/>
      <c r="K500" s="282">
        <f ca="1">SUM('Monthly Prod'!B3:B18)</f>
        <v>0</v>
      </c>
      <c r="L500" s="282">
        <f ca="1">SUM('Monthly Prod'!C3:C18)</f>
        <v>0</v>
      </c>
      <c r="M500" s="282">
        <f ca="1">SUM('Monthly Prod'!D3:D18)</f>
        <v>0</v>
      </c>
      <c r="N500" s="282">
        <f ca="1">SUM('Monthly Prod'!E3:E18)</f>
        <v>0</v>
      </c>
      <c r="O500" s="282">
        <f ca="1">SUM('Monthly Prod'!F3:F18)</f>
        <v>0</v>
      </c>
      <c r="P500" s="282">
        <f ca="1">SUM('Monthly Prod'!H3:H18)</f>
        <v>0</v>
      </c>
      <c r="Q500" t="s">
        <v>142</v>
      </c>
      <c r="R500" s="327"/>
      <c r="S500" s="341">
        <v>4.8</v>
      </c>
      <c r="T500" s="342"/>
      <c r="U500" s="342"/>
      <c r="V500" s="343"/>
      <c r="W500" s="379"/>
      <c r="X500" s="370" t="s">
        <v>143</v>
      </c>
      <c r="Y500" s="371"/>
      <c r="Z500" s="371" t="s">
        <v>127</v>
      </c>
      <c r="AA500" s="372" t="s">
        <v>128</v>
      </c>
    </row>
    <row r="501" spans="1:27" ht="15" customHeight="1">
      <c r="A501" s="1062"/>
      <c r="B501" s="1055"/>
      <c r="C501" s="1055"/>
      <c r="D501" s="1055"/>
      <c r="E501" s="1057"/>
      <c r="F501" s="1058"/>
      <c r="G501" s="1058"/>
      <c r="H501" s="1065"/>
      <c r="I501" s="1336"/>
      <c r="R501" s="327"/>
      <c r="S501" s="318">
        <v>4</v>
      </c>
      <c r="T501" s="319">
        <f>U501</f>
        <v>0</v>
      </c>
      <c r="U501" s="319">
        <f>G499</f>
        <v>0</v>
      </c>
      <c r="V501" s="321" t="s">
        <v>119</v>
      </c>
      <c r="W501" s="379"/>
      <c r="X501" s="366"/>
      <c r="Y501" s="206" t="s">
        <v>145</v>
      </c>
      <c r="Z501" s="282">
        <f>400+10-69.71-140.17-34.22-65.36</f>
        <v>100.54000000000003</v>
      </c>
      <c r="AA501" s="373" t="s">
        <v>146</v>
      </c>
    </row>
    <row r="502" spans="1:27" ht="15" customHeight="1">
      <c r="A502" s="1062"/>
      <c r="B502" s="1055"/>
      <c r="C502" s="1055"/>
      <c r="D502" s="1055"/>
      <c r="E502" s="1057"/>
      <c r="F502" s="1058"/>
      <c r="G502" s="1058"/>
      <c r="H502" s="1065"/>
      <c r="I502" s="1336"/>
      <c r="R502" s="327"/>
      <c r="S502" s="328"/>
      <c r="T502" s="329"/>
      <c r="U502" s="329"/>
      <c r="V502" s="324"/>
      <c r="W502" s="286"/>
      <c r="X502" s="374"/>
      <c r="Y502" s="206" t="s">
        <v>148</v>
      </c>
      <c r="Z502" s="282">
        <v>30.79</v>
      </c>
      <c r="AA502" s="369"/>
    </row>
    <row r="503" spans="1:27" ht="15" customHeight="1">
      <c r="A503" s="1062"/>
      <c r="B503" s="1055"/>
      <c r="C503" s="1055"/>
      <c r="D503" s="1055"/>
      <c r="E503" s="1057"/>
      <c r="F503" s="1058"/>
      <c r="G503" s="1058"/>
      <c r="H503" s="1065"/>
      <c r="I503" s="1055"/>
      <c r="R503" s="327"/>
      <c r="S503" s="318">
        <v>3</v>
      </c>
      <c r="T503" s="319">
        <f>U503</f>
        <v>0</v>
      </c>
      <c r="U503" s="319">
        <f>G498</f>
        <v>0</v>
      </c>
      <c r="V503" s="321" t="s">
        <v>119</v>
      </c>
      <c r="W503" s="379"/>
      <c r="X503" s="374"/>
      <c r="Y503" s="206" t="s">
        <v>133</v>
      </c>
      <c r="Z503" s="282">
        <v>0</v>
      </c>
      <c r="AA503" s="369">
        <v>320</v>
      </c>
    </row>
    <row r="504" spans="1:27" ht="15" customHeight="1">
      <c r="A504" s="1337"/>
      <c r="B504" s="1337"/>
      <c r="C504" s="1337"/>
      <c r="D504" s="1337"/>
      <c r="E504" s="1337"/>
      <c r="F504" s="1337"/>
      <c r="G504" s="1067"/>
      <c r="H504" s="1067"/>
      <c r="I504" s="1068"/>
      <c r="R504" s="327"/>
      <c r="S504" s="328"/>
      <c r="T504" s="329"/>
      <c r="U504" s="329"/>
      <c r="V504" s="324"/>
      <c r="X504" s="366"/>
      <c r="Y504" s="206" t="s">
        <v>158</v>
      </c>
      <c r="Z504" s="282"/>
      <c r="AA504" s="368">
        <f>400.91-80.1-109.37</f>
        <v>211.44000000000005</v>
      </c>
    </row>
    <row r="505" spans="1:27" ht="15" customHeight="1">
      <c r="A505" s="1320"/>
      <c r="B505" s="1320"/>
      <c r="C505" s="1320"/>
      <c r="D505" s="1320"/>
      <c r="E505" s="1321"/>
      <c r="F505" s="1322"/>
      <c r="G505" s="1323"/>
      <c r="H505" s="1321"/>
      <c r="I505" s="1320"/>
      <c r="R505" s="327"/>
      <c r="S505" s="236">
        <v>5</v>
      </c>
      <c r="T505" s="320">
        <f>U505</f>
        <v>0</v>
      </c>
      <c r="U505" s="320">
        <f>G500</f>
        <v>0</v>
      </c>
      <c r="V505" s="325" t="s">
        <v>119</v>
      </c>
      <c r="X505" s="366"/>
      <c r="Y505" s="206" t="s">
        <v>150</v>
      </c>
      <c r="Z505" s="282"/>
      <c r="AA505" s="368">
        <f>1000-80.75</f>
        <v>919.25</v>
      </c>
    </row>
    <row r="506" spans="1:27" ht="15.75" customHeight="1">
      <c r="A506" s="1320"/>
      <c r="B506" s="1320"/>
      <c r="C506" s="1320"/>
      <c r="D506" s="1320"/>
      <c r="E506" s="1320"/>
      <c r="F506" s="1320"/>
      <c r="G506" s="1320"/>
      <c r="H506" s="1320"/>
      <c r="I506" s="1320"/>
      <c r="R506" s="327"/>
      <c r="S506" s="236">
        <v>4.8</v>
      </c>
      <c r="T506" s="320">
        <v>0</v>
      </c>
      <c r="U506" s="320">
        <v>0</v>
      </c>
      <c r="V506" s="325" t="s">
        <v>119</v>
      </c>
      <c r="X506" s="375"/>
      <c r="Y506" s="245" t="s">
        <v>158</v>
      </c>
      <c r="Z506" s="376"/>
      <c r="AA506" s="377">
        <v>500</v>
      </c>
    </row>
    <row r="507" spans="1:27" ht="15" customHeight="1">
      <c r="A507" s="1072"/>
      <c r="B507" s="1072"/>
      <c r="C507" s="1072"/>
      <c r="D507" s="1072"/>
      <c r="E507" s="1072"/>
      <c r="F507" s="1072"/>
      <c r="G507" s="1073"/>
      <c r="H507" s="1074"/>
      <c r="I507" s="1075"/>
      <c r="R507" s="339"/>
      <c r="S507" s="236" t="s">
        <v>121</v>
      </c>
      <c r="T507" s="320">
        <v>0</v>
      </c>
      <c r="U507" s="320">
        <v>0</v>
      </c>
      <c r="V507" s="325" t="s">
        <v>119</v>
      </c>
    </row>
    <row r="508" spans="1:27" ht="15" customHeight="1">
      <c r="A508" s="1056"/>
      <c r="B508" s="1055"/>
      <c r="C508" s="1056"/>
      <c r="D508" s="1325"/>
      <c r="E508" s="1325"/>
      <c r="F508" s="1325"/>
      <c r="G508" s="1058"/>
      <c r="H508" s="1059"/>
      <c r="I508" s="286"/>
      <c r="R508" s="339"/>
      <c r="S508" s="236">
        <v>5</v>
      </c>
      <c r="T508" s="320">
        <v>0</v>
      </c>
      <c r="U508" s="320">
        <v>0</v>
      </c>
      <c r="V508" s="325"/>
    </row>
    <row r="509" spans="1:27" ht="15" customHeight="1">
      <c r="A509" s="1326"/>
      <c r="B509" s="1326"/>
      <c r="C509" s="1326"/>
      <c r="D509" s="1326"/>
      <c r="E509" s="1326"/>
      <c r="F509" s="1326"/>
      <c r="G509" s="1326"/>
      <c r="H509" s="1059"/>
      <c r="I509" s="286"/>
      <c r="R509" s="350"/>
      <c r="S509" s="211"/>
      <c r="T509" s="351">
        <f>SUM(T488:T508)</f>
        <v>0</v>
      </c>
      <c r="U509" s="351">
        <f>SUM(U488:U508)</f>
        <v>0</v>
      </c>
      <c r="V509" s="352"/>
    </row>
    <row r="510" spans="1:27" ht="25.5" customHeight="1">
      <c r="A510" s="1076"/>
      <c r="B510" s="1076"/>
      <c r="C510" s="1075"/>
      <c r="D510" s="1069"/>
      <c r="E510" s="1070"/>
      <c r="F510" s="1071"/>
      <c r="G510" s="1067"/>
      <c r="H510" s="1059"/>
      <c r="I510" s="286"/>
      <c r="R510" s="350"/>
      <c r="S510" s="211"/>
      <c r="T510" s="211"/>
      <c r="U510" s="211"/>
      <c r="V510" s="352"/>
    </row>
    <row r="511" spans="1:27" ht="15" customHeight="1">
      <c r="A511" s="1067"/>
      <c r="B511" s="1067"/>
      <c r="C511" s="1073"/>
      <c r="D511" s="1073"/>
      <c r="E511" s="1077"/>
      <c r="F511" s="1073"/>
      <c r="G511" s="1073"/>
      <c r="H511" s="1078"/>
      <c r="I511" s="286"/>
      <c r="R511" s="350"/>
      <c r="S511" s="211"/>
      <c r="T511" s="211"/>
      <c r="U511" s="211"/>
      <c r="V511" s="352"/>
    </row>
    <row r="512" spans="1:27" ht="15" customHeight="1">
      <c r="D512" s="1327"/>
      <c r="E512" s="1327"/>
      <c r="R512" s="350"/>
      <c r="S512" s="211"/>
      <c r="T512" s="211"/>
      <c r="U512" s="211"/>
      <c r="V512" s="352"/>
    </row>
    <row r="513" spans="1:27" ht="15.75" customHeight="1">
      <c r="A513" s="1330"/>
      <c r="B513" s="1330"/>
      <c r="C513" s="1330"/>
      <c r="D513" s="1330"/>
      <c r="E513" s="1330"/>
      <c r="F513" s="1330"/>
      <c r="G513" s="1330"/>
      <c r="H513" s="1330"/>
      <c r="I513" s="1330"/>
    </row>
    <row r="514" spans="1:27" ht="15" customHeight="1">
      <c r="A514" s="1331"/>
      <c r="B514" s="1331"/>
      <c r="C514" s="1331"/>
      <c r="D514" s="1331"/>
      <c r="E514" s="1331"/>
      <c r="F514" s="1331"/>
      <c r="G514" s="1331"/>
      <c r="H514" s="1331"/>
      <c r="I514" s="1331"/>
    </row>
    <row r="515" spans="1:27" ht="15" customHeight="1">
      <c r="A515" s="1054"/>
      <c r="B515" s="1055"/>
      <c r="C515" s="1056"/>
      <c r="D515" s="1056"/>
      <c r="E515" s="1057"/>
      <c r="F515" s="1058"/>
      <c r="G515" s="1058"/>
      <c r="H515" s="1059"/>
      <c r="I515" s="286"/>
    </row>
    <row r="516" spans="1:27" ht="15" customHeight="1">
      <c r="A516" s="1332"/>
      <c r="B516" s="1332"/>
      <c r="C516" s="1332"/>
      <c r="D516" s="1333"/>
      <c r="E516" s="1332"/>
      <c r="F516" s="1332"/>
      <c r="G516" s="1332"/>
      <c r="H516" s="1333"/>
      <c r="I516" s="1332"/>
    </row>
    <row r="517" spans="1:27" ht="38.25" customHeight="1">
      <c r="A517" s="1332"/>
      <c r="B517" s="1332"/>
      <c r="C517" s="1332"/>
      <c r="D517" s="1332"/>
      <c r="E517" s="1061"/>
      <c r="F517" s="1061"/>
      <c r="G517" s="1061"/>
      <c r="H517" s="1333"/>
      <c r="I517" s="1333"/>
    </row>
    <row r="518" spans="1:27" ht="15.75" customHeight="1">
      <c r="A518" s="1062"/>
      <c r="B518" s="1055"/>
      <c r="C518" s="1060"/>
      <c r="D518" s="1063"/>
      <c r="E518" s="1063"/>
      <c r="F518" s="1064"/>
      <c r="G518" s="1058"/>
      <c r="H518" s="1065"/>
      <c r="I518" s="1332"/>
      <c r="K518" s="8" t="s">
        <v>14</v>
      </c>
      <c r="L518" s="16">
        <f>'Daily Stock'!Q310</f>
        <v>0</v>
      </c>
      <c r="R518" s="309" t="s">
        <v>184</v>
      </c>
      <c r="S518" s="310"/>
    </row>
    <row r="519" spans="1:27" ht="18.75" customHeight="1">
      <c r="A519" s="1062"/>
      <c r="B519" s="1055"/>
      <c r="C519" s="1060"/>
      <c r="D519" s="1055"/>
      <c r="E519" s="1063"/>
      <c r="F519" s="1064"/>
      <c r="G519" s="1058"/>
      <c r="H519" s="1065"/>
      <c r="I519" s="1332"/>
      <c r="K519" s="8" t="s">
        <v>112</v>
      </c>
      <c r="L519" s="16">
        <f>'Daily Stock'!Q311</f>
        <v>0</v>
      </c>
      <c r="R519" s="311" t="s">
        <v>100</v>
      </c>
      <c r="S519" s="312"/>
      <c r="T519" s="313" t="s">
        <v>9</v>
      </c>
      <c r="U519" s="313" t="s">
        <v>113</v>
      </c>
      <c r="V519" s="314" t="s">
        <v>114</v>
      </c>
    </row>
    <row r="520" spans="1:27" ht="15" customHeight="1">
      <c r="A520" s="1062"/>
      <c r="B520" s="1055"/>
      <c r="C520" s="1055"/>
      <c r="D520" s="1055"/>
      <c r="E520" s="1057"/>
      <c r="F520" s="1058"/>
      <c r="G520" s="1058"/>
      <c r="H520" s="1065"/>
      <c r="I520" s="1334"/>
      <c r="K520" s="22" t="s">
        <v>117</v>
      </c>
      <c r="L520" s="16">
        <f>'Daily Stock'!Q312</f>
        <v>0</v>
      </c>
      <c r="R520" s="317" t="s">
        <v>118</v>
      </c>
      <c r="S520" s="318">
        <v>6</v>
      </c>
      <c r="T520" s="319">
        <f>U520</f>
        <v>0</v>
      </c>
      <c r="U520" s="320">
        <f>H520</f>
        <v>0</v>
      </c>
      <c r="V520" s="321" t="s">
        <v>119</v>
      </c>
    </row>
    <row r="521" spans="1:27" ht="15" customHeight="1">
      <c r="A521" s="1062"/>
      <c r="B521" s="1055"/>
      <c r="C521" s="1055"/>
      <c r="D521" s="1055"/>
      <c r="E521" s="1057"/>
      <c r="F521" s="1058"/>
      <c r="G521" s="1058"/>
      <c r="H521" s="1065"/>
      <c r="I521" s="1334"/>
      <c r="K521" s="22" t="s">
        <v>17</v>
      </c>
      <c r="L521" s="16">
        <f>'Daily Stock'!Q313</f>
        <v>0</v>
      </c>
      <c r="R521" s="317"/>
      <c r="S521" s="322"/>
      <c r="T521" s="323"/>
      <c r="U521" s="320">
        <v>0</v>
      </c>
      <c r="V521" s="324"/>
    </row>
    <row r="522" spans="1:27" ht="15" customHeight="1">
      <c r="A522" s="1062"/>
      <c r="B522" s="1055"/>
      <c r="C522" s="1055"/>
      <c r="D522" s="1055"/>
      <c r="E522" s="1057"/>
      <c r="F522" s="1058"/>
      <c r="G522" s="1058"/>
      <c r="H522" s="1065"/>
      <c r="I522" s="1334"/>
      <c r="K522" s="22" t="s">
        <v>18</v>
      </c>
      <c r="L522" s="16">
        <f>'Daily Stock'!Q314</f>
        <v>0</v>
      </c>
      <c r="R522" s="317"/>
      <c r="S522" s="236" t="s">
        <v>121</v>
      </c>
      <c r="T522" s="320">
        <v>0</v>
      </c>
      <c r="U522" s="320">
        <v>0</v>
      </c>
      <c r="V522" s="325"/>
    </row>
    <row r="523" spans="1:27" ht="15" customHeight="1">
      <c r="A523" s="1062"/>
      <c r="B523" s="1055"/>
      <c r="C523" s="1055"/>
      <c r="D523" s="1055"/>
      <c r="E523" s="1057"/>
      <c r="F523" s="1058"/>
      <c r="G523" s="1058"/>
      <c r="H523" s="1065"/>
      <c r="I523" s="1335"/>
      <c r="K523" s="22" t="s">
        <v>19</v>
      </c>
      <c r="L523" s="16">
        <f>'Daily Stock'!Q315</f>
        <v>0</v>
      </c>
      <c r="R523" s="326" t="s">
        <v>123</v>
      </c>
      <c r="S523" s="318">
        <v>6</v>
      </c>
      <c r="T523" s="319">
        <f>U523</f>
        <v>0</v>
      </c>
      <c r="U523" s="319">
        <f>H524</f>
        <v>0</v>
      </c>
      <c r="V523" s="321" t="s">
        <v>119</v>
      </c>
    </row>
    <row r="524" spans="1:27" ht="15" customHeight="1">
      <c r="A524" s="1062"/>
      <c r="B524" s="1055"/>
      <c r="C524" s="1055"/>
      <c r="D524" s="1055"/>
      <c r="E524" s="1057"/>
      <c r="F524" s="1058"/>
      <c r="G524" s="1058"/>
      <c r="H524" s="1065"/>
      <c r="I524" s="1335"/>
      <c r="K524" s="22" t="s">
        <v>20</v>
      </c>
      <c r="L524" s="16">
        <f>'Daily Stock'!Q316</f>
        <v>0</v>
      </c>
      <c r="R524" s="327"/>
      <c r="S524" s="328"/>
      <c r="T524" s="329"/>
      <c r="U524" s="329"/>
      <c r="V524" s="324"/>
    </row>
    <row r="525" spans="1:27" ht="15.75" customHeight="1">
      <c r="A525" s="1062"/>
      <c r="B525" s="1055"/>
      <c r="C525" s="1055"/>
      <c r="D525" s="1055"/>
      <c r="E525" s="1057"/>
      <c r="F525" s="1058"/>
      <c r="G525" s="1058"/>
      <c r="H525" s="1065"/>
      <c r="I525" s="1335"/>
      <c r="K525" s="22" t="s">
        <v>124</v>
      </c>
      <c r="L525" s="16">
        <f>'Daily Stock'!Q317</f>
        <v>0</v>
      </c>
      <c r="R525" s="327"/>
      <c r="S525" s="318">
        <v>4</v>
      </c>
      <c r="T525" s="319">
        <f>U525</f>
        <v>0</v>
      </c>
      <c r="U525" s="319">
        <f>G526</f>
        <v>0</v>
      </c>
      <c r="V525" s="321" t="s">
        <v>119</v>
      </c>
      <c r="X525" s="1304" t="str">
        <f>R518</f>
        <v>As on 17.10.2026</v>
      </c>
      <c r="Y525" s="1304"/>
      <c r="Z525" s="1304"/>
      <c r="AA525" s="1304"/>
    </row>
    <row r="526" spans="1:27" ht="15" customHeight="1">
      <c r="A526" s="1062"/>
      <c r="B526" s="1055"/>
      <c r="C526" s="1055"/>
      <c r="D526" s="1055"/>
      <c r="E526" s="1057"/>
      <c r="F526" s="1058"/>
      <c r="G526" s="1058"/>
      <c r="H526" s="1065"/>
      <c r="I526" s="1335"/>
      <c r="K526" s="22" t="s">
        <v>22</v>
      </c>
      <c r="L526" s="16">
        <f>'Daily Stock'!Q318</f>
        <v>0</v>
      </c>
      <c r="R526" s="327"/>
      <c r="S526" s="328"/>
      <c r="T526" s="329"/>
      <c r="U526" s="329"/>
      <c r="V526" s="324"/>
      <c r="X526" s="363" t="s">
        <v>125</v>
      </c>
      <c r="Y526" s="364" t="s">
        <v>126</v>
      </c>
      <c r="Z526" s="364" t="s">
        <v>127</v>
      </c>
      <c r="AA526" s="365" t="s">
        <v>128</v>
      </c>
    </row>
    <row r="527" spans="1:27" ht="15" customHeight="1">
      <c r="A527" s="1062"/>
      <c r="B527" s="1055"/>
      <c r="C527" s="1055"/>
      <c r="D527" s="1055"/>
      <c r="E527" s="1057"/>
      <c r="F527" s="1058"/>
      <c r="G527" s="1058"/>
      <c r="H527" s="1065"/>
      <c r="I527" s="1335"/>
      <c r="K527" s="22" t="s">
        <v>23</v>
      </c>
      <c r="L527" s="16">
        <f>'Daily Stock'!Q319</f>
        <v>0</v>
      </c>
      <c r="R527" s="327"/>
      <c r="S527" s="318">
        <v>3</v>
      </c>
      <c r="T527" s="319">
        <f>U527</f>
        <v>0</v>
      </c>
      <c r="U527" s="319">
        <f>G523</f>
        <v>0</v>
      </c>
      <c r="V527" s="321" t="s">
        <v>119</v>
      </c>
      <c r="X527" s="366" t="s">
        <v>129</v>
      </c>
      <c r="Y527" s="367">
        <f>I520</f>
        <v>0</v>
      </c>
      <c r="Z527" s="367">
        <f>I523</f>
        <v>0</v>
      </c>
      <c r="AA527" s="368">
        <f>I530</f>
        <v>0</v>
      </c>
    </row>
    <row r="528" spans="1:27" ht="15.75" customHeight="1">
      <c r="A528" s="1062"/>
      <c r="B528" s="1055"/>
      <c r="C528" s="1055"/>
      <c r="D528" s="1055"/>
      <c r="E528" s="1057"/>
      <c r="F528" s="1058"/>
      <c r="G528" s="1058"/>
      <c r="H528" s="1065"/>
      <c r="I528" s="1066"/>
      <c r="K528" s="25" t="s">
        <v>24</v>
      </c>
      <c r="L528" s="16">
        <f>'Daily Stock'!Q320</f>
        <v>0</v>
      </c>
      <c r="R528" s="327"/>
      <c r="S528" s="328"/>
      <c r="T528" s="329"/>
      <c r="U528" s="329"/>
      <c r="V528" s="324"/>
      <c r="W528" s="286"/>
      <c r="X528" s="366" t="s">
        <v>132</v>
      </c>
      <c r="Y528" s="206"/>
      <c r="Z528" s="367">
        <f>G529+G528</f>
        <v>0</v>
      </c>
      <c r="AA528" s="368">
        <f>G534+G533</f>
        <v>0</v>
      </c>
    </row>
    <row r="529" spans="1:27" ht="15" customHeight="1">
      <c r="A529" s="1062"/>
      <c r="B529" s="1055"/>
      <c r="C529" s="1055"/>
      <c r="D529" s="1055"/>
      <c r="E529" s="1057"/>
      <c r="F529" s="1058"/>
      <c r="G529" s="1058"/>
      <c r="H529" s="1065"/>
      <c r="I529" s="1066"/>
      <c r="R529" s="327"/>
      <c r="S529" s="318">
        <v>5</v>
      </c>
      <c r="T529" s="319">
        <f>U529</f>
        <v>0</v>
      </c>
      <c r="U529" s="319">
        <f>G525</f>
        <v>0</v>
      </c>
      <c r="V529" s="321" t="s">
        <v>119</v>
      </c>
      <c r="W529" s="379"/>
      <c r="X529" s="366"/>
      <c r="Y529" s="206"/>
      <c r="Z529" s="206"/>
      <c r="AA529" s="368"/>
    </row>
    <row r="530" spans="1:27" ht="15" customHeight="1">
      <c r="A530" s="1062"/>
      <c r="B530" s="1055"/>
      <c r="C530" s="1055"/>
      <c r="D530" s="1055"/>
      <c r="E530" s="1057"/>
      <c r="F530" s="1058"/>
      <c r="G530" s="1058"/>
      <c r="H530" s="401"/>
      <c r="I530" s="1336"/>
      <c r="K530" s="338">
        <f>'Monthly Prod'!B19</f>
        <v>0</v>
      </c>
      <c r="L530" s="338">
        <f>'Monthly Prod'!C19</f>
        <v>0</v>
      </c>
      <c r="M530" s="338">
        <f>'Monthly Prod'!D19</f>
        <v>0</v>
      </c>
      <c r="N530" s="338">
        <f>'Monthly Prod'!E19</f>
        <v>0</v>
      </c>
      <c r="O530" s="338">
        <f>'Monthly Prod'!F19</f>
        <v>0</v>
      </c>
      <c r="P530" s="338">
        <f>'Monthly Prod'!H19</f>
        <v>0</v>
      </c>
      <c r="Q530" t="s">
        <v>134</v>
      </c>
      <c r="R530" s="339"/>
      <c r="S530" s="340" t="s">
        <v>121</v>
      </c>
      <c r="T530" s="319">
        <f>U530</f>
        <v>0</v>
      </c>
      <c r="U530" s="319">
        <f>G527</f>
        <v>0</v>
      </c>
      <c r="V530" s="321" t="s">
        <v>119</v>
      </c>
      <c r="W530" s="379"/>
      <c r="X530" s="380" t="s">
        <v>135</v>
      </c>
      <c r="Y530" s="381">
        <f>SUM(Y527:Y529)</f>
        <v>0</v>
      </c>
      <c r="Z530" s="381">
        <f>SUM(Z527:Z529)</f>
        <v>0</v>
      </c>
      <c r="AA530" s="381">
        <f>SUM(AA527:AA529)</f>
        <v>0</v>
      </c>
    </row>
    <row r="531" spans="1:27" ht="15" customHeight="1">
      <c r="A531" s="1062"/>
      <c r="B531" s="1055"/>
      <c r="C531" s="1055"/>
      <c r="D531" s="1055"/>
      <c r="E531" s="1057"/>
      <c r="F531" s="1058"/>
      <c r="G531" s="1058"/>
      <c r="H531" s="1065"/>
      <c r="I531" s="1336"/>
      <c r="K531" s="286" t="s">
        <v>136</v>
      </c>
      <c r="L531" s="286" t="s">
        <v>137</v>
      </c>
      <c r="M531" s="277" t="s">
        <v>4</v>
      </c>
      <c r="N531" s="277" t="s">
        <v>138</v>
      </c>
      <c r="O531" s="286" t="s">
        <v>139</v>
      </c>
      <c r="P531" s="286" t="s">
        <v>140</v>
      </c>
      <c r="R531" s="326" t="s">
        <v>141</v>
      </c>
      <c r="S531" s="236">
        <v>6</v>
      </c>
      <c r="T531" s="320">
        <v>0</v>
      </c>
      <c r="U531" s="320">
        <v>0</v>
      </c>
      <c r="V531" s="325"/>
      <c r="W531" s="379"/>
    </row>
    <row r="532" spans="1:27" ht="15" customHeight="1">
      <c r="A532" s="1062"/>
      <c r="B532" s="1055"/>
      <c r="C532" s="1055"/>
      <c r="D532" s="1055"/>
      <c r="E532" s="1057"/>
      <c r="F532" s="1058"/>
      <c r="G532" s="1058"/>
      <c r="H532" s="1065"/>
      <c r="I532" s="1336"/>
      <c r="K532" s="282">
        <f ca="1">SUM('Monthly Prod'!B3:B19)</f>
        <v>0</v>
      </c>
      <c r="L532" s="282">
        <f ca="1">SUM('Monthly Prod'!C3:C19)</f>
        <v>0</v>
      </c>
      <c r="M532" s="282">
        <f ca="1">SUM('Monthly Prod'!D3:D19)</f>
        <v>0</v>
      </c>
      <c r="N532" s="282">
        <f ca="1">SUM('Monthly Prod'!E3:E19)</f>
        <v>0</v>
      </c>
      <c r="O532" s="282">
        <f ca="1">SUM('Monthly Prod'!F3:F19)</f>
        <v>0</v>
      </c>
      <c r="P532" s="282">
        <f ca="1">SUM('Monthly Prod'!H3:H19)</f>
        <v>0</v>
      </c>
      <c r="Q532" t="s">
        <v>142</v>
      </c>
      <c r="R532" s="327"/>
      <c r="S532" s="341">
        <v>4.8</v>
      </c>
      <c r="T532" s="342"/>
      <c r="U532" s="342"/>
      <c r="V532" s="343"/>
      <c r="W532" s="379"/>
      <c r="X532" s="370" t="s">
        <v>143</v>
      </c>
      <c r="Y532" s="371"/>
      <c r="Z532" s="371" t="s">
        <v>127</v>
      </c>
      <c r="AA532" s="372" t="s">
        <v>128</v>
      </c>
    </row>
    <row r="533" spans="1:27" ht="15" customHeight="1">
      <c r="A533" s="1062"/>
      <c r="B533" s="1055"/>
      <c r="C533" s="1055"/>
      <c r="D533" s="1055"/>
      <c r="E533" s="1057"/>
      <c r="F533" s="1058"/>
      <c r="G533" s="1058"/>
      <c r="H533" s="1065"/>
      <c r="I533" s="1336"/>
      <c r="R533" s="327"/>
      <c r="S533" s="318">
        <v>4</v>
      </c>
      <c r="T533" s="319">
        <f>U533</f>
        <v>0</v>
      </c>
      <c r="U533" s="319">
        <f>G531</f>
        <v>0</v>
      </c>
      <c r="V533" s="321" t="s">
        <v>119</v>
      </c>
      <c r="W533" s="379"/>
      <c r="X533" s="366"/>
      <c r="Y533" s="206" t="s">
        <v>145</v>
      </c>
      <c r="Z533" s="282">
        <f>400+10-69.71-140.17-34.22-65.36-35.99</f>
        <v>64.55000000000004</v>
      </c>
      <c r="AA533" s="373" t="s">
        <v>146</v>
      </c>
    </row>
    <row r="534" spans="1:27" ht="15" customHeight="1">
      <c r="A534" s="1062"/>
      <c r="B534" s="1055"/>
      <c r="C534" s="1055"/>
      <c r="D534" s="1055"/>
      <c r="E534" s="1057"/>
      <c r="F534" s="1058"/>
      <c r="G534" s="1058"/>
      <c r="H534" s="1065"/>
      <c r="I534" s="1336"/>
      <c r="R534" s="327"/>
      <c r="S534" s="328"/>
      <c r="T534" s="329"/>
      <c r="U534" s="329"/>
      <c r="V534" s="324"/>
      <c r="W534" s="286"/>
      <c r="X534" s="374"/>
      <c r="Y534" s="206" t="s">
        <v>148</v>
      </c>
      <c r="Z534" s="282">
        <v>30.79</v>
      </c>
      <c r="AA534" s="369"/>
    </row>
    <row r="535" spans="1:27" ht="15" customHeight="1">
      <c r="A535" s="1062"/>
      <c r="B535" s="1055"/>
      <c r="C535" s="1055"/>
      <c r="D535" s="1055"/>
      <c r="E535" s="1057"/>
      <c r="F535" s="1058"/>
      <c r="G535" s="1058"/>
      <c r="H535" s="1065"/>
      <c r="I535" s="1055"/>
      <c r="R535" s="327"/>
      <c r="S535" s="318">
        <v>3</v>
      </c>
      <c r="T535" s="319">
        <f>U535</f>
        <v>0</v>
      </c>
      <c r="U535" s="319">
        <f>G530</f>
        <v>0</v>
      </c>
      <c r="V535" s="321" t="s">
        <v>119</v>
      </c>
      <c r="W535" s="379"/>
      <c r="X535" s="374"/>
      <c r="Y535" s="206" t="s">
        <v>133</v>
      </c>
      <c r="Z535" s="282">
        <v>0</v>
      </c>
      <c r="AA535" s="369">
        <v>320</v>
      </c>
    </row>
    <row r="536" spans="1:27" ht="15" customHeight="1">
      <c r="A536" s="1337"/>
      <c r="B536" s="1337"/>
      <c r="C536" s="1337"/>
      <c r="D536" s="1337"/>
      <c r="E536" s="1337"/>
      <c r="F536" s="1337"/>
      <c r="G536" s="1067"/>
      <c r="H536" s="1067"/>
      <c r="I536" s="1068"/>
      <c r="R536" s="327"/>
      <c r="S536" s="328"/>
      <c r="T536" s="329"/>
      <c r="U536" s="329"/>
      <c r="V536" s="324"/>
      <c r="X536" s="366"/>
      <c r="Y536" s="206" t="s">
        <v>158</v>
      </c>
      <c r="Z536" s="282"/>
      <c r="AA536" s="368">
        <f>400.91-80.1-109.37-159.53</f>
        <v>51.910000000000053</v>
      </c>
    </row>
    <row r="537" spans="1:27" ht="15" customHeight="1">
      <c r="A537" s="1320"/>
      <c r="B537" s="1320"/>
      <c r="C537" s="1320"/>
      <c r="D537" s="1320"/>
      <c r="E537" s="1321"/>
      <c r="F537" s="1322"/>
      <c r="G537" s="1323"/>
      <c r="H537" s="1321"/>
      <c r="I537" s="1320"/>
      <c r="R537" s="327"/>
      <c r="S537" s="236">
        <v>5</v>
      </c>
      <c r="T537" s="320">
        <f>U537</f>
        <v>0</v>
      </c>
      <c r="U537" s="320">
        <f>G532</f>
        <v>0</v>
      </c>
      <c r="V537" s="325" t="s">
        <v>119</v>
      </c>
      <c r="X537" s="366"/>
      <c r="Y537" s="206" t="s">
        <v>150</v>
      </c>
      <c r="Z537" s="282"/>
      <c r="AA537" s="368">
        <f>1000-80.75</f>
        <v>919.25</v>
      </c>
    </row>
    <row r="538" spans="1:27" ht="15.75" customHeight="1">
      <c r="A538" s="1320"/>
      <c r="B538" s="1320"/>
      <c r="C538" s="1320"/>
      <c r="D538" s="1320"/>
      <c r="E538" s="1320"/>
      <c r="F538" s="1320"/>
      <c r="G538" s="1320"/>
      <c r="H538" s="1320"/>
      <c r="I538" s="1320"/>
      <c r="R538" s="327"/>
      <c r="S538" s="236">
        <v>4.8</v>
      </c>
      <c r="T538" s="320">
        <v>0</v>
      </c>
      <c r="U538" s="320">
        <v>0</v>
      </c>
      <c r="V538" s="325" t="s">
        <v>119</v>
      </c>
      <c r="X538" s="375"/>
      <c r="Y538" s="245" t="s">
        <v>158</v>
      </c>
      <c r="Z538" s="376"/>
      <c r="AA538" s="377">
        <v>500</v>
      </c>
    </row>
    <row r="539" spans="1:27" ht="15" customHeight="1">
      <c r="A539" s="1072"/>
      <c r="B539" s="1072"/>
      <c r="C539" s="1072"/>
      <c r="D539" s="1072"/>
      <c r="E539" s="1072"/>
      <c r="F539" s="1072"/>
      <c r="G539" s="1073"/>
      <c r="H539" s="1074"/>
      <c r="I539" s="1075"/>
      <c r="R539" s="339"/>
      <c r="S539" s="236" t="s">
        <v>121</v>
      </c>
      <c r="T539" s="320">
        <v>0</v>
      </c>
      <c r="U539" s="320">
        <v>0</v>
      </c>
      <c r="V539" s="325" t="s">
        <v>119</v>
      </c>
    </row>
    <row r="540" spans="1:27" ht="15" customHeight="1">
      <c r="A540" s="1056"/>
      <c r="B540" s="1055"/>
      <c r="C540" s="1056"/>
      <c r="D540" s="1325"/>
      <c r="E540" s="1325"/>
      <c r="F540" s="1325"/>
      <c r="G540" s="1058"/>
      <c r="H540" s="1059"/>
      <c r="I540" s="286"/>
      <c r="R540" s="339"/>
      <c r="S540" s="236">
        <v>5</v>
      </c>
      <c r="T540" s="320">
        <v>0</v>
      </c>
      <c r="U540" s="320">
        <v>0</v>
      </c>
      <c r="V540" s="325"/>
    </row>
    <row r="541" spans="1:27" ht="15" customHeight="1">
      <c r="A541" s="1326"/>
      <c r="B541" s="1326"/>
      <c r="C541" s="1326"/>
      <c r="D541" s="1326"/>
      <c r="E541" s="1326"/>
      <c r="F541" s="1326"/>
      <c r="G541" s="1326"/>
      <c r="H541" s="1059"/>
      <c r="I541" s="286"/>
      <c r="R541" s="350"/>
      <c r="S541" s="211"/>
      <c r="T541" s="351">
        <f>SUM(T520:T540)</f>
        <v>0</v>
      </c>
      <c r="U541" s="351">
        <f>SUM(U520:U540)</f>
        <v>0</v>
      </c>
      <c r="V541" s="352"/>
    </row>
    <row r="542" spans="1:27" ht="25.5" customHeight="1">
      <c r="A542" s="1076"/>
      <c r="B542" s="1076"/>
      <c r="C542" s="1075"/>
      <c r="D542" s="1069"/>
      <c r="E542" s="1070"/>
      <c r="F542" s="1071"/>
      <c r="G542" s="1067"/>
      <c r="H542" s="1059"/>
      <c r="I542" s="286"/>
      <c r="R542" s="350"/>
      <c r="S542" s="211"/>
      <c r="T542" s="211"/>
      <c r="U542" s="211"/>
      <c r="V542" s="352"/>
    </row>
    <row r="543" spans="1:27" ht="15" customHeight="1">
      <c r="A543" s="1067"/>
      <c r="B543" s="1067"/>
      <c r="C543" s="1073"/>
      <c r="D543" s="1073"/>
      <c r="E543" s="1077"/>
      <c r="F543" s="1073"/>
      <c r="G543" s="1073"/>
      <c r="H543" s="1078"/>
      <c r="I543" s="286"/>
      <c r="R543" s="350"/>
      <c r="S543" s="211"/>
      <c r="T543" s="211"/>
      <c r="U543" s="211"/>
      <c r="V543" s="352"/>
    </row>
    <row r="544" spans="1:27" ht="15" customHeight="1">
      <c r="D544" s="1327"/>
      <c r="E544" s="1327"/>
      <c r="R544" s="350"/>
      <c r="S544" s="211"/>
      <c r="T544" s="211"/>
      <c r="U544" s="211"/>
      <c r="V544" s="352"/>
    </row>
    <row r="545" spans="1:27" ht="15.75" customHeight="1">
      <c r="A545" s="1330"/>
      <c r="B545" s="1330"/>
      <c r="C545" s="1330"/>
      <c r="D545" s="1330"/>
      <c r="E545" s="1330"/>
      <c r="F545" s="1330"/>
      <c r="G545" s="1330"/>
      <c r="H545" s="1330"/>
      <c r="I545" s="1330"/>
    </row>
    <row r="546" spans="1:27" ht="15" customHeight="1">
      <c r="A546" s="1331"/>
      <c r="B546" s="1331"/>
      <c r="C546" s="1331"/>
      <c r="D546" s="1331"/>
      <c r="E546" s="1331"/>
      <c r="F546" s="1331"/>
      <c r="G546" s="1331"/>
      <c r="H546" s="1331"/>
      <c r="I546" s="1331"/>
    </row>
    <row r="547" spans="1:27" ht="15" customHeight="1">
      <c r="A547" s="1054"/>
      <c r="B547" s="1055"/>
      <c r="C547" s="1056"/>
      <c r="D547" s="1056"/>
      <c r="E547" s="1057"/>
      <c r="F547" s="1058"/>
      <c r="G547" s="1058"/>
      <c r="H547" s="1059"/>
      <c r="I547" s="286"/>
    </row>
    <row r="548" spans="1:27" ht="15" customHeight="1">
      <c r="A548" s="1332"/>
      <c r="B548" s="1332"/>
      <c r="C548" s="1332"/>
      <c r="D548" s="1333"/>
      <c r="E548" s="1332"/>
      <c r="F548" s="1332"/>
      <c r="G548" s="1332"/>
      <c r="H548" s="1333"/>
      <c r="I548" s="1332"/>
    </row>
    <row r="549" spans="1:27" ht="38.25" customHeight="1">
      <c r="A549" s="1332"/>
      <c r="B549" s="1332"/>
      <c r="C549" s="1332"/>
      <c r="D549" s="1332"/>
      <c r="E549" s="1061"/>
      <c r="F549" s="1061"/>
      <c r="G549" s="1061"/>
      <c r="H549" s="1333"/>
      <c r="I549" s="1333"/>
    </row>
    <row r="550" spans="1:27" ht="15.75" customHeight="1">
      <c r="A550" s="1062"/>
      <c r="B550" s="1055"/>
      <c r="C550" s="1060"/>
      <c r="D550" s="1063"/>
      <c r="E550" s="1063"/>
      <c r="F550" s="1064"/>
      <c r="G550" s="1058"/>
      <c r="H550" s="1065"/>
      <c r="I550" s="1332"/>
      <c r="K550" s="8" t="s">
        <v>14</v>
      </c>
      <c r="L550" s="16">
        <f>'Daily Stock'!Q328</f>
        <v>0</v>
      </c>
      <c r="R550" s="309" t="s">
        <v>185</v>
      </c>
      <c r="S550" s="310"/>
    </row>
    <row r="551" spans="1:27" ht="18.75" customHeight="1">
      <c r="A551" s="1062"/>
      <c r="B551" s="1055"/>
      <c r="C551" s="1060"/>
      <c r="D551" s="1055"/>
      <c r="E551" s="1063"/>
      <c r="F551" s="1064"/>
      <c r="G551" s="1058"/>
      <c r="H551" s="1065"/>
      <c r="I551" s="1332"/>
      <c r="K551" s="8" t="s">
        <v>112</v>
      </c>
      <c r="L551" s="16">
        <f>'Daily Stock'!Q329</f>
        <v>0</v>
      </c>
      <c r="R551" s="311" t="s">
        <v>100</v>
      </c>
      <c r="S551" s="312"/>
      <c r="T551" s="313" t="s">
        <v>9</v>
      </c>
      <c r="U551" s="313" t="s">
        <v>113</v>
      </c>
      <c r="V551" s="314" t="s">
        <v>114</v>
      </c>
    </row>
    <row r="552" spans="1:27" ht="15" customHeight="1">
      <c r="A552" s="1062"/>
      <c r="B552" s="1055"/>
      <c r="C552" s="1055"/>
      <c r="D552" s="1055"/>
      <c r="E552" s="1057"/>
      <c r="F552" s="1058"/>
      <c r="G552" s="1058"/>
      <c r="H552" s="1065"/>
      <c r="I552" s="1334"/>
      <c r="K552" s="22" t="s">
        <v>117</v>
      </c>
      <c r="L552" s="16">
        <f>'Daily Stock'!Q330</f>
        <v>0</v>
      </c>
      <c r="R552" s="317" t="s">
        <v>118</v>
      </c>
      <c r="S552" s="318">
        <v>6</v>
      </c>
      <c r="T552" s="319">
        <f>U552</f>
        <v>0</v>
      </c>
      <c r="U552" s="320">
        <f>H552</f>
        <v>0</v>
      </c>
      <c r="V552" s="321" t="s">
        <v>119</v>
      </c>
    </row>
    <row r="553" spans="1:27" ht="15" customHeight="1">
      <c r="A553" s="1062"/>
      <c r="B553" s="1055"/>
      <c r="C553" s="1055"/>
      <c r="D553" s="1055"/>
      <c r="E553" s="1057"/>
      <c r="F553" s="1058"/>
      <c r="G553" s="1058"/>
      <c r="H553" s="1065"/>
      <c r="I553" s="1334"/>
      <c r="K553" s="22" t="s">
        <v>17</v>
      </c>
      <c r="L553" s="16">
        <f>'Daily Stock'!Q331</f>
        <v>0</v>
      </c>
      <c r="R553" s="317"/>
      <c r="S553" s="322"/>
      <c r="T553" s="323"/>
      <c r="U553" s="320">
        <v>0</v>
      </c>
      <c r="V553" s="324"/>
    </row>
    <row r="554" spans="1:27" ht="15" customHeight="1">
      <c r="A554" s="1062"/>
      <c r="B554" s="1055"/>
      <c r="C554" s="1055"/>
      <c r="D554" s="1055"/>
      <c r="E554" s="1057"/>
      <c r="F554" s="1058"/>
      <c r="G554" s="1058"/>
      <c r="H554" s="1065"/>
      <c r="I554" s="1334"/>
      <c r="K554" s="22" t="s">
        <v>18</v>
      </c>
      <c r="L554" s="16">
        <f>'Daily Stock'!Q332</f>
        <v>0</v>
      </c>
      <c r="R554" s="317"/>
      <c r="S554" s="236" t="s">
        <v>121</v>
      </c>
      <c r="T554" s="320">
        <v>0</v>
      </c>
      <c r="U554" s="320">
        <v>0</v>
      </c>
      <c r="V554" s="325"/>
    </row>
    <row r="555" spans="1:27" ht="15" customHeight="1">
      <c r="A555" s="1062"/>
      <c r="B555" s="1055"/>
      <c r="C555" s="1055"/>
      <c r="D555" s="1055"/>
      <c r="E555" s="1057"/>
      <c r="F555" s="1058"/>
      <c r="G555" s="1058"/>
      <c r="H555" s="1065"/>
      <c r="I555" s="1335"/>
      <c r="K555" s="22" t="s">
        <v>19</v>
      </c>
      <c r="L555" s="16">
        <f>'Daily Stock'!Q333</f>
        <v>0</v>
      </c>
      <c r="R555" s="326" t="s">
        <v>123</v>
      </c>
      <c r="S555" s="318">
        <v>6</v>
      </c>
      <c r="T555" s="319">
        <f>U555</f>
        <v>0</v>
      </c>
      <c r="U555" s="319">
        <f>H556</f>
        <v>0</v>
      </c>
      <c r="V555" s="321" t="s">
        <v>119</v>
      </c>
    </row>
    <row r="556" spans="1:27" ht="15" customHeight="1">
      <c r="A556" s="1062"/>
      <c r="B556" s="1055"/>
      <c r="C556" s="1055"/>
      <c r="D556" s="1055"/>
      <c r="E556" s="1057"/>
      <c r="F556" s="1058"/>
      <c r="G556" s="1058"/>
      <c r="H556" s="1065"/>
      <c r="I556" s="1335"/>
      <c r="K556" s="22" t="s">
        <v>20</v>
      </c>
      <c r="L556" s="16">
        <f>'Daily Stock'!Q334</f>
        <v>0</v>
      </c>
      <c r="R556" s="327"/>
      <c r="S556" s="328"/>
      <c r="T556" s="329"/>
      <c r="U556" s="329"/>
      <c r="V556" s="324"/>
    </row>
    <row r="557" spans="1:27" ht="15.75" customHeight="1">
      <c r="A557" s="1062"/>
      <c r="B557" s="1055"/>
      <c r="C557" s="1055"/>
      <c r="D557" s="1055"/>
      <c r="E557" s="1057"/>
      <c r="F557" s="1058"/>
      <c r="G557" s="1058"/>
      <c r="H557" s="1065"/>
      <c r="I557" s="1335"/>
      <c r="K557" s="22" t="s">
        <v>124</v>
      </c>
      <c r="L557" s="16">
        <f>'Daily Stock'!Q335</f>
        <v>0</v>
      </c>
      <c r="R557" s="327"/>
      <c r="S557" s="318">
        <v>4</v>
      </c>
      <c r="T557" s="319">
        <f>U557</f>
        <v>0</v>
      </c>
      <c r="U557" s="319">
        <f>G558</f>
        <v>0</v>
      </c>
      <c r="V557" s="321" t="s">
        <v>119</v>
      </c>
      <c r="X557" s="1304" t="str">
        <f>R550</f>
        <v>As on 18.10.2026</v>
      </c>
      <c r="Y557" s="1304"/>
      <c r="Z557" s="1304"/>
      <c r="AA557" s="1304"/>
    </row>
    <row r="558" spans="1:27" ht="15" customHeight="1">
      <c r="A558" s="1062"/>
      <c r="B558" s="1055"/>
      <c r="C558" s="1055"/>
      <c r="D558" s="1055"/>
      <c r="E558" s="1057"/>
      <c r="F558" s="1058"/>
      <c r="G558" s="1058"/>
      <c r="H558" s="1065"/>
      <c r="I558" s="1335"/>
      <c r="K558" s="22" t="s">
        <v>22</v>
      </c>
      <c r="L558" s="16">
        <f>'Daily Stock'!Q336</f>
        <v>0</v>
      </c>
      <c r="R558" s="327"/>
      <c r="S558" s="328"/>
      <c r="T558" s="329"/>
      <c r="U558" s="329"/>
      <c r="V558" s="324"/>
      <c r="X558" s="363" t="s">
        <v>125</v>
      </c>
      <c r="Y558" s="364" t="s">
        <v>126</v>
      </c>
      <c r="Z558" s="364" t="s">
        <v>127</v>
      </c>
      <c r="AA558" s="365" t="s">
        <v>128</v>
      </c>
    </row>
    <row r="559" spans="1:27" ht="15" customHeight="1">
      <c r="A559" s="1062"/>
      <c r="B559" s="1055"/>
      <c r="C559" s="1055"/>
      <c r="D559" s="1055"/>
      <c r="E559" s="1057"/>
      <c r="F559" s="1058"/>
      <c r="G559" s="1058"/>
      <c r="H559" s="1065"/>
      <c r="I559" s="1335"/>
      <c r="K559" s="22" t="s">
        <v>23</v>
      </c>
      <c r="L559" s="16">
        <f>'Daily Stock'!Q337</f>
        <v>0</v>
      </c>
      <c r="R559" s="327"/>
      <c r="S559" s="318">
        <v>3</v>
      </c>
      <c r="T559" s="319">
        <f>U559</f>
        <v>0</v>
      </c>
      <c r="U559" s="319">
        <f>G555</f>
        <v>0</v>
      </c>
      <c r="V559" s="321" t="s">
        <v>119</v>
      </c>
      <c r="X559" s="366" t="s">
        <v>129</v>
      </c>
      <c r="Y559" s="367">
        <f>I552</f>
        <v>0</v>
      </c>
      <c r="Z559" s="367">
        <f>I555</f>
        <v>0</v>
      </c>
      <c r="AA559" s="368">
        <f>I562</f>
        <v>0</v>
      </c>
    </row>
    <row r="560" spans="1:27" ht="15.75" customHeight="1">
      <c r="A560" s="1062"/>
      <c r="B560" s="1055"/>
      <c r="C560" s="1055"/>
      <c r="D560" s="1055"/>
      <c r="E560" s="1057"/>
      <c r="F560" s="1058"/>
      <c r="G560" s="1058"/>
      <c r="H560" s="1065"/>
      <c r="I560" s="1066"/>
      <c r="K560" s="25" t="s">
        <v>24</v>
      </c>
      <c r="L560" s="16">
        <f>'Daily Stock'!Q338</f>
        <v>0</v>
      </c>
      <c r="R560" s="327"/>
      <c r="S560" s="328"/>
      <c r="T560" s="329"/>
      <c r="U560" s="329"/>
      <c r="V560" s="324"/>
      <c r="W560" s="286"/>
      <c r="X560" s="366" t="s">
        <v>132</v>
      </c>
      <c r="Y560" s="206"/>
      <c r="Z560" s="367">
        <f>G561+G560</f>
        <v>0</v>
      </c>
      <c r="AA560" s="368">
        <f>G566+G565</f>
        <v>0</v>
      </c>
    </row>
    <row r="561" spans="1:27" ht="15" customHeight="1">
      <c r="A561" s="1062"/>
      <c r="B561" s="1055"/>
      <c r="C561" s="1055"/>
      <c r="D561" s="1055"/>
      <c r="E561" s="1057"/>
      <c r="F561" s="1058"/>
      <c r="G561" s="1058"/>
      <c r="H561" s="1065"/>
      <c r="I561" s="1066"/>
      <c r="R561" s="327"/>
      <c r="S561" s="318">
        <v>5</v>
      </c>
      <c r="T561" s="319">
        <f>U561</f>
        <v>0</v>
      </c>
      <c r="U561" s="319">
        <f>G557</f>
        <v>0</v>
      </c>
      <c r="V561" s="321" t="s">
        <v>119</v>
      </c>
      <c r="W561" s="379"/>
      <c r="X561" s="366"/>
      <c r="Y561" s="206"/>
      <c r="Z561" s="206"/>
      <c r="AA561" s="368"/>
    </row>
    <row r="562" spans="1:27" ht="15" customHeight="1">
      <c r="A562" s="1062"/>
      <c r="B562" s="1055"/>
      <c r="C562" s="1055"/>
      <c r="D562" s="1055"/>
      <c r="E562" s="1057"/>
      <c r="F562" s="1058"/>
      <c r="G562" s="1058"/>
      <c r="H562" s="401"/>
      <c r="I562" s="1336"/>
      <c r="K562" s="338">
        <f>'Monthly Prod'!B20</f>
        <v>0</v>
      </c>
      <c r="L562" s="338">
        <f>'Monthly Prod'!C20</f>
        <v>0</v>
      </c>
      <c r="M562" s="338">
        <f>'Monthly Prod'!D20</f>
        <v>0</v>
      </c>
      <c r="N562" s="338">
        <f>'Monthly Prod'!E20</f>
        <v>0</v>
      </c>
      <c r="O562" s="338">
        <f>'Monthly Prod'!F20</f>
        <v>0</v>
      </c>
      <c r="P562" s="338">
        <f>'Monthly Prod'!H20</f>
        <v>0</v>
      </c>
      <c r="Q562" t="s">
        <v>134</v>
      </c>
      <c r="R562" s="339"/>
      <c r="S562" s="340" t="s">
        <v>121</v>
      </c>
      <c r="T562" s="319">
        <f>U562</f>
        <v>0</v>
      </c>
      <c r="U562" s="319">
        <f>G559</f>
        <v>0</v>
      </c>
      <c r="V562" s="321" t="s">
        <v>119</v>
      </c>
      <c r="W562" s="379"/>
      <c r="X562" s="380" t="s">
        <v>135</v>
      </c>
      <c r="Y562" s="381">
        <f>SUM(Y559:Y561)</f>
        <v>0</v>
      </c>
      <c r="Z562" s="381">
        <f>SUM(Z559:Z561)</f>
        <v>0</v>
      </c>
      <c r="AA562" s="381">
        <f>SUM(AA559:AA561)</f>
        <v>0</v>
      </c>
    </row>
    <row r="563" spans="1:27" ht="15" customHeight="1">
      <c r="A563" s="1062"/>
      <c r="B563" s="1055"/>
      <c r="C563" s="1055"/>
      <c r="D563" s="1055"/>
      <c r="E563" s="1057"/>
      <c r="F563" s="1058"/>
      <c r="G563" s="1058"/>
      <c r="H563" s="1065"/>
      <c r="I563" s="1336"/>
      <c r="K563" s="286" t="s">
        <v>136</v>
      </c>
      <c r="L563" s="286" t="s">
        <v>137</v>
      </c>
      <c r="M563" s="277" t="s">
        <v>4</v>
      </c>
      <c r="N563" s="277" t="s">
        <v>138</v>
      </c>
      <c r="O563" s="286" t="s">
        <v>139</v>
      </c>
      <c r="P563" s="286" t="s">
        <v>140</v>
      </c>
      <c r="R563" s="326" t="s">
        <v>141</v>
      </c>
      <c r="S563" s="236">
        <v>6</v>
      </c>
      <c r="T563" s="320">
        <v>0</v>
      </c>
      <c r="U563" s="320">
        <v>0</v>
      </c>
      <c r="V563" s="325"/>
      <c r="W563" s="379"/>
    </row>
    <row r="564" spans="1:27" ht="15" customHeight="1">
      <c r="A564" s="1062"/>
      <c r="B564" s="1055"/>
      <c r="C564" s="1055"/>
      <c r="D564" s="1055"/>
      <c r="E564" s="1057"/>
      <c r="F564" s="1058"/>
      <c r="G564" s="1058"/>
      <c r="H564" s="1065"/>
      <c r="I564" s="1336"/>
      <c r="K564" s="282">
        <f ca="1">SUM('Monthly Prod'!B3:B20)</f>
        <v>0</v>
      </c>
      <c r="L564" s="282">
        <f ca="1">SUM('Monthly Prod'!C3:C20)</f>
        <v>0</v>
      </c>
      <c r="M564" s="282">
        <f ca="1">SUM('Monthly Prod'!D3:D20)</f>
        <v>0</v>
      </c>
      <c r="N564" s="282">
        <f ca="1">SUM('Monthly Prod'!E3:E20)</f>
        <v>0</v>
      </c>
      <c r="O564" s="282">
        <f ca="1">SUM('Monthly Prod'!F3:F20)</f>
        <v>0</v>
      </c>
      <c r="P564" s="282">
        <f ca="1">SUM('Monthly Prod'!H3:H20)</f>
        <v>0</v>
      </c>
      <c r="Q564" t="s">
        <v>142</v>
      </c>
      <c r="R564" s="327"/>
      <c r="S564" s="341">
        <v>4.8</v>
      </c>
      <c r="T564" s="342"/>
      <c r="U564" s="342"/>
      <c r="V564" s="343"/>
      <c r="W564" s="379"/>
      <c r="X564" s="370" t="s">
        <v>143</v>
      </c>
      <c r="Y564" s="371"/>
      <c r="Z564" s="371" t="s">
        <v>127</v>
      </c>
      <c r="AA564" s="372" t="s">
        <v>128</v>
      </c>
    </row>
    <row r="565" spans="1:27" ht="15" customHeight="1">
      <c r="A565" s="1062"/>
      <c r="B565" s="1055"/>
      <c r="C565" s="1055"/>
      <c r="D565" s="1055"/>
      <c r="E565" s="1057"/>
      <c r="F565" s="1058"/>
      <c r="G565" s="1058"/>
      <c r="H565" s="1065"/>
      <c r="I565" s="1336"/>
      <c r="R565" s="327"/>
      <c r="S565" s="318">
        <v>4</v>
      </c>
      <c r="T565" s="319">
        <f>U565</f>
        <v>0</v>
      </c>
      <c r="U565" s="319">
        <f>G563</f>
        <v>0</v>
      </c>
      <c r="V565" s="321" t="s">
        <v>119</v>
      </c>
      <c r="W565" s="379"/>
      <c r="X565" s="366"/>
      <c r="Y565" s="206" t="s">
        <v>145</v>
      </c>
      <c r="Z565" s="282">
        <f>400+10-69.71-140.17-34.22-65.36-35.99-34.37</f>
        <v>30.180000000000042</v>
      </c>
      <c r="AA565" s="373" t="s">
        <v>146</v>
      </c>
    </row>
    <row r="566" spans="1:27" ht="15" customHeight="1">
      <c r="A566" s="1062"/>
      <c r="B566" s="1055"/>
      <c r="C566" s="1055"/>
      <c r="D566" s="1055"/>
      <c r="E566" s="1057"/>
      <c r="F566" s="1058"/>
      <c r="G566" s="1058"/>
      <c r="H566" s="1065"/>
      <c r="I566" s="1336"/>
      <c r="R566" s="327"/>
      <c r="S566" s="328"/>
      <c r="T566" s="329"/>
      <c r="U566" s="329"/>
      <c r="V566" s="324"/>
      <c r="W566" s="286"/>
      <c r="X566" s="374"/>
      <c r="Y566" s="206" t="s">
        <v>148</v>
      </c>
      <c r="Z566" s="282">
        <v>30.79</v>
      </c>
      <c r="AA566" s="369"/>
    </row>
    <row r="567" spans="1:27" ht="15" customHeight="1">
      <c r="A567" s="1062"/>
      <c r="B567" s="1055"/>
      <c r="C567" s="1055"/>
      <c r="D567" s="1055"/>
      <c r="E567" s="1057"/>
      <c r="F567" s="1058"/>
      <c r="G567" s="1058"/>
      <c r="H567" s="1065"/>
      <c r="I567" s="1055"/>
      <c r="R567" s="327"/>
      <c r="S567" s="318">
        <v>3</v>
      </c>
      <c r="T567" s="319">
        <f>U567</f>
        <v>0</v>
      </c>
      <c r="U567" s="319">
        <f>G562</f>
        <v>0</v>
      </c>
      <c r="V567" s="321" t="s">
        <v>119</v>
      </c>
      <c r="W567" s="379"/>
      <c r="X567" s="374"/>
      <c r="Y567" s="206" t="s">
        <v>133</v>
      </c>
      <c r="Z567" s="282">
        <v>0</v>
      </c>
      <c r="AA567" s="369">
        <v>320</v>
      </c>
    </row>
    <row r="568" spans="1:27" ht="15" customHeight="1">
      <c r="A568" s="1337"/>
      <c r="B568" s="1337"/>
      <c r="C568" s="1337"/>
      <c r="D568" s="1337"/>
      <c r="E568" s="1337"/>
      <c r="F568" s="1337"/>
      <c r="G568" s="1067"/>
      <c r="H568" s="1067"/>
      <c r="I568" s="1068"/>
      <c r="R568" s="327"/>
      <c r="S568" s="328"/>
      <c r="T568" s="329"/>
      <c r="U568" s="329"/>
      <c r="V568" s="324"/>
      <c r="X568" s="366"/>
      <c r="Y568" s="206" t="s">
        <v>158</v>
      </c>
      <c r="Z568" s="282"/>
      <c r="AA568" s="368">
        <f>400.91-80.1-109.37-159.53</f>
        <v>51.910000000000053</v>
      </c>
    </row>
    <row r="569" spans="1:27" ht="15" customHeight="1">
      <c r="A569" s="1320"/>
      <c r="B569" s="1320"/>
      <c r="C569" s="1320"/>
      <c r="D569" s="1320"/>
      <c r="E569" s="1321"/>
      <c r="F569" s="1322"/>
      <c r="G569" s="1323"/>
      <c r="H569" s="1321"/>
      <c r="I569" s="1320"/>
      <c r="R569" s="327"/>
      <c r="S569" s="236">
        <v>5</v>
      </c>
      <c r="T569" s="320">
        <f>U569</f>
        <v>0</v>
      </c>
      <c r="U569" s="320">
        <f>G564</f>
        <v>0</v>
      </c>
      <c r="V569" s="325" t="s">
        <v>119</v>
      </c>
      <c r="X569" s="366"/>
      <c r="Y569" s="206" t="s">
        <v>150</v>
      </c>
      <c r="Z569" s="282"/>
      <c r="AA569" s="368">
        <f>1000-80.75-140.64</f>
        <v>778.61</v>
      </c>
    </row>
    <row r="570" spans="1:27" ht="15.75" customHeight="1">
      <c r="A570" s="1320"/>
      <c r="B570" s="1320"/>
      <c r="C570" s="1320"/>
      <c r="D570" s="1320"/>
      <c r="E570" s="1320"/>
      <c r="F570" s="1320"/>
      <c r="G570" s="1320"/>
      <c r="H570" s="1320"/>
      <c r="I570" s="1320"/>
      <c r="R570" s="327"/>
      <c r="S570" s="236">
        <v>4.8</v>
      </c>
      <c r="T570" s="320">
        <v>0</v>
      </c>
      <c r="U570" s="320">
        <v>0</v>
      </c>
      <c r="V570" s="325" t="s">
        <v>119</v>
      </c>
      <c r="X570" s="375"/>
      <c r="Y570" s="245" t="s">
        <v>158</v>
      </c>
      <c r="Z570" s="376"/>
      <c r="AA570" s="377">
        <v>500</v>
      </c>
    </row>
    <row r="571" spans="1:27" ht="15" customHeight="1">
      <c r="A571" s="1072"/>
      <c r="B571" s="1072"/>
      <c r="C571" s="1072"/>
      <c r="D571" s="1072"/>
      <c r="E571" s="1072"/>
      <c r="F571" s="1072"/>
      <c r="G571" s="1073"/>
      <c r="H571" s="1074"/>
      <c r="I571" s="1075"/>
      <c r="R571" s="339"/>
      <c r="S571" s="236" t="s">
        <v>121</v>
      </c>
      <c r="T571" s="320">
        <v>0</v>
      </c>
      <c r="U571" s="320">
        <v>0</v>
      </c>
      <c r="V571" s="325" t="s">
        <v>119</v>
      </c>
    </row>
    <row r="572" spans="1:27" ht="15" customHeight="1">
      <c r="A572" s="1056"/>
      <c r="B572" s="1055"/>
      <c r="C572" s="1056"/>
      <c r="D572" s="1325"/>
      <c r="E572" s="1325"/>
      <c r="F572" s="1325"/>
      <c r="G572" s="1058"/>
      <c r="H572" s="1059"/>
      <c r="I572" s="286"/>
      <c r="R572" s="339"/>
      <c r="S572" s="236">
        <v>5</v>
      </c>
      <c r="T572" s="320">
        <v>0</v>
      </c>
      <c r="U572" s="320">
        <v>0</v>
      </c>
      <c r="V572" s="325"/>
    </row>
    <row r="573" spans="1:27" ht="15" customHeight="1">
      <c r="A573" s="1326"/>
      <c r="B573" s="1326"/>
      <c r="C573" s="1326"/>
      <c r="D573" s="1326"/>
      <c r="E573" s="1326"/>
      <c r="F573" s="1326"/>
      <c r="G573" s="1326"/>
      <c r="H573" s="1059"/>
      <c r="I573" s="286"/>
      <c r="R573" s="350"/>
      <c r="S573" s="211"/>
      <c r="T573" s="351">
        <f>SUM(T552:T572)</f>
        <v>0</v>
      </c>
      <c r="U573" s="351">
        <f>SUM(U552:U572)</f>
        <v>0</v>
      </c>
      <c r="V573" s="352"/>
    </row>
    <row r="574" spans="1:27" ht="25.5" customHeight="1">
      <c r="A574" s="1076"/>
      <c r="B574" s="1076"/>
      <c r="C574" s="1075"/>
      <c r="D574" s="1069"/>
      <c r="E574" s="1070"/>
      <c r="F574" s="1071"/>
      <c r="G574" s="1067"/>
      <c r="H574" s="1059"/>
      <c r="I574" s="286"/>
      <c r="R574" s="350"/>
      <c r="S574" s="211"/>
      <c r="T574" s="211"/>
      <c r="U574" s="211"/>
      <c r="V574" s="352"/>
    </row>
    <row r="575" spans="1:27" ht="15" customHeight="1">
      <c r="A575" s="1067"/>
      <c r="B575" s="1067"/>
      <c r="C575" s="1073"/>
      <c r="D575" s="1073"/>
      <c r="E575" s="1077"/>
      <c r="F575" s="1073"/>
      <c r="G575" s="1073"/>
      <c r="H575" s="1078"/>
      <c r="I575" s="286"/>
      <c r="R575" s="350"/>
      <c r="S575" s="211"/>
      <c r="T575" s="211"/>
      <c r="U575" s="211"/>
      <c r="V575" s="352"/>
    </row>
    <row r="576" spans="1:27" ht="15" customHeight="1">
      <c r="D576" s="1327"/>
      <c r="E576" s="1327"/>
      <c r="R576" s="350"/>
      <c r="S576" s="211"/>
      <c r="T576" s="211"/>
      <c r="U576" s="211"/>
      <c r="V576" s="352"/>
    </row>
    <row r="577" spans="1:27" ht="15.75" customHeight="1">
      <c r="A577" s="1330"/>
      <c r="B577" s="1330"/>
      <c r="C577" s="1330"/>
      <c r="D577" s="1330"/>
      <c r="E577" s="1330"/>
      <c r="F577" s="1330"/>
      <c r="G577" s="1330"/>
      <c r="H577" s="1330"/>
      <c r="I577" s="1330"/>
    </row>
    <row r="578" spans="1:27" ht="15" customHeight="1">
      <c r="A578" s="1331"/>
      <c r="B578" s="1331"/>
      <c r="C578" s="1331"/>
      <c r="D578" s="1331"/>
      <c r="E578" s="1331"/>
      <c r="F578" s="1331"/>
      <c r="G578" s="1331"/>
      <c r="H578" s="1331"/>
      <c r="I578" s="1331"/>
    </row>
    <row r="579" spans="1:27" ht="15" customHeight="1">
      <c r="A579" s="1054"/>
      <c r="B579" s="1055"/>
      <c r="C579" s="1056"/>
      <c r="D579" s="1056"/>
      <c r="E579" s="1057"/>
      <c r="F579" s="1058"/>
      <c r="G579" s="1058"/>
      <c r="H579" s="1059"/>
      <c r="I579" s="286"/>
    </row>
    <row r="580" spans="1:27" ht="15" customHeight="1">
      <c r="A580" s="1332"/>
      <c r="B580" s="1332"/>
      <c r="C580" s="1332"/>
      <c r="D580" s="1333"/>
      <c r="E580" s="1332"/>
      <c r="F580" s="1332"/>
      <c r="G580" s="1332"/>
      <c r="H580" s="1333"/>
      <c r="I580" s="1332"/>
    </row>
    <row r="581" spans="1:27" ht="38.25" customHeight="1">
      <c r="A581" s="1332"/>
      <c r="B581" s="1332"/>
      <c r="C581" s="1332"/>
      <c r="D581" s="1332"/>
      <c r="E581" s="1061"/>
      <c r="F581" s="1061"/>
      <c r="G581" s="1061"/>
      <c r="H581" s="1333"/>
      <c r="I581" s="1333"/>
    </row>
    <row r="582" spans="1:27" ht="15.75" customHeight="1">
      <c r="A582" s="1062"/>
      <c r="B582" s="1055"/>
      <c r="C582" s="1060"/>
      <c r="D582" s="1063"/>
      <c r="E582" s="1063"/>
      <c r="F582" s="1064"/>
      <c r="G582" s="1058"/>
      <c r="H582" s="1065"/>
      <c r="I582" s="1332"/>
      <c r="K582" s="8" t="s">
        <v>14</v>
      </c>
      <c r="L582" s="16">
        <f>'Daily Stock'!Q346</f>
        <v>0</v>
      </c>
      <c r="R582" s="309" t="s">
        <v>186</v>
      </c>
      <c r="S582" s="310"/>
    </row>
    <row r="583" spans="1:27" ht="18.75" customHeight="1">
      <c r="A583" s="1062"/>
      <c r="B583" s="1055"/>
      <c r="C583" s="1060"/>
      <c r="D583" s="1055"/>
      <c r="E583" s="1063"/>
      <c r="F583" s="1064"/>
      <c r="G583" s="1058"/>
      <c r="H583" s="1065"/>
      <c r="I583" s="1332"/>
      <c r="K583" s="8" t="s">
        <v>112</v>
      </c>
      <c r="L583" s="16">
        <f>'Daily Stock'!Q347</f>
        <v>0</v>
      </c>
      <c r="R583" s="311" t="s">
        <v>100</v>
      </c>
      <c r="S583" s="312"/>
      <c r="T583" s="313" t="s">
        <v>9</v>
      </c>
      <c r="U583" s="313" t="s">
        <v>113</v>
      </c>
      <c r="V583" s="314" t="s">
        <v>114</v>
      </c>
    </row>
    <row r="584" spans="1:27" ht="15" customHeight="1">
      <c r="A584" s="1062"/>
      <c r="B584" s="1055"/>
      <c r="C584" s="1055"/>
      <c r="D584" s="1055"/>
      <c r="E584" s="1057"/>
      <c r="F584" s="1058"/>
      <c r="G584" s="1058"/>
      <c r="H584" s="1065"/>
      <c r="I584" s="1334"/>
      <c r="K584" s="22" t="s">
        <v>117</v>
      </c>
      <c r="L584" s="16">
        <f>'Daily Stock'!Q348</f>
        <v>0</v>
      </c>
      <c r="R584" s="317" t="s">
        <v>118</v>
      </c>
      <c r="S584" s="318">
        <v>6</v>
      </c>
      <c r="T584" s="319">
        <f>U584</f>
        <v>0</v>
      </c>
      <c r="U584" s="320">
        <f>H584</f>
        <v>0</v>
      </c>
      <c r="V584" s="321" t="s">
        <v>119</v>
      </c>
    </row>
    <row r="585" spans="1:27" ht="15" customHeight="1">
      <c r="A585" s="1062"/>
      <c r="B585" s="1055"/>
      <c r="C585" s="1055"/>
      <c r="D585" s="1055"/>
      <c r="E585" s="1057"/>
      <c r="F585" s="1058"/>
      <c r="G585" s="1058"/>
      <c r="H585" s="1065"/>
      <c r="I585" s="1334"/>
      <c r="K585" s="22" t="s">
        <v>17</v>
      </c>
      <c r="L585" s="16">
        <f>'Daily Stock'!Q349</f>
        <v>0</v>
      </c>
      <c r="R585" s="317"/>
      <c r="S585" s="322"/>
      <c r="T585" s="323"/>
      <c r="U585" s="320">
        <v>0</v>
      </c>
      <c r="V585" s="324"/>
    </row>
    <row r="586" spans="1:27" ht="15" customHeight="1">
      <c r="A586" s="1062"/>
      <c r="B586" s="1055"/>
      <c r="C586" s="1055"/>
      <c r="D586" s="1055"/>
      <c r="E586" s="1057"/>
      <c r="F586" s="1058"/>
      <c r="G586" s="1058"/>
      <c r="H586" s="1065"/>
      <c r="I586" s="1334"/>
      <c r="K586" s="22" t="s">
        <v>18</v>
      </c>
      <c r="L586" s="16">
        <f>'Daily Stock'!Q350</f>
        <v>0</v>
      </c>
      <c r="R586" s="317"/>
      <c r="S586" s="236" t="s">
        <v>121</v>
      </c>
      <c r="T586" s="320">
        <v>0</v>
      </c>
      <c r="U586" s="320">
        <v>0</v>
      </c>
      <c r="V586" s="325"/>
    </row>
    <row r="587" spans="1:27" ht="15" customHeight="1">
      <c r="A587" s="1062"/>
      <c r="B587" s="1055"/>
      <c r="C587" s="1055"/>
      <c r="D587" s="1055"/>
      <c r="E587" s="1057"/>
      <c r="F587" s="1058"/>
      <c r="G587" s="1058"/>
      <c r="H587" s="1065"/>
      <c r="I587" s="1335"/>
      <c r="K587" s="22" t="s">
        <v>19</v>
      </c>
      <c r="L587" s="16">
        <f>'Daily Stock'!Q351</f>
        <v>0</v>
      </c>
      <c r="R587" s="326" t="s">
        <v>123</v>
      </c>
      <c r="S587" s="318">
        <v>6</v>
      </c>
      <c r="T587" s="319">
        <f>U587</f>
        <v>0</v>
      </c>
      <c r="U587" s="319">
        <f>H588</f>
        <v>0</v>
      </c>
      <c r="V587" s="321" t="s">
        <v>119</v>
      </c>
    </row>
    <row r="588" spans="1:27" ht="15" customHeight="1">
      <c r="A588" s="1062"/>
      <c r="B588" s="1055"/>
      <c r="C588" s="1055"/>
      <c r="D588" s="1055"/>
      <c r="E588" s="1057"/>
      <c r="F588" s="1058"/>
      <c r="G588" s="1058"/>
      <c r="H588" s="1065"/>
      <c r="I588" s="1335"/>
      <c r="K588" s="22" t="s">
        <v>20</v>
      </c>
      <c r="L588" s="16">
        <f>'Daily Stock'!Q352</f>
        <v>0</v>
      </c>
      <c r="R588" s="327"/>
      <c r="S588" s="328"/>
      <c r="T588" s="329"/>
      <c r="U588" s="329"/>
      <c r="V588" s="324"/>
    </row>
    <row r="589" spans="1:27" ht="15.75" customHeight="1">
      <c r="A589" s="1062"/>
      <c r="B589" s="1055"/>
      <c r="C589" s="1055"/>
      <c r="D589" s="1055"/>
      <c r="E589" s="1057"/>
      <c r="F589" s="1058"/>
      <c r="G589" s="1058"/>
      <c r="H589" s="1065"/>
      <c r="I589" s="1335"/>
      <c r="K589" s="22" t="s">
        <v>124</v>
      </c>
      <c r="L589" s="16">
        <f>'Daily Stock'!Q353</f>
        <v>0</v>
      </c>
      <c r="R589" s="327"/>
      <c r="S589" s="318">
        <v>4</v>
      </c>
      <c r="T589" s="319">
        <f>U589</f>
        <v>0</v>
      </c>
      <c r="U589" s="319">
        <f>G590</f>
        <v>0</v>
      </c>
      <c r="V589" s="321" t="s">
        <v>119</v>
      </c>
      <c r="X589" s="1304" t="str">
        <f>R582</f>
        <v>As on 19.10.2026</v>
      </c>
      <c r="Y589" s="1304"/>
      <c r="Z589" s="1304"/>
      <c r="AA589" s="1304"/>
    </row>
    <row r="590" spans="1:27" ht="15" customHeight="1">
      <c r="A590" s="1062"/>
      <c r="B590" s="1055"/>
      <c r="C590" s="1055"/>
      <c r="D590" s="1055"/>
      <c r="E590" s="1057"/>
      <c r="F590" s="1058"/>
      <c r="G590" s="1058"/>
      <c r="H590" s="1065"/>
      <c r="I590" s="1335"/>
      <c r="K590" s="22" t="s">
        <v>22</v>
      </c>
      <c r="L590" s="16">
        <f>'Daily Stock'!Q354</f>
        <v>0</v>
      </c>
      <c r="R590" s="327"/>
      <c r="S590" s="328"/>
      <c r="T590" s="329"/>
      <c r="U590" s="329"/>
      <c r="V590" s="324"/>
      <c r="X590" s="363" t="s">
        <v>125</v>
      </c>
      <c r="Y590" s="364" t="s">
        <v>126</v>
      </c>
      <c r="Z590" s="364" t="s">
        <v>127</v>
      </c>
      <c r="AA590" s="365" t="s">
        <v>128</v>
      </c>
    </row>
    <row r="591" spans="1:27" ht="15" customHeight="1">
      <c r="A591" s="1062"/>
      <c r="B591" s="1055"/>
      <c r="C591" s="1055"/>
      <c r="D591" s="1055"/>
      <c r="E591" s="1057"/>
      <c r="F591" s="1058"/>
      <c r="G591" s="1058"/>
      <c r="H591" s="1065"/>
      <c r="I591" s="1335"/>
      <c r="K591" s="22" t="s">
        <v>23</v>
      </c>
      <c r="L591" s="16">
        <f>'Daily Stock'!Q355</f>
        <v>0</v>
      </c>
      <c r="R591" s="327"/>
      <c r="S591" s="318">
        <v>3</v>
      </c>
      <c r="T591" s="319">
        <f>U591</f>
        <v>0</v>
      </c>
      <c r="U591" s="319">
        <f>G587</f>
        <v>0</v>
      </c>
      <c r="V591" s="321" t="s">
        <v>119</v>
      </c>
      <c r="X591" s="366" t="s">
        <v>129</v>
      </c>
      <c r="Y591" s="367">
        <f>I584</f>
        <v>0</v>
      </c>
      <c r="Z591" s="367">
        <f>I587</f>
        <v>0</v>
      </c>
      <c r="AA591" s="368">
        <f>I594</f>
        <v>0</v>
      </c>
    </row>
    <row r="592" spans="1:27" ht="15.75" customHeight="1">
      <c r="A592" s="1062"/>
      <c r="B592" s="1055"/>
      <c r="C592" s="1055"/>
      <c r="D592" s="1055"/>
      <c r="E592" s="1057"/>
      <c r="F592" s="1058"/>
      <c r="G592" s="1058"/>
      <c r="H592" s="1065"/>
      <c r="I592" s="1066"/>
      <c r="K592" s="25" t="s">
        <v>24</v>
      </c>
      <c r="L592" s="16">
        <f>'Daily Stock'!Q356</f>
        <v>0</v>
      </c>
      <c r="R592" s="327"/>
      <c r="S592" s="328"/>
      <c r="T592" s="329"/>
      <c r="U592" s="329"/>
      <c r="V592" s="324"/>
      <c r="W592" s="286"/>
      <c r="X592" s="366" t="s">
        <v>132</v>
      </c>
      <c r="Y592" s="206"/>
      <c r="Z592" s="367">
        <f>G593+G592</f>
        <v>0</v>
      </c>
      <c r="AA592" s="368">
        <f>G598+G597</f>
        <v>0</v>
      </c>
    </row>
    <row r="593" spans="1:27" ht="15" customHeight="1">
      <c r="A593" s="1062"/>
      <c r="B593" s="1055"/>
      <c r="C593" s="1055"/>
      <c r="D593" s="1055"/>
      <c r="E593" s="1057"/>
      <c r="F593" s="1058"/>
      <c r="G593" s="1058"/>
      <c r="H593" s="1065"/>
      <c r="I593" s="1066"/>
      <c r="R593" s="327"/>
      <c r="S593" s="318">
        <v>5</v>
      </c>
      <c r="T593" s="319">
        <f>U593</f>
        <v>0</v>
      </c>
      <c r="U593" s="319">
        <f>G589</f>
        <v>0</v>
      </c>
      <c r="V593" s="321" t="s">
        <v>119</v>
      </c>
      <c r="W593" s="379"/>
      <c r="X593" s="366"/>
      <c r="Y593" s="206"/>
      <c r="Z593" s="206"/>
      <c r="AA593" s="368"/>
    </row>
    <row r="594" spans="1:27" ht="15" customHeight="1">
      <c r="A594" s="1062"/>
      <c r="B594" s="1055"/>
      <c r="C594" s="1055"/>
      <c r="D594" s="1055"/>
      <c r="E594" s="1057"/>
      <c r="F594" s="1058"/>
      <c r="G594" s="1058"/>
      <c r="H594" s="401"/>
      <c r="I594" s="1336"/>
      <c r="K594" s="338">
        <f>'Monthly Prod'!B21</f>
        <v>0</v>
      </c>
      <c r="L594" s="338">
        <f>'Monthly Prod'!C21</f>
        <v>0</v>
      </c>
      <c r="M594" s="338">
        <f>'Monthly Prod'!D21</f>
        <v>0</v>
      </c>
      <c r="N594" s="338">
        <f>'Monthly Prod'!E21</f>
        <v>0</v>
      </c>
      <c r="O594" s="338">
        <f>'Monthly Prod'!F21</f>
        <v>0</v>
      </c>
      <c r="P594" s="338">
        <f>'Monthly Prod'!H21</f>
        <v>0</v>
      </c>
      <c r="Q594" t="s">
        <v>134</v>
      </c>
      <c r="R594" s="339"/>
      <c r="S594" s="340" t="s">
        <v>121</v>
      </c>
      <c r="T594" s="319">
        <f>U594</f>
        <v>0</v>
      </c>
      <c r="U594" s="319">
        <f>G591</f>
        <v>0</v>
      </c>
      <c r="V594" s="321" t="s">
        <v>119</v>
      </c>
      <c r="W594" s="379"/>
      <c r="X594" s="380" t="s">
        <v>135</v>
      </c>
      <c r="Y594" s="381">
        <f>SUM(Y591:Y593)</f>
        <v>0</v>
      </c>
      <c r="Z594" s="381">
        <f>SUM(Z591:Z593)</f>
        <v>0</v>
      </c>
      <c r="AA594" s="381">
        <f>SUM(AA591:AA593)</f>
        <v>0</v>
      </c>
    </row>
    <row r="595" spans="1:27" ht="15" customHeight="1">
      <c r="A595" s="1062"/>
      <c r="B595" s="1055"/>
      <c r="C595" s="1055"/>
      <c r="D595" s="1055"/>
      <c r="E595" s="1057"/>
      <c r="F595" s="1058"/>
      <c r="G595" s="1058"/>
      <c r="H595" s="1065"/>
      <c r="I595" s="1336"/>
      <c r="K595" s="286" t="s">
        <v>136</v>
      </c>
      <c r="L595" s="286" t="s">
        <v>137</v>
      </c>
      <c r="M595" s="277" t="s">
        <v>4</v>
      </c>
      <c r="N595" s="277" t="s">
        <v>138</v>
      </c>
      <c r="O595" s="286" t="s">
        <v>139</v>
      </c>
      <c r="P595" s="286" t="s">
        <v>140</v>
      </c>
      <c r="R595" s="326" t="s">
        <v>141</v>
      </c>
      <c r="S595" s="236">
        <v>6</v>
      </c>
      <c r="T595" s="320">
        <v>0</v>
      </c>
      <c r="U595" s="320">
        <v>0</v>
      </c>
      <c r="V595" s="325"/>
      <c r="W595" s="379"/>
    </row>
    <row r="596" spans="1:27" ht="15" customHeight="1">
      <c r="A596" s="1062"/>
      <c r="B596" s="1055"/>
      <c r="C596" s="1055"/>
      <c r="D596" s="1055"/>
      <c r="E596" s="1057"/>
      <c r="F596" s="1058"/>
      <c r="G596" s="1058"/>
      <c r="H596" s="1065"/>
      <c r="I596" s="1336"/>
      <c r="K596" s="282">
        <f ca="1">SUM('Monthly Prod'!B3:B21)</f>
        <v>0</v>
      </c>
      <c r="L596" s="282">
        <f ca="1">SUM('Monthly Prod'!C3:C21)</f>
        <v>0</v>
      </c>
      <c r="M596" s="282">
        <f ca="1">SUM('Monthly Prod'!D3:D21)</f>
        <v>0</v>
      </c>
      <c r="N596" s="282">
        <f ca="1">SUM('Monthly Prod'!E3:E21)</f>
        <v>0</v>
      </c>
      <c r="O596" s="282">
        <f ca="1">SUM('Monthly Prod'!F3:F21)</f>
        <v>0</v>
      </c>
      <c r="P596" s="282">
        <f ca="1">SUM('Monthly Prod'!H3:H21)</f>
        <v>0</v>
      </c>
      <c r="Q596" t="s">
        <v>142</v>
      </c>
      <c r="R596" s="327"/>
      <c r="S596" s="341">
        <v>4.8</v>
      </c>
      <c r="T596" s="342"/>
      <c r="U596" s="342"/>
      <c r="V596" s="343"/>
      <c r="W596" s="379"/>
      <c r="X596" s="370" t="s">
        <v>143</v>
      </c>
      <c r="Y596" s="371"/>
      <c r="Z596" s="371" t="s">
        <v>127</v>
      </c>
      <c r="AA596" s="372" t="s">
        <v>128</v>
      </c>
    </row>
    <row r="597" spans="1:27" ht="15" customHeight="1">
      <c r="A597" s="1062"/>
      <c r="B597" s="1055"/>
      <c r="C597" s="1055"/>
      <c r="D597" s="1055"/>
      <c r="E597" s="1057"/>
      <c r="F597" s="1058"/>
      <c r="G597" s="1058"/>
      <c r="H597" s="1065"/>
      <c r="I597" s="1336"/>
      <c r="R597" s="327"/>
      <c r="S597" s="318">
        <v>4</v>
      </c>
      <c r="T597" s="319">
        <f>U597</f>
        <v>0</v>
      </c>
      <c r="U597" s="319">
        <f>G595</f>
        <v>0</v>
      </c>
      <c r="V597" s="321" t="s">
        <v>119</v>
      </c>
      <c r="W597" s="379"/>
      <c r="X597" s="366"/>
      <c r="Y597" s="206" t="s">
        <v>145</v>
      </c>
      <c r="Z597" s="282">
        <f>400+10-69.71-140.17-34.22-65.36-35.99-34.37</f>
        <v>30.180000000000042</v>
      </c>
      <c r="AA597" s="373" t="s">
        <v>146</v>
      </c>
    </row>
    <row r="598" spans="1:27" ht="15" customHeight="1">
      <c r="A598" s="1062"/>
      <c r="B598" s="1055"/>
      <c r="C598" s="1055"/>
      <c r="D598" s="1055"/>
      <c r="E598" s="1057"/>
      <c r="F598" s="1058"/>
      <c r="G598" s="1058"/>
      <c r="H598" s="1065"/>
      <c r="I598" s="1336"/>
      <c r="R598" s="327"/>
      <c r="S598" s="328"/>
      <c r="T598" s="329"/>
      <c r="U598" s="329"/>
      <c r="V598" s="324"/>
      <c r="W598" s="286"/>
      <c r="X598" s="374"/>
      <c r="Y598" s="206" t="s">
        <v>148</v>
      </c>
      <c r="Z598" s="282">
        <v>30.79</v>
      </c>
      <c r="AA598" s="369"/>
    </row>
    <row r="599" spans="1:27" ht="15" customHeight="1">
      <c r="A599" s="1062"/>
      <c r="B599" s="1055"/>
      <c r="C599" s="1055"/>
      <c r="D599" s="1055"/>
      <c r="E599" s="1057"/>
      <c r="F599" s="1058"/>
      <c r="G599" s="1058"/>
      <c r="H599" s="1065"/>
      <c r="I599" s="1055"/>
      <c r="R599" s="327"/>
      <c r="S599" s="318">
        <v>3</v>
      </c>
      <c r="T599" s="319">
        <f>U599</f>
        <v>0</v>
      </c>
      <c r="U599" s="319">
        <f>G594</f>
        <v>0</v>
      </c>
      <c r="V599" s="321" t="s">
        <v>119</v>
      </c>
      <c r="W599" s="379"/>
      <c r="X599" s="374"/>
      <c r="Y599" s="206" t="s">
        <v>133</v>
      </c>
      <c r="Z599" s="282">
        <v>0</v>
      </c>
      <c r="AA599" s="369">
        <v>320</v>
      </c>
    </row>
    <row r="600" spans="1:27" ht="15" customHeight="1">
      <c r="A600" s="1337"/>
      <c r="B600" s="1337"/>
      <c r="C600" s="1337"/>
      <c r="D600" s="1337"/>
      <c r="E600" s="1337"/>
      <c r="F600" s="1337"/>
      <c r="G600" s="1067"/>
      <c r="H600" s="1067"/>
      <c r="I600" s="1068"/>
      <c r="R600" s="327"/>
      <c r="S600" s="328"/>
      <c r="T600" s="329"/>
      <c r="U600" s="329"/>
      <c r="V600" s="324"/>
      <c r="X600" s="366"/>
      <c r="Y600" s="206" t="s">
        <v>158</v>
      </c>
      <c r="Z600" s="282"/>
      <c r="AA600" s="368">
        <f>400.91-80.1-109.37-159.53</f>
        <v>51.910000000000053</v>
      </c>
    </row>
    <row r="601" spans="1:27" ht="15" customHeight="1">
      <c r="A601" s="1320"/>
      <c r="B601" s="1320"/>
      <c r="C601" s="1320"/>
      <c r="D601" s="1320"/>
      <c r="E601" s="1321"/>
      <c r="F601" s="1322"/>
      <c r="G601" s="1323"/>
      <c r="H601" s="1321"/>
      <c r="I601" s="1320"/>
      <c r="R601" s="327"/>
      <c r="S601" s="236">
        <v>5</v>
      </c>
      <c r="T601" s="320">
        <f>U601</f>
        <v>0</v>
      </c>
      <c r="U601" s="320">
        <f>G596</f>
        <v>0</v>
      </c>
      <c r="V601" s="325" t="s">
        <v>119</v>
      </c>
      <c r="X601" s="366"/>
      <c r="Y601" s="206" t="s">
        <v>150</v>
      </c>
      <c r="Z601" s="282"/>
      <c r="AA601" s="368">
        <f>1000-80.75-140.64</f>
        <v>778.61</v>
      </c>
    </row>
    <row r="602" spans="1:27" ht="15.75" customHeight="1">
      <c r="A602" s="1320"/>
      <c r="B602" s="1320"/>
      <c r="C602" s="1320"/>
      <c r="D602" s="1320"/>
      <c r="E602" s="1320"/>
      <c r="F602" s="1320"/>
      <c r="G602" s="1320"/>
      <c r="H602" s="1320"/>
      <c r="I602" s="1320"/>
      <c r="R602" s="327"/>
      <c r="S602" s="236">
        <v>4.8</v>
      </c>
      <c r="T602" s="320">
        <v>0</v>
      </c>
      <c r="U602" s="320">
        <v>0</v>
      </c>
      <c r="V602" s="325" t="s">
        <v>119</v>
      </c>
      <c r="X602" s="375"/>
      <c r="Y602" s="245" t="s">
        <v>158</v>
      </c>
      <c r="Z602" s="376"/>
      <c r="AA602" s="377">
        <v>500</v>
      </c>
    </row>
    <row r="603" spans="1:27" ht="15" customHeight="1">
      <c r="A603" s="1072"/>
      <c r="B603" s="1072"/>
      <c r="C603" s="1072"/>
      <c r="D603" s="1072"/>
      <c r="E603" s="1072"/>
      <c r="F603" s="1072"/>
      <c r="G603" s="1073"/>
      <c r="H603" s="1074"/>
      <c r="I603" s="1075"/>
      <c r="R603" s="339"/>
      <c r="S603" s="236" t="s">
        <v>121</v>
      </c>
      <c r="T603" s="320">
        <v>0</v>
      </c>
      <c r="U603" s="320">
        <v>0</v>
      </c>
      <c r="V603" s="325" t="s">
        <v>119</v>
      </c>
    </row>
    <row r="604" spans="1:27" ht="15" customHeight="1">
      <c r="A604" s="1056"/>
      <c r="B604" s="1055"/>
      <c r="C604" s="1056"/>
      <c r="D604" s="1325"/>
      <c r="E604" s="1325"/>
      <c r="F604" s="1325"/>
      <c r="G604" s="1058"/>
      <c r="H604" s="1059"/>
      <c r="I604" s="286"/>
      <c r="R604" s="339"/>
      <c r="S604" s="236">
        <v>5</v>
      </c>
      <c r="T604" s="320">
        <v>0</v>
      </c>
      <c r="U604" s="320">
        <v>0</v>
      </c>
      <c r="V604" s="325"/>
    </row>
    <row r="605" spans="1:27" ht="15" customHeight="1">
      <c r="A605" s="1326"/>
      <c r="B605" s="1326"/>
      <c r="C605" s="1326"/>
      <c r="D605" s="1326"/>
      <c r="E605" s="1326"/>
      <c r="F605" s="1326"/>
      <c r="G605" s="1326"/>
      <c r="H605" s="1059"/>
      <c r="I605" s="286"/>
      <c r="R605" s="350"/>
      <c r="S605" s="211"/>
      <c r="T605" s="351">
        <f>SUM(T584:T604)</f>
        <v>0</v>
      </c>
      <c r="U605" s="351">
        <f>SUM(U584:U604)</f>
        <v>0</v>
      </c>
      <c r="V605" s="352"/>
    </row>
    <row r="606" spans="1:27" ht="25.5" customHeight="1">
      <c r="A606" s="1076"/>
      <c r="B606" s="1076"/>
      <c r="C606" s="1075"/>
      <c r="D606" s="1069"/>
      <c r="E606" s="1070"/>
      <c r="F606" s="1071"/>
      <c r="G606" s="1067"/>
      <c r="H606" s="1059"/>
      <c r="I606" s="286"/>
      <c r="R606" s="350"/>
      <c r="S606" s="211"/>
      <c r="T606" s="211"/>
      <c r="U606" s="211"/>
      <c r="V606" s="352"/>
    </row>
    <row r="607" spans="1:27" ht="15" customHeight="1">
      <c r="A607" s="1067"/>
      <c r="B607" s="1067"/>
      <c r="C607" s="1073"/>
      <c r="D607" s="1073"/>
      <c r="E607" s="1077"/>
      <c r="F607" s="1073"/>
      <c r="G607" s="1073"/>
      <c r="H607" s="1078"/>
      <c r="I607" s="286"/>
      <c r="R607" s="350"/>
      <c r="S607" s="211"/>
      <c r="T607" s="211"/>
      <c r="U607" s="211"/>
      <c r="V607" s="352"/>
    </row>
    <row r="608" spans="1:27" ht="15" customHeight="1">
      <c r="D608" s="1327"/>
      <c r="E608" s="1327"/>
      <c r="R608" s="350"/>
      <c r="S608" s="211"/>
      <c r="T608" s="211"/>
      <c r="U608" s="211"/>
      <c r="V608" s="352"/>
    </row>
    <row r="609" spans="1:27" ht="15.75" customHeight="1">
      <c r="A609" s="1330"/>
      <c r="B609" s="1330"/>
      <c r="C609" s="1330"/>
      <c r="D609" s="1330"/>
      <c r="E609" s="1330"/>
      <c r="F609" s="1330"/>
      <c r="G609" s="1330"/>
      <c r="H609" s="1330"/>
      <c r="I609" s="1330"/>
    </row>
    <row r="610" spans="1:27" ht="15" customHeight="1">
      <c r="A610" s="1331"/>
      <c r="B610" s="1331"/>
      <c r="C610" s="1331"/>
      <c r="D610" s="1331"/>
      <c r="E610" s="1331"/>
      <c r="F610" s="1331"/>
      <c r="G610" s="1331"/>
      <c r="H610" s="1331"/>
      <c r="I610" s="1331"/>
    </row>
    <row r="611" spans="1:27" ht="15" customHeight="1">
      <c r="A611" s="1054"/>
      <c r="B611" s="1055"/>
      <c r="C611" s="1056"/>
      <c r="D611" s="1056"/>
      <c r="E611" s="1057"/>
      <c r="F611" s="1058"/>
      <c r="G611" s="1058"/>
      <c r="H611" s="1059"/>
      <c r="I611" s="286"/>
    </row>
    <row r="612" spans="1:27" ht="15" customHeight="1">
      <c r="A612" s="1332"/>
      <c r="B612" s="1332"/>
      <c r="C612" s="1332"/>
      <c r="D612" s="1333"/>
      <c r="E612" s="1332"/>
      <c r="F612" s="1332"/>
      <c r="G612" s="1332"/>
      <c r="H612" s="1333"/>
      <c r="I612" s="1332"/>
    </row>
    <row r="613" spans="1:27" ht="38.25" customHeight="1">
      <c r="A613" s="1332"/>
      <c r="B613" s="1332"/>
      <c r="C613" s="1332"/>
      <c r="D613" s="1332"/>
      <c r="E613" s="1061"/>
      <c r="F613" s="1061"/>
      <c r="G613" s="1061"/>
      <c r="H613" s="1333"/>
      <c r="I613" s="1333"/>
    </row>
    <row r="614" spans="1:27" ht="15.75" customHeight="1">
      <c r="A614" s="1062"/>
      <c r="B614" s="1055"/>
      <c r="C614" s="1060"/>
      <c r="D614" s="1063"/>
      <c r="E614" s="1063"/>
      <c r="F614" s="1064"/>
      <c r="G614" s="1058"/>
      <c r="H614" s="1065"/>
      <c r="I614" s="1332"/>
      <c r="K614" s="8" t="s">
        <v>14</v>
      </c>
      <c r="L614" s="16">
        <f>'Daily Stock'!Q364</f>
        <v>0</v>
      </c>
      <c r="R614" s="309" t="s">
        <v>187</v>
      </c>
      <c r="S614" s="310"/>
    </row>
    <row r="615" spans="1:27" ht="18.75" customHeight="1">
      <c r="A615" s="1062"/>
      <c r="B615" s="1055"/>
      <c r="C615" s="1060"/>
      <c r="D615" s="1055"/>
      <c r="E615" s="1063"/>
      <c r="F615" s="1064"/>
      <c r="G615" s="1058"/>
      <c r="H615" s="1065"/>
      <c r="I615" s="1332"/>
      <c r="K615" s="8" t="s">
        <v>112</v>
      </c>
      <c r="L615" s="16">
        <f>'Daily Stock'!Q365</f>
        <v>0</v>
      </c>
      <c r="R615" s="311" t="s">
        <v>100</v>
      </c>
      <c r="S615" s="312"/>
      <c r="T615" s="313" t="s">
        <v>9</v>
      </c>
      <c r="U615" s="313" t="s">
        <v>113</v>
      </c>
      <c r="V615" s="314" t="s">
        <v>114</v>
      </c>
    </row>
    <row r="616" spans="1:27" ht="15" customHeight="1">
      <c r="A616" s="1062"/>
      <c r="B616" s="1055"/>
      <c r="C616" s="1055"/>
      <c r="D616" s="1055"/>
      <c r="E616" s="1057"/>
      <c r="F616" s="1058"/>
      <c r="G616" s="1058"/>
      <c r="H616" s="1065"/>
      <c r="I616" s="1334"/>
      <c r="K616" s="22" t="s">
        <v>117</v>
      </c>
      <c r="L616" s="16">
        <f>'Daily Stock'!Q366</f>
        <v>0</v>
      </c>
      <c r="R616" s="317" t="s">
        <v>118</v>
      </c>
      <c r="S616" s="318">
        <v>6</v>
      </c>
      <c r="T616" s="319">
        <f>U616</f>
        <v>0</v>
      </c>
      <c r="U616" s="320">
        <f>H616</f>
        <v>0</v>
      </c>
      <c r="V616" s="321" t="s">
        <v>119</v>
      </c>
    </row>
    <row r="617" spans="1:27" ht="15" customHeight="1">
      <c r="A617" s="1062"/>
      <c r="B617" s="1055"/>
      <c r="C617" s="1055"/>
      <c r="D617" s="1055"/>
      <c r="E617" s="1057"/>
      <c r="F617" s="1058"/>
      <c r="G617" s="1058"/>
      <c r="H617" s="1065"/>
      <c r="I617" s="1334"/>
      <c r="K617" s="22" t="s">
        <v>17</v>
      </c>
      <c r="L617" s="16">
        <f>'Daily Stock'!Q367</f>
        <v>0</v>
      </c>
      <c r="R617" s="317"/>
      <c r="S617" s="322"/>
      <c r="T617" s="323"/>
      <c r="U617" s="320">
        <v>0</v>
      </c>
      <c r="V617" s="324"/>
    </row>
    <row r="618" spans="1:27" ht="15" customHeight="1">
      <c r="A618" s="1062"/>
      <c r="B618" s="1055"/>
      <c r="C618" s="1055"/>
      <c r="D618" s="1055"/>
      <c r="E618" s="1057"/>
      <c r="F618" s="1058"/>
      <c r="G618" s="1058"/>
      <c r="H618" s="1065"/>
      <c r="I618" s="1334"/>
      <c r="K618" s="22" t="s">
        <v>18</v>
      </c>
      <c r="L618" s="16">
        <f>'Daily Stock'!Q368</f>
        <v>0</v>
      </c>
      <c r="R618" s="317"/>
      <c r="S618" s="236" t="s">
        <v>121</v>
      </c>
      <c r="T618" s="320">
        <v>0</v>
      </c>
      <c r="U618" s="320">
        <v>0</v>
      </c>
      <c r="V618" s="325"/>
    </row>
    <row r="619" spans="1:27" ht="15" customHeight="1">
      <c r="A619" s="1062"/>
      <c r="B619" s="1055"/>
      <c r="C619" s="1055"/>
      <c r="D619" s="1055"/>
      <c r="E619" s="1057"/>
      <c r="F619" s="1058"/>
      <c r="G619" s="1058"/>
      <c r="H619" s="1065"/>
      <c r="I619" s="1335"/>
      <c r="K619" s="22" t="s">
        <v>19</v>
      </c>
      <c r="L619" s="16">
        <f>'Daily Stock'!Q369</f>
        <v>0</v>
      </c>
      <c r="R619" s="326" t="s">
        <v>123</v>
      </c>
      <c r="S619" s="318">
        <v>6</v>
      </c>
      <c r="T619" s="319">
        <f>U619</f>
        <v>0</v>
      </c>
      <c r="U619" s="319">
        <f>H620</f>
        <v>0</v>
      </c>
      <c r="V619" s="321" t="s">
        <v>119</v>
      </c>
    </row>
    <row r="620" spans="1:27" ht="15" customHeight="1">
      <c r="A620" s="1062"/>
      <c r="B620" s="1055"/>
      <c r="C620" s="1055"/>
      <c r="D620" s="1055"/>
      <c r="E620" s="1057"/>
      <c r="F620" s="1058"/>
      <c r="G620" s="1058"/>
      <c r="H620" s="1065"/>
      <c r="I620" s="1335"/>
      <c r="K620" s="22" t="s">
        <v>20</v>
      </c>
      <c r="L620" s="16">
        <f>'Daily Stock'!Q370</f>
        <v>0</v>
      </c>
      <c r="R620" s="327"/>
      <c r="S620" s="328"/>
      <c r="T620" s="329"/>
      <c r="U620" s="329"/>
      <c r="V620" s="324"/>
    </row>
    <row r="621" spans="1:27" ht="15.75" customHeight="1">
      <c r="A621" s="1062"/>
      <c r="B621" s="1055"/>
      <c r="C621" s="1055"/>
      <c r="D621" s="1055"/>
      <c r="E621" s="1057"/>
      <c r="F621" s="1058"/>
      <c r="G621" s="1058"/>
      <c r="H621" s="1065"/>
      <c r="I621" s="1335"/>
      <c r="K621" s="22" t="s">
        <v>124</v>
      </c>
      <c r="L621" s="16">
        <f>'Daily Stock'!Q371</f>
        <v>0</v>
      </c>
      <c r="R621" s="327"/>
      <c r="S621" s="318">
        <v>4</v>
      </c>
      <c r="T621" s="319">
        <f>U621</f>
        <v>0</v>
      </c>
      <c r="U621" s="319">
        <f>G622</f>
        <v>0</v>
      </c>
      <c r="V621" s="321" t="s">
        <v>119</v>
      </c>
      <c r="X621" s="1304" t="str">
        <f>R614</f>
        <v>As on 20.10.2026</v>
      </c>
      <c r="Y621" s="1304"/>
      <c r="Z621" s="1304"/>
      <c r="AA621" s="1304"/>
    </row>
    <row r="622" spans="1:27" ht="15" customHeight="1">
      <c r="A622" s="1062"/>
      <c r="B622" s="1055"/>
      <c r="C622" s="1055"/>
      <c r="D622" s="1055"/>
      <c r="E622" s="1057"/>
      <c r="F622" s="1058"/>
      <c r="G622" s="1058"/>
      <c r="H622" s="1065"/>
      <c r="I622" s="1335"/>
      <c r="K622" s="22" t="s">
        <v>22</v>
      </c>
      <c r="L622" s="16">
        <f>'Daily Stock'!Q372</f>
        <v>0</v>
      </c>
      <c r="R622" s="327"/>
      <c r="S622" s="328"/>
      <c r="T622" s="329"/>
      <c r="U622" s="329"/>
      <c r="V622" s="324"/>
      <c r="X622" s="363" t="s">
        <v>125</v>
      </c>
      <c r="Y622" s="364" t="s">
        <v>126</v>
      </c>
      <c r="Z622" s="364" t="s">
        <v>127</v>
      </c>
      <c r="AA622" s="365" t="s">
        <v>128</v>
      </c>
    </row>
    <row r="623" spans="1:27" ht="15" customHeight="1">
      <c r="A623" s="1062"/>
      <c r="B623" s="1055"/>
      <c r="C623" s="1055"/>
      <c r="D623" s="1055"/>
      <c r="E623" s="1057"/>
      <c r="F623" s="1058"/>
      <c r="G623" s="1058"/>
      <c r="H623" s="1065"/>
      <c r="I623" s="1335"/>
      <c r="K623" s="22" t="s">
        <v>23</v>
      </c>
      <c r="L623" s="16">
        <f>'Daily Stock'!Q373</f>
        <v>0</v>
      </c>
      <c r="R623" s="327"/>
      <c r="S623" s="318">
        <v>3</v>
      </c>
      <c r="T623" s="319">
        <f>U623</f>
        <v>0</v>
      </c>
      <c r="U623" s="319">
        <f>G619</f>
        <v>0</v>
      </c>
      <c r="V623" s="321" t="s">
        <v>119</v>
      </c>
      <c r="X623" s="366" t="s">
        <v>129</v>
      </c>
      <c r="Y623" s="367">
        <f>I616</f>
        <v>0</v>
      </c>
      <c r="Z623" s="367">
        <f>I619</f>
        <v>0</v>
      </c>
      <c r="AA623" s="368">
        <f>I626</f>
        <v>0</v>
      </c>
    </row>
    <row r="624" spans="1:27" ht="15.75" customHeight="1">
      <c r="A624" s="1062"/>
      <c r="B624" s="1055"/>
      <c r="C624" s="1055"/>
      <c r="D624" s="1055"/>
      <c r="E624" s="1057"/>
      <c r="F624" s="1058"/>
      <c r="G624" s="1058"/>
      <c r="H624" s="1065"/>
      <c r="I624" s="1066"/>
      <c r="K624" s="25" t="s">
        <v>24</v>
      </c>
      <c r="L624" s="16">
        <f>'Daily Stock'!Q374</f>
        <v>0</v>
      </c>
      <c r="R624" s="327"/>
      <c r="S624" s="328"/>
      <c r="T624" s="329"/>
      <c r="U624" s="329"/>
      <c r="V624" s="324"/>
      <c r="W624" s="286"/>
      <c r="X624" s="366" t="s">
        <v>132</v>
      </c>
      <c r="Y624" s="206"/>
      <c r="Z624" s="367">
        <f>G625+G624</f>
        <v>0</v>
      </c>
      <c r="AA624" s="368">
        <f>G630+G629+G631</f>
        <v>0</v>
      </c>
    </row>
    <row r="625" spans="1:27" ht="15" customHeight="1">
      <c r="A625" s="1062"/>
      <c r="B625" s="1055"/>
      <c r="C625" s="1055"/>
      <c r="D625" s="1055"/>
      <c r="E625" s="1057"/>
      <c r="F625" s="1058"/>
      <c r="G625" s="1058"/>
      <c r="H625" s="1065"/>
      <c r="I625" s="1066"/>
      <c r="R625" s="327"/>
      <c r="S625" s="318">
        <v>5</v>
      </c>
      <c r="T625" s="319">
        <f>U625</f>
        <v>0</v>
      </c>
      <c r="U625" s="319">
        <f>G621</f>
        <v>0</v>
      </c>
      <c r="V625" s="321" t="s">
        <v>119</v>
      </c>
      <c r="W625" s="379"/>
      <c r="X625" s="366"/>
      <c r="Y625" s="206"/>
      <c r="Z625" s="206"/>
      <c r="AA625" s="368"/>
    </row>
    <row r="626" spans="1:27" ht="15" customHeight="1">
      <c r="A626" s="1062"/>
      <c r="B626" s="1055"/>
      <c r="C626" s="1055"/>
      <c r="D626" s="1055"/>
      <c r="E626" s="1057"/>
      <c r="F626" s="1058"/>
      <c r="G626" s="1058"/>
      <c r="H626" s="401"/>
      <c r="I626" s="1336"/>
      <c r="K626" s="338">
        <f>'Monthly Prod'!B22</f>
        <v>0</v>
      </c>
      <c r="L626" s="338">
        <f>'Monthly Prod'!C22</f>
        <v>0</v>
      </c>
      <c r="M626" s="338">
        <f>'Monthly Prod'!D22</f>
        <v>0</v>
      </c>
      <c r="N626" s="338">
        <f>'Monthly Prod'!E22</f>
        <v>0</v>
      </c>
      <c r="O626" s="338">
        <f>'Monthly Prod'!F22</f>
        <v>0</v>
      </c>
      <c r="P626" s="338">
        <f>'Monthly Prod'!H22</f>
        <v>0</v>
      </c>
      <c r="Q626" t="s">
        <v>134</v>
      </c>
      <c r="R626" s="339"/>
      <c r="S626" s="340" t="s">
        <v>121</v>
      </c>
      <c r="T626" s="319">
        <f>U626</f>
        <v>0</v>
      </c>
      <c r="U626" s="319">
        <f>G623</f>
        <v>0</v>
      </c>
      <c r="V626" s="321" t="s">
        <v>119</v>
      </c>
      <c r="W626" s="379"/>
      <c r="X626" s="380" t="s">
        <v>135</v>
      </c>
      <c r="Y626" s="381">
        <f>SUM(Y623:Y625)</f>
        <v>0</v>
      </c>
      <c r="Z626" s="381">
        <f>SUM(Z623:Z625)</f>
        <v>0</v>
      </c>
      <c r="AA626" s="381">
        <f>SUM(AA623:AA625)</f>
        <v>0</v>
      </c>
    </row>
    <row r="627" spans="1:27" ht="15" customHeight="1">
      <c r="A627" s="1062"/>
      <c r="B627" s="1055"/>
      <c r="C627" s="1055"/>
      <c r="D627" s="1055"/>
      <c r="E627" s="1057"/>
      <c r="F627" s="1058"/>
      <c r="G627" s="1058"/>
      <c r="H627" s="1065"/>
      <c r="I627" s="1336"/>
      <c r="K627" s="286" t="s">
        <v>136</v>
      </c>
      <c r="L627" s="286" t="s">
        <v>137</v>
      </c>
      <c r="M627" s="277" t="s">
        <v>4</v>
      </c>
      <c r="N627" s="277" t="s">
        <v>138</v>
      </c>
      <c r="O627" s="286" t="s">
        <v>139</v>
      </c>
      <c r="P627" s="286" t="s">
        <v>140</v>
      </c>
      <c r="R627" s="326" t="s">
        <v>141</v>
      </c>
      <c r="S627" s="236">
        <v>6</v>
      </c>
      <c r="T627" s="320">
        <v>0</v>
      </c>
      <c r="U627" s="320">
        <v>0</v>
      </c>
      <c r="V627" s="325"/>
      <c r="W627" s="379"/>
    </row>
    <row r="628" spans="1:27" ht="15" customHeight="1">
      <c r="A628" s="1062"/>
      <c r="B628" s="1055"/>
      <c r="C628" s="1055"/>
      <c r="D628" s="1055"/>
      <c r="E628" s="1057"/>
      <c r="F628" s="1058"/>
      <c r="G628" s="1058"/>
      <c r="H628" s="1065"/>
      <c r="I628" s="1336"/>
      <c r="K628" s="282">
        <f ca="1">SUM('Monthly Prod'!B3:B22)</f>
        <v>0</v>
      </c>
      <c r="L628" s="282">
        <f ca="1">SUM('Monthly Prod'!C3:C22)</f>
        <v>0</v>
      </c>
      <c r="M628" s="282">
        <f ca="1">SUM('Monthly Prod'!D3:D22)</f>
        <v>0</v>
      </c>
      <c r="N628" s="282">
        <f ca="1">SUM('Monthly Prod'!E3:E22)</f>
        <v>0</v>
      </c>
      <c r="O628" s="282">
        <f ca="1">SUM('Monthly Prod'!F3:F22)</f>
        <v>0</v>
      </c>
      <c r="P628" s="282">
        <f ca="1">SUM('Monthly Prod'!H3:H22)</f>
        <v>0</v>
      </c>
      <c r="Q628" t="s">
        <v>142</v>
      </c>
      <c r="R628" s="327"/>
      <c r="S628" s="341">
        <v>4.8</v>
      </c>
      <c r="T628" s="342"/>
      <c r="U628" s="342"/>
      <c r="V628" s="343"/>
      <c r="W628" s="379"/>
      <c r="X628" s="370" t="s">
        <v>143</v>
      </c>
      <c r="Y628" s="371"/>
      <c r="Z628" s="371" t="s">
        <v>127</v>
      </c>
      <c r="AA628" s="372" t="s">
        <v>128</v>
      </c>
    </row>
    <row r="629" spans="1:27" ht="15" customHeight="1">
      <c r="A629" s="1062"/>
      <c r="B629" s="1055"/>
      <c r="C629" s="1055"/>
      <c r="D629" s="1055"/>
      <c r="E629" s="1057"/>
      <c r="F629" s="1058"/>
      <c r="G629" s="1058"/>
      <c r="H629" s="1065"/>
      <c r="I629" s="1336"/>
      <c r="R629" s="327"/>
      <c r="S629" s="318">
        <v>4</v>
      </c>
      <c r="T629" s="319">
        <f>U629</f>
        <v>0</v>
      </c>
      <c r="U629" s="319">
        <f>G627</f>
        <v>0</v>
      </c>
      <c r="V629" s="321" t="s">
        <v>119</v>
      </c>
      <c r="W629" s="379"/>
      <c r="X629" s="366"/>
      <c r="Y629" s="206" t="s">
        <v>145</v>
      </c>
      <c r="Z629" s="282">
        <f>400+10-69.71-140.17-34.22-65.36-35.99-34.37</f>
        <v>30.180000000000042</v>
      </c>
      <c r="AA629" s="373" t="s">
        <v>146</v>
      </c>
    </row>
    <row r="630" spans="1:27" ht="15" customHeight="1">
      <c r="A630" s="1062"/>
      <c r="B630" s="1055"/>
      <c r="C630" s="1055"/>
      <c r="D630" s="1055"/>
      <c r="E630" s="1057"/>
      <c r="F630" s="1058"/>
      <c r="G630" s="1058"/>
      <c r="H630" s="1065"/>
      <c r="I630" s="1336"/>
      <c r="R630" s="327"/>
      <c r="S630" s="328"/>
      <c r="T630" s="329"/>
      <c r="U630" s="329"/>
      <c r="V630" s="324"/>
      <c r="W630" s="286"/>
      <c r="X630" s="374"/>
      <c r="Y630" s="206" t="s">
        <v>148</v>
      </c>
      <c r="Z630" s="282">
        <v>30.79</v>
      </c>
      <c r="AA630" s="369"/>
    </row>
    <row r="631" spans="1:27" ht="15" customHeight="1">
      <c r="A631" s="1062"/>
      <c r="B631" s="1055"/>
      <c r="C631" s="1055"/>
      <c r="D631" s="1055"/>
      <c r="E631" s="1057"/>
      <c r="F631" s="1058"/>
      <c r="G631" s="1058"/>
      <c r="H631" s="1065"/>
      <c r="I631" s="1055"/>
      <c r="R631" s="327"/>
      <c r="S631" s="318">
        <v>3</v>
      </c>
      <c r="T631" s="319">
        <f>U631</f>
        <v>0</v>
      </c>
      <c r="U631" s="319">
        <f>G626</f>
        <v>0</v>
      </c>
      <c r="V631" s="321" t="s">
        <v>119</v>
      </c>
      <c r="W631" s="379"/>
      <c r="X631" s="374"/>
      <c r="Y631" s="206" t="s">
        <v>133</v>
      </c>
      <c r="Z631" s="282">
        <v>0</v>
      </c>
      <c r="AA631" s="369">
        <f>320-74.38</f>
        <v>245.62</v>
      </c>
    </row>
    <row r="632" spans="1:27" ht="15" customHeight="1">
      <c r="A632" s="1337"/>
      <c r="B632" s="1337"/>
      <c r="C632" s="1337"/>
      <c r="D632" s="1337"/>
      <c r="E632" s="1337"/>
      <c r="F632" s="1337"/>
      <c r="G632" s="1067"/>
      <c r="H632" s="1067"/>
      <c r="I632" s="1068"/>
      <c r="R632" s="327"/>
      <c r="S632" s="328"/>
      <c r="T632" s="329"/>
      <c r="U632" s="329"/>
      <c r="V632" s="324"/>
      <c r="X632" s="366"/>
      <c r="Y632" s="206" t="s">
        <v>158</v>
      </c>
      <c r="Z632" s="282"/>
      <c r="AA632" s="368">
        <f>400.91-80.1-109.37-159.53-29.74</f>
        <v>22.170000000000055</v>
      </c>
    </row>
    <row r="633" spans="1:27" ht="15" customHeight="1">
      <c r="A633" s="1320"/>
      <c r="B633" s="1320"/>
      <c r="C633" s="1320"/>
      <c r="D633" s="1320"/>
      <c r="E633" s="1321"/>
      <c r="F633" s="1322"/>
      <c r="G633" s="1323"/>
      <c r="H633" s="1321"/>
      <c r="I633" s="1320"/>
      <c r="R633" s="327"/>
      <c r="S633" s="236">
        <v>5</v>
      </c>
      <c r="T633" s="320">
        <f>U633</f>
        <v>0</v>
      </c>
      <c r="U633" s="320">
        <f>G628</f>
        <v>0</v>
      </c>
      <c r="V633" s="325" t="s">
        <v>119</v>
      </c>
      <c r="X633" s="366"/>
      <c r="Y633" s="206" t="s">
        <v>150</v>
      </c>
      <c r="Z633" s="282"/>
      <c r="AA633" s="368">
        <f>1000-80.75-140.64</f>
        <v>778.61</v>
      </c>
    </row>
    <row r="634" spans="1:27" ht="15.75" customHeight="1">
      <c r="A634" s="1320"/>
      <c r="B634" s="1320"/>
      <c r="C634" s="1320"/>
      <c r="D634" s="1320"/>
      <c r="E634" s="1320"/>
      <c r="F634" s="1320"/>
      <c r="G634" s="1320"/>
      <c r="H634" s="1320"/>
      <c r="I634" s="1320"/>
      <c r="R634" s="327"/>
      <c r="S634" s="236">
        <v>4.8</v>
      </c>
      <c r="T634" s="320">
        <v>0</v>
      </c>
      <c r="U634" s="320">
        <v>0</v>
      </c>
      <c r="V634" s="325" t="s">
        <v>119</v>
      </c>
      <c r="X634" s="375"/>
      <c r="Y634" s="245" t="s">
        <v>158</v>
      </c>
      <c r="Z634" s="376"/>
      <c r="AA634" s="377">
        <v>500</v>
      </c>
    </row>
    <row r="635" spans="1:27" ht="15" customHeight="1">
      <c r="A635" s="1072"/>
      <c r="B635" s="1072"/>
      <c r="C635" s="1072"/>
      <c r="D635" s="1072"/>
      <c r="E635" s="1072"/>
      <c r="F635" s="1072"/>
      <c r="G635" s="1073"/>
      <c r="H635" s="1074"/>
      <c r="I635" s="1075"/>
      <c r="R635" s="339"/>
      <c r="S635" s="236" t="s">
        <v>121</v>
      </c>
      <c r="T635" s="320">
        <v>0</v>
      </c>
      <c r="U635" s="320">
        <v>0</v>
      </c>
      <c r="V635" s="325" t="s">
        <v>119</v>
      </c>
    </row>
    <row r="636" spans="1:27" ht="15" customHeight="1">
      <c r="A636" s="1056"/>
      <c r="B636" s="1055"/>
      <c r="C636" s="1056"/>
      <c r="D636" s="1325"/>
      <c r="E636" s="1325"/>
      <c r="F636" s="1325"/>
      <c r="G636" s="1058"/>
      <c r="H636" s="1059"/>
      <c r="I636" s="286"/>
      <c r="R636" s="339"/>
      <c r="S636" s="236">
        <v>5</v>
      </c>
      <c r="T636" s="320">
        <v>0</v>
      </c>
      <c r="U636" s="320">
        <v>0</v>
      </c>
      <c r="V636" s="325"/>
    </row>
    <row r="637" spans="1:27" ht="15" customHeight="1">
      <c r="A637" s="1326"/>
      <c r="B637" s="1326"/>
      <c r="C637" s="1326"/>
      <c r="D637" s="1326"/>
      <c r="E637" s="1326"/>
      <c r="F637" s="1326"/>
      <c r="G637" s="1326"/>
      <c r="H637" s="1059"/>
      <c r="I637" s="286"/>
      <c r="R637" s="350"/>
      <c r="S637" s="211"/>
      <c r="T637" s="351">
        <f>SUM(T616:T636)</f>
        <v>0</v>
      </c>
      <c r="U637" s="351">
        <f>SUM(U616:U636)</f>
        <v>0</v>
      </c>
      <c r="V637" s="352"/>
    </row>
    <row r="638" spans="1:27" ht="25.5" customHeight="1">
      <c r="A638" s="1076"/>
      <c r="B638" s="1076"/>
      <c r="C638" s="1075"/>
      <c r="D638" s="1069"/>
      <c r="E638" s="1070"/>
      <c r="F638" s="1071"/>
      <c r="G638" s="1067"/>
      <c r="H638" s="1059"/>
      <c r="I638" s="286"/>
      <c r="R638" s="350"/>
      <c r="S638" s="211"/>
      <c r="T638" s="211"/>
      <c r="U638" s="211"/>
      <c r="V638" s="352"/>
    </row>
    <row r="639" spans="1:27" ht="15" customHeight="1">
      <c r="A639" s="1067"/>
      <c r="B639" s="1067"/>
      <c r="C639" s="1073"/>
      <c r="D639" s="1073"/>
      <c r="E639" s="1077"/>
      <c r="F639" s="1073"/>
      <c r="G639" s="1073"/>
      <c r="H639" s="1078"/>
      <c r="I639" s="286"/>
      <c r="R639" s="350"/>
      <c r="S639" s="211"/>
      <c r="T639" s="211"/>
      <c r="U639" s="211"/>
      <c r="V639" s="352"/>
    </row>
    <row r="640" spans="1:27" ht="15" customHeight="1">
      <c r="D640" s="1327"/>
      <c r="E640" s="1327"/>
      <c r="R640" s="350"/>
      <c r="S640" s="211"/>
      <c r="T640" s="211"/>
      <c r="U640" s="211"/>
      <c r="V640" s="352"/>
    </row>
    <row r="641" spans="1:27" ht="15.75" customHeight="1">
      <c r="A641" s="1330"/>
      <c r="B641" s="1330"/>
      <c r="C641" s="1330"/>
      <c r="D641" s="1330"/>
      <c r="E641" s="1330"/>
      <c r="F641" s="1330"/>
      <c r="G641" s="1330"/>
      <c r="H641" s="1330"/>
      <c r="I641" s="1330"/>
    </row>
    <row r="642" spans="1:27" ht="15" customHeight="1">
      <c r="A642" s="1331"/>
      <c r="B642" s="1331"/>
      <c r="C642" s="1331"/>
      <c r="D642" s="1331"/>
      <c r="E642" s="1331"/>
      <c r="F642" s="1331"/>
      <c r="G642" s="1331"/>
      <c r="H642" s="1331"/>
      <c r="I642" s="1331"/>
    </row>
    <row r="643" spans="1:27" ht="15" customHeight="1">
      <c r="A643" s="1054"/>
      <c r="B643" s="1055"/>
      <c r="C643" s="1056"/>
      <c r="D643" s="1056"/>
      <c r="E643" s="1057"/>
      <c r="F643" s="1058"/>
      <c r="G643" s="1058"/>
      <c r="H643" s="1059"/>
      <c r="I643" s="286"/>
    </row>
    <row r="644" spans="1:27" ht="15" customHeight="1">
      <c r="A644" s="1332"/>
      <c r="B644" s="1332"/>
      <c r="C644" s="1332"/>
      <c r="D644" s="1333"/>
      <c r="E644" s="1332"/>
      <c r="F644" s="1332"/>
      <c r="G644" s="1332"/>
      <c r="H644" s="1333"/>
      <c r="I644" s="1332"/>
    </row>
    <row r="645" spans="1:27" ht="38.25" customHeight="1">
      <c r="A645" s="1332"/>
      <c r="B645" s="1332"/>
      <c r="C645" s="1332"/>
      <c r="D645" s="1332"/>
      <c r="E645" s="1061"/>
      <c r="F645" s="1061"/>
      <c r="G645" s="1061"/>
      <c r="H645" s="1333"/>
      <c r="I645" s="1333"/>
    </row>
    <row r="646" spans="1:27" ht="15.75" customHeight="1">
      <c r="A646" s="1062"/>
      <c r="B646" s="1055"/>
      <c r="C646" s="1060"/>
      <c r="D646" s="1063"/>
      <c r="E646" s="1063"/>
      <c r="F646" s="1064"/>
      <c r="G646" s="1058"/>
      <c r="H646" s="1065"/>
      <c r="I646" s="1332"/>
      <c r="K646" s="8" t="s">
        <v>14</v>
      </c>
      <c r="L646" s="16">
        <f>'Daily Stock'!Q382</f>
        <v>0</v>
      </c>
      <c r="R646" s="309" t="s">
        <v>188</v>
      </c>
      <c r="S646" s="310"/>
    </row>
    <row r="647" spans="1:27" ht="18.75" customHeight="1">
      <c r="A647" s="1062"/>
      <c r="B647" s="1055"/>
      <c r="C647" s="1060"/>
      <c r="D647" s="1055"/>
      <c r="E647" s="1063"/>
      <c r="F647" s="1064"/>
      <c r="G647" s="1058"/>
      <c r="H647" s="1065"/>
      <c r="I647" s="1332"/>
      <c r="K647" s="8" t="s">
        <v>112</v>
      </c>
      <c r="L647" s="16">
        <f>'Daily Stock'!Q383</f>
        <v>0</v>
      </c>
      <c r="R647" s="311" t="s">
        <v>100</v>
      </c>
      <c r="S647" s="312"/>
      <c r="T647" s="313" t="s">
        <v>9</v>
      </c>
      <c r="U647" s="313" t="s">
        <v>113</v>
      </c>
      <c r="V647" s="314" t="s">
        <v>114</v>
      </c>
    </row>
    <row r="648" spans="1:27" ht="15" customHeight="1">
      <c r="A648" s="1062"/>
      <c r="B648" s="1055"/>
      <c r="C648" s="1055"/>
      <c r="D648" s="1055"/>
      <c r="E648" s="1057"/>
      <c r="F648" s="1058"/>
      <c r="G648" s="1058"/>
      <c r="H648" s="1065"/>
      <c r="I648" s="1334"/>
      <c r="K648" s="22" t="s">
        <v>117</v>
      </c>
      <c r="L648" s="16">
        <f>'Daily Stock'!Q384</f>
        <v>0</v>
      </c>
      <c r="R648" s="317" t="s">
        <v>118</v>
      </c>
      <c r="S648" s="318">
        <v>6</v>
      </c>
      <c r="T648" s="319">
        <f>U648</f>
        <v>0</v>
      </c>
      <c r="U648" s="320">
        <f>H648</f>
        <v>0</v>
      </c>
      <c r="V648" s="321" t="s">
        <v>119</v>
      </c>
    </row>
    <row r="649" spans="1:27" ht="15" customHeight="1">
      <c r="A649" s="1062"/>
      <c r="B649" s="1055"/>
      <c r="C649" s="1055"/>
      <c r="D649" s="1055"/>
      <c r="E649" s="1057"/>
      <c r="F649" s="1058"/>
      <c r="G649" s="1058"/>
      <c r="H649" s="1065"/>
      <c r="I649" s="1334"/>
      <c r="K649" s="22" t="s">
        <v>17</v>
      </c>
      <c r="L649" s="16">
        <f>'Daily Stock'!Q385</f>
        <v>0</v>
      </c>
      <c r="R649" s="317"/>
      <c r="S649" s="322"/>
      <c r="T649" s="323"/>
      <c r="U649" s="320">
        <v>0</v>
      </c>
      <c r="V649" s="324"/>
    </row>
    <row r="650" spans="1:27" ht="15" customHeight="1">
      <c r="A650" s="1062"/>
      <c r="B650" s="1055"/>
      <c r="C650" s="1055"/>
      <c r="D650" s="1055"/>
      <c r="E650" s="1057"/>
      <c r="F650" s="1058"/>
      <c r="G650" s="1058"/>
      <c r="H650" s="1065"/>
      <c r="I650" s="1334"/>
      <c r="K650" s="22" t="s">
        <v>18</v>
      </c>
      <c r="L650" s="16">
        <f>'Daily Stock'!Q386</f>
        <v>0</v>
      </c>
      <c r="R650" s="317"/>
      <c r="S650" s="236" t="s">
        <v>121</v>
      </c>
      <c r="T650" s="320">
        <v>0</v>
      </c>
      <c r="U650" s="320">
        <v>0</v>
      </c>
      <c r="V650" s="325"/>
    </row>
    <row r="651" spans="1:27" ht="15" customHeight="1">
      <c r="A651" s="1062"/>
      <c r="B651" s="1055"/>
      <c r="C651" s="1055"/>
      <c r="D651" s="1055"/>
      <c r="E651" s="1057"/>
      <c r="F651" s="1058"/>
      <c r="G651" s="1058"/>
      <c r="H651" s="1065"/>
      <c r="I651" s="1335"/>
      <c r="K651" s="22" t="s">
        <v>19</v>
      </c>
      <c r="L651" s="16">
        <f>'Daily Stock'!Q387</f>
        <v>0</v>
      </c>
      <c r="R651" s="326" t="s">
        <v>123</v>
      </c>
      <c r="S651" s="318">
        <v>6</v>
      </c>
      <c r="T651" s="319">
        <f>U651</f>
        <v>0</v>
      </c>
      <c r="U651" s="319">
        <f>H652</f>
        <v>0</v>
      </c>
      <c r="V651" s="321" t="s">
        <v>119</v>
      </c>
    </row>
    <row r="652" spans="1:27" ht="15" customHeight="1">
      <c r="A652" s="1062"/>
      <c r="B652" s="1055"/>
      <c r="C652" s="1055"/>
      <c r="D652" s="1055"/>
      <c r="E652" s="1057"/>
      <c r="F652" s="1058"/>
      <c r="G652" s="1058"/>
      <c r="H652" s="1065"/>
      <c r="I652" s="1335"/>
      <c r="K652" s="22" t="s">
        <v>20</v>
      </c>
      <c r="L652" s="16">
        <f>'Daily Stock'!Q388</f>
        <v>0</v>
      </c>
      <c r="R652" s="327"/>
      <c r="S652" s="328"/>
      <c r="T652" s="329"/>
      <c r="U652" s="329"/>
      <c r="V652" s="324"/>
    </row>
    <row r="653" spans="1:27" ht="15.75" customHeight="1">
      <c r="A653" s="1062"/>
      <c r="B653" s="1055"/>
      <c r="C653" s="1055"/>
      <c r="D653" s="1055"/>
      <c r="E653" s="1057"/>
      <c r="F653" s="1058"/>
      <c r="G653" s="1058"/>
      <c r="H653" s="1065"/>
      <c r="I653" s="1335"/>
      <c r="K653" s="22" t="s">
        <v>124</v>
      </c>
      <c r="L653" s="16">
        <f>'Daily Stock'!Q389</f>
        <v>0</v>
      </c>
      <c r="R653" s="327"/>
      <c r="S653" s="318">
        <v>4</v>
      </c>
      <c r="T653" s="319">
        <f>U653</f>
        <v>0</v>
      </c>
      <c r="U653" s="319">
        <f>G654</f>
        <v>0</v>
      </c>
      <c r="V653" s="321" t="s">
        <v>119</v>
      </c>
      <c r="X653" s="1304" t="str">
        <f>R646</f>
        <v>As on 21.10.2026</v>
      </c>
      <c r="Y653" s="1304"/>
      <c r="Z653" s="1304"/>
      <c r="AA653" s="1304"/>
    </row>
    <row r="654" spans="1:27" ht="15" customHeight="1">
      <c r="A654" s="1062"/>
      <c r="B654" s="1055"/>
      <c r="C654" s="1055"/>
      <c r="D654" s="1055"/>
      <c r="E654" s="1057"/>
      <c r="F654" s="1058"/>
      <c r="G654" s="1058"/>
      <c r="H654" s="1065"/>
      <c r="I654" s="1335"/>
      <c r="K654" s="22" t="s">
        <v>22</v>
      </c>
      <c r="L654" s="16">
        <f>'Daily Stock'!Q390</f>
        <v>0</v>
      </c>
      <c r="R654" s="327"/>
      <c r="S654" s="328"/>
      <c r="T654" s="329"/>
      <c r="U654" s="329"/>
      <c r="V654" s="324"/>
      <c r="X654" s="363" t="s">
        <v>125</v>
      </c>
      <c r="Y654" s="364" t="s">
        <v>126</v>
      </c>
      <c r="Z654" s="364" t="s">
        <v>127</v>
      </c>
      <c r="AA654" s="365" t="s">
        <v>128</v>
      </c>
    </row>
    <row r="655" spans="1:27" ht="15" customHeight="1">
      <c r="A655" s="1062"/>
      <c r="B655" s="1055"/>
      <c r="C655" s="1055"/>
      <c r="D655" s="1055"/>
      <c r="E655" s="1057"/>
      <c r="F655" s="1058"/>
      <c r="G655" s="1058"/>
      <c r="H655" s="1065"/>
      <c r="I655" s="1335"/>
      <c r="K655" s="22" t="s">
        <v>23</v>
      </c>
      <c r="L655" s="16">
        <f>'Daily Stock'!Q391</f>
        <v>0</v>
      </c>
      <c r="R655" s="327"/>
      <c r="S655" s="318">
        <v>3</v>
      </c>
      <c r="T655" s="319">
        <f>U655</f>
        <v>0</v>
      </c>
      <c r="U655" s="319">
        <f>G651</f>
        <v>0</v>
      </c>
      <c r="V655" s="321" t="s">
        <v>119</v>
      </c>
      <c r="X655" s="366" t="s">
        <v>129</v>
      </c>
      <c r="Y655" s="367">
        <f>I648</f>
        <v>0</v>
      </c>
      <c r="Z655" s="367">
        <f>I651</f>
        <v>0</v>
      </c>
      <c r="AA655" s="368">
        <f>I658</f>
        <v>0</v>
      </c>
    </row>
    <row r="656" spans="1:27" ht="15.75" customHeight="1">
      <c r="A656" s="1062"/>
      <c r="B656" s="1055"/>
      <c r="C656" s="1055"/>
      <c r="D656" s="1055"/>
      <c r="E656" s="1057"/>
      <c r="F656" s="1058"/>
      <c r="G656" s="1058"/>
      <c r="H656" s="1065"/>
      <c r="I656" s="1066"/>
      <c r="K656" s="25" t="s">
        <v>24</v>
      </c>
      <c r="L656" s="16">
        <f>'Daily Stock'!Q392</f>
        <v>0</v>
      </c>
      <c r="R656" s="327"/>
      <c r="S656" s="328"/>
      <c r="T656" s="329"/>
      <c r="U656" s="329"/>
      <c r="V656" s="324"/>
      <c r="W656" s="286"/>
      <c r="X656" s="366" t="s">
        <v>132</v>
      </c>
      <c r="Y656" s="206"/>
      <c r="Z656" s="367">
        <f>G657+G656</f>
        <v>0</v>
      </c>
      <c r="AA656" s="368">
        <f>G662+G661+G663+301.61</f>
        <v>301.61</v>
      </c>
    </row>
    <row r="657" spans="1:28" ht="15" customHeight="1">
      <c r="A657" s="1062"/>
      <c r="B657" s="1055"/>
      <c r="C657" s="1055"/>
      <c r="D657" s="1055"/>
      <c r="E657" s="1057"/>
      <c r="F657" s="1058"/>
      <c r="G657" s="1058"/>
      <c r="H657" s="1065"/>
      <c r="I657" s="1066"/>
      <c r="R657" s="327"/>
      <c r="S657" s="318">
        <v>5</v>
      </c>
      <c r="T657" s="319">
        <f>U657</f>
        <v>0</v>
      </c>
      <c r="U657" s="319">
        <f>G653</f>
        <v>0</v>
      </c>
      <c r="V657" s="321" t="s">
        <v>119</v>
      </c>
      <c r="W657" s="379"/>
      <c r="X657" s="366"/>
      <c r="Y657" s="206"/>
      <c r="Z657" s="206"/>
      <c r="AA657" s="368"/>
    </row>
    <row r="658" spans="1:28" ht="15" customHeight="1">
      <c r="A658" s="1062"/>
      <c r="B658" s="1055"/>
      <c r="C658" s="1055"/>
      <c r="D658" s="1055"/>
      <c r="E658" s="1057"/>
      <c r="F658" s="1058"/>
      <c r="G658" s="1058"/>
      <c r="H658" s="401"/>
      <c r="I658" s="1336"/>
      <c r="K658" s="338">
        <f>'Monthly Prod'!B23</f>
        <v>0</v>
      </c>
      <c r="L658" s="338">
        <f>'Monthly Prod'!C23</f>
        <v>0</v>
      </c>
      <c r="M658" s="338">
        <f>'Monthly Prod'!D23</f>
        <v>0</v>
      </c>
      <c r="N658" s="338">
        <f>'Monthly Prod'!E23</f>
        <v>0</v>
      </c>
      <c r="O658" s="338">
        <f>'Monthly Prod'!F23</f>
        <v>0</v>
      </c>
      <c r="P658" s="338">
        <f>'Monthly Prod'!H23</f>
        <v>0</v>
      </c>
      <c r="Q658" t="s">
        <v>134</v>
      </c>
      <c r="R658" s="339"/>
      <c r="S658" s="340" t="s">
        <v>121</v>
      </c>
      <c r="T658" s="319">
        <f>U658</f>
        <v>0</v>
      </c>
      <c r="U658" s="319">
        <f>G655</f>
        <v>0</v>
      </c>
      <c r="V658" s="321" t="s">
        <v>119</v>
      </c>
      <c r="W658" s="379"/>
      <c r="X658" s="380" t="s">
        <v>135</v>
      </c>
      <c r="Y658" s="381">
        <f>SUM(Y655:Y657)</f>
        <v>0</v>
      </c>
      <c r="Z658" s="381">
        <f>SUM(Z655:Z657)</f>
        <v>0</v>
      </c>
      <c r="AA658" s="381">
        <f>SUM(AA655:AA657)</f>
        <v>301.61</v>
      </c>
    </row>
    <row r="659" spans="1:28" ht="15" customHeight="1">
      <c r="A659" s="1062"/>
      <c r="B659" s="1055"/>
      <c r="C659" s="1055"/>
      <c r="D659" s="1055"/>
      <c r="E659" s="1057"/>
      <c r="F659" s="1058"/>
      <c r="G659" s="1058"/>
      <c r="H659" s="1065"/>
      <c r="I659" s="1336"/>
      <c r="K659" s="286" t="s">
        <v>136</v>
      </c>
      <c r="L659" s="286" t="s">
        <v>137</v>
      </c>
      <c r="M659" s="277" t="s">
        <v>4</v>
      </c>
      <c r="N659" s="277" t="s">
        <v>138</v>
      </c>
      <c r="O659" s="286" t="s">
        <v>139</v>
      </c>
      <c r="P659" s="286" t="s">
        <v>140</v>
      </c>
      <c r="R659" s="326" t="s">
        <v>141</v>
      </c>
      <c r="S659" s="236">
        <v>6</v>
      </c>
      <c r="T659" s="320">
        <v>0</v>
      </c>
      <c r="U659" s="320">
        <v>0</v>
      </c>
      <c r="V659" s="325"/>
      <c r="W659" s="379"/>
    </row>
    <row r="660" spans="1:28" ht="15" customHeight="1">
      <c r="A660" s="1062"/>
      <c r="B660" s="1055"/>
      <c r="C660" s="1055"/>
      <c r="D660" s="1055"/>
      <c r="E660" s="1057"/>
      <c r="F660" s="1058"/>
      <c r="G660" s="1058"/>
      <c r="H660" s="1065"/>
      <c r="I660" s="1336"/>
      <c r="K660" s="282">
        <f ca="1">SUM('Monthly Prod'!B3:B23)</f>
        <v>0</v>
      </c>
      <c r="L660" s="282">
        <f ca="1">SUM('Monthly Prod'!C3:C23)</f>
        <v>0</v>
      </c>
      <c r="M660" s="282">
        <f ca="1">SUM('Monthly Prod'!D3:D23)</f>
        <v>0</v>
      </c>
      <c r="N660" s="282">
        <f ca="1">SUM('Monthly Prod'!E3:E23)</f>
        <v>0</v>
      </c>
      <c r="O660" s="282">
        <f ca="1">SUM('Monthly Prod'!F3:F23)</f>
        <v>0</v>
      </c>
      <c r="P660" s="282">
        <f ca="1">SUM('Monthly Prod'!H3:H23)</f>
        <v>0</v>
      </c>
      <c r="Q660" t="s">
        <v>142</v>
      </c>
      <c r="R660" s="327"/>
      <c r="S660" s="341">
        <v>4.8</v>
      </c>
      <c r="T660" s="342"/>
      <c r="U660" s="342"/>
      <c r="V660" s="343"/>
      <c r="W660" s="379"/>
      <c r="X660" s="370" t="s">
        <v>143</v>
      </c>
      <c r="Y660" s="371"/>
      <c r="Z660" s="371" t="s">
        <v>127</v>
      </c>
      <c r="AA660" s="372" t="s">
        <v>128</v>
      </c>
    </row>
    <row r="661" spans="1:28" ht="15" customHeight="1">
      <c r="A661" s="1062"/>
      <c r="B661" s="1055"/>
      <c r="C661" s="1055"/>
      <c r="D661" s="1055"/>
      <c r="E661" s="1057"/>
      <c r="F661" s="1058"/>
      <c r="G661" s="1058"/>
      <c r="H661" s="1065"/>
      <c r="I661" s="1336"/>
      <c r="R661" s="327"/>
      <c r="S661" s="318">
        <v>4</v>
      </c>
      <c r="T661" s="319">
        <f>U661</f>
        <v>0</v>
      </c>
      <c r="U661" s="319">
        <f>G659</f>
        <v>0</v>
      </c>
      <c r="V661" s="321" t="s">
        <v>119</v>
      </c>
      <c r="W661" s="379"/>
      <c r="X661" s="366"/>
      <c r="Y661" s="206" t="s">
        <v>145</v>
      </c>
      <c r="Z661" s="282">
        <f>400+10-69.71-140.17-34.22-65.36-35.99-34.37</f>
        <v>30.180000000000042</v>
      </c>
      <c r="AA661" s="373" t="s">
        <v>146</v>
      </c>
    </row>
    <row r="662" spans="1:28" ht="15" customHeight="1">
      <c r="A662" s="1062"/>
      <c r="B662" s="1055"/>
      <c r="C662" s="1055"/>
      <c r="D662" s="1055"/>
      <c r="E662" s="1057"/>
      <c r="F662" s="1058"/>
      <c r="G662" s="1058"/>
      <c r="H662" s="1065"/>
      <c r="I662" s="1336"/>
      <c r="R662" s="327"/>
      <c r="S662" s="328"/>
      <c r="T662" s="329"/>
      <c r="U662" s="329"/>
      <c r="V662" s="324"/>
      <c r="W662" s="286"/>
      <c r="X662" s="374"/>
      <c r="Y662" s="206" t="s">
        <v>148</v>
      </c>
      <c r="Z662" s="282">
        <v>30.79</v>
      </c>
      <c r="AA662" s="369"/>
    </row>
    <row r="663" spans="1:28" ht="15" customHeight="1">
      <c r="A663" s="1062"/>
      <c r="B663" s="1055"/>
      <c r="C663" s="1055"/>
      <c r="D663" s="1055"/>
      <c r="E663" s="1057"/>
      <c r="F663" s="1058"/>
      <c r="G663" s="1058"/>
      <c r="H663" s="1065"/>
      <c r="I663" s="1055"/>
      <c r="R663" s="327"/>
      <c r="S663" s="318">
        <v>3</v>
      </c>
      <c r="T663" s="319">
        <f>U663</f>
        <v>0</v>
      </c>
      <c r="U663" s="319">
        <f>G658</f>
        <v>0</v>
      </c>
      <c r="V663" s="321" t="s">
        <v>119</v>
      </c>
      <c r="W663" s="379"/>
      <c r="X663" s="374"/>
      <c r="Y663" s="206" t="s">
        <v>133</v>
      </c>
      <c r="Z663" s="282">
        <v>0</v>
      </c>
      <c r="AA663" s="369">
        <f>320-74.38</f>
        <v>245.62</v>
      </c>
    </row>
    <row r="664" spans="1:28" ht="15" customHeight="1">
      <c r="A664" s="1337"/>
      <c r="B664" s="1337"/>
      <c r="C664" s="1337"/>
      <c r="D664" s="1337"/>
      <c r="E664" s="1337"/>
      <c r="F664" s="1337"/>
      <c r="G664" s="1067"/>
      <c r="H664" s="1067"/>
      <c r="I664" s="1068"/>
      <c r="R664" s="327"/>
      <c r="S664" s="328"/>
      <c r="T664" s="329"/>
      <c r="U664" s="329"/>
      <c r="V664" s="324"/>
      <c r="X664" s="366"/>
      <c r="Y664" s="206" t="s">
        <v>158</v>
      </c>
      <c r="Z664" s="282"/>
      <c r="AA664" s="368">
        <f>400.91-80.1-109.37-159.53-29.74</f>
        <v>22.170000000000055</v>
      </c>
    </row>
    <row r="665" spans="1:28" ht="15" customHeight="1">
      <c r="A665" s="1320"/>
      <c r="B665" s="1320"/>
      <c r="C665" s="1320"/>
      <c r="D665" s="1320"/>
      <c r="E665" s="1321"/>
      <c r="F665" s="1322"/>
      <c r="G665" s="1323"/>
      <c r="H665" s="1321"/>
      <c r="I665" s="1320"/>
      <c r="R665" s="327"/>
      <c r="S665" s="236">
        <v>5</v>
      </c>
      <c r="T665" s="320">
        <f>U665</f>
        <v>0</v>
      </c>
      <c r="U665" s="320">
        <f>G660</f>
        <v>0</v>
      </c>
      <c r="V665" s="325" t="s">
        <v>119</v>
      </c>
      <c r="X665" s="366"/>
      <c r="Y665" s="206" t="s">
        <v>150</v>
      </c>
      <c r="Z665" s="282"/>
      <c r="AA665" s="368">
        <f>1000-80.75-140.64-301.61</f>
        <v>477</v>
      </c>
    </row>
    <row r="666" spans="1:28" ht="15.75" customHeight="1">
      <c r="A666" s="1320"/>
      <c r="B666" s="1320"/>
      <c r="C666" s="1320"/>
      <c r="D666" s="1320"/>
      <c r="E666" s="1320"/>
      <c r="F666" s="1320"/>
      <c r="G666" s="1320"/>
      <c r="H666" s="1320"/>
      <c r="I666" s="1320"/>
      <c r="R666" s="327"/>
      <c r="S666" s="236">
        <v>4.8</v>
      </c>
      <c r="T666" s="320">
        <v>0</v>
      </c>
      <c r="U666" s="320">
        <v>0</v>
      </c>
      <c r="V666" s="325" t="s">
        <v>119</v>
      </c>
      <c r="X666" s="375"/>
      <c r="Y666" s="245" t="s">
        <v>158</v>
      </c>
      <c r="Z666" s="376"/>
      <c r="AA666" s="377">
        <f>500-370.26</f>
        <v>129.74</v>
      </c>
    </row>
    <row r="667" spans="1:28" ht="15" customHeight="1">
      <c r="A667" s="1072"/>
      <c r="B667" s="1072"/>
      <c r="C667" s="1072"/>
      <c r="D667" s="1072"/>
      <c r="E667" s="1072"/>
      <c r="F667" s="1072"/>
      <c r="G667" s="1073"/>
      <c r="H667" s="1074"/>
      <c r="I667" s="1075"/>
      <c r="R667" s="339"/>
      <c r="S667" s="236" t="s">
        <v>121</v>
      </c>
      <c r="T667" s="320">
        <v>0</v>
      </c>
      <c r="U667" s="320">
        <v>0</v>
      </c>
      <c r="V667" s="325" t="s">
        <v>119</v>
      </c>
      <c r="X667" s="1305" t="s">
        <v>159</v>
      </c>
      <c r="Y667" s="1305"/>
      <c r="Z667" s="1305" t="s">
        <v>160</v>
      </c>
      <c r="AA667" s="1305"/>
    </row>
    <row r="668" spans="1:28" ht="15" customHeight="1">
      <c r="A668" s="1056"/>
      <c r="B668" s="1055"/>
      <c r="C668" s="1056"/>
      <c r="D668" s="1325"/>
      <c r="E668" s="1325"/>
      <c r="F668" s="1325"/>
      <c r="G668" s="1058"/>
      <c r="H668" s="1059"/>
      <c r="I668" s="286"/>
      <c r="R668" s="339"/>
      <c r="S668" s="236">
        <v>5</v>
      </c>
      <c r="T668" s="320">
        <v>0</v>
      </c>
      <c r="U668" s="320">
        <v>0</v>
      </c>
      <c r="V668" s="325"/>
      <c r="X668" s="1340" t="s">
        <v>161</v>
      </c>
      <c r="Y668" s="1340"/>
      <c r="Z668" s="1340"/>
      <c r="AA668" s="1340"/>
      <c r="AB668" s="160">
        <f>Z669/251/6</f>
        <v>0.20027224435590971</v>
      </c>
    </row>
    <row r="669" spans="1:28" ht="15" customHeight="1">
      <c r="A669" s="1326"/>
      <c r="B669" s="1326"/>
      <c r="C669" s="1326"/>
      <c r="D669" s="1326"/>
      <c r="E669" s="1326"/>
      <c r="F669" s="1326"/>
      <c r="G669" s="1326"/>
      <c r="H669" s="1059"/>
      <c r="I669" s="286"/>
      <c r="R669" s="350"/>
      <c r="S669" s="211"/>
      <c r="T669" s="351">
        <f>SUM(T648:T668)</f>
        <v>0</v>
      </c>
      <c r="U669" s="351">
        <f>SUM(U648:U668)</f>
        <v>0</v>
      </c>
      <c r="V669" s="352"/>
      <c r="X669" s="383" t="s">
        <v>150</v>
      </c>
      <c r="Y669" s="384">
        <v>221.39</v>
      </c>
      <c r="Z669" s="1307">
        <v>301.61</v>
      </c>
      <c r="AA669" s="1307"/>
    </row>
    <row r="670" spans="1:28" ht="25.5" customHeight="1">
      <c r="A670" s="1076"/>
      <c r="B670" s="1076"/>
      <c r="C670" s="1075"/>
      <c r="D670" s="1069"/>
      <c r="E670" s="1070"/>
      <c r="F670" s="1071"/>
      <c r="G670" s="1067"/>
      <c r="H670" s="1059"/>
      <c r="I670" s="286"/>
      <c r="R670" s="350"/>
      <c r="S670" s="211"/>
      <c r="T670" s="211"/>
      <c r="U670" s="211"/>
      <c r="V670" s="352"/>
      <c r="X670" s="385" t="s">
        <v>158</v>
      </c>
      <c r="Y670" s="384">
        <v>668.9</v>
      </c>
      <c r="Z670" s="386"/>
      <c r="AA670" s="386"/>
    </row>
    <row r="671" spans="1:28" ht="15" customHeight="1">
      <c r="A671" s="1067"/>
      <c r="B671" s="1067"/>
      <c r="C671" s="1073"/>
      <c r="D671" s="1073"/>
      <c r="E671" s="1077"/>
      <c r="F671" s="1073"/>
      <c r="G671" s="1073"/>
      <c r="H671" s="1078"/>
      <c r="I671" s="286"/>
      <c r="R671" s="350"/>
      <c r="S671" s="211"/>
      <c r="T671" s="211"/>
      <c r="U671" s="211"/>
      <c r="V671" s="352"/>
    </row>
    <row r="672" spans="1:28" ht="15" customHeight="1">
      <c r="D672" s="1327"/>
      <c r="E672" s="1327"/>
      <c r="R672" s="350"/>
      <c r="S672" s="211"/>
      <c r="T672" s="211"/>
      <c r="U672" s="211"/>
      <c r="V672" s="352"/>
    </row>
    <row r="673" spans="1:27" ht="15.75" customHeight="1">
      <c r="A673" s="1330"/>
      <c r="B673" s="1330"/>
      <c r="C673" s="1330"/>
      <c r="D673" s="1330"/>
      <c r="E673" s="1330"/>
      <c r="F673" s="1330"/>
      <c r="G673" s="1330"/>
      <c r="H673" s="1330"/>
      <c r="I673" s="1330"/>
    </row>
    <row r="674" spans="1:27" ht="15" customHeight="1">
      <c r="A674" s="1331"/>
      <c r="B674" s="1331"/>
      <c r="C674" s="1331"/>
      <c r="D674" s="1331"/>
      <c r="E674" s="1331"/>
      <c r="F674" s="1331"/>
      <c r="G674" s="1331"/>
      <c r="H674" s="1331"/>
      <c r="I674" s="1331"/>
    </row>
    <row r="675" spans="1:27" ht="15" customHeight="1">
      <c r="A675" s="1054"/>
      <c r="B675" s="1055"/>
      <c r="C675" s="1056"/>
      <c r="D675" s="1056"/>
      <c r="E675" s="1057"/>
      <c r="F675" s="1058"/>
      <c r="G675" s="1058"/>
      <c r="H675" s="1059"/>
      <c r="I675" s="286"/>
    </row>
    <row r="676" spans="1:27" ht="15" customHeight="1">
      <c r="A676" s="1332"/>
      <c r="B676" s="1332"/>
      <c r="C676" s="1332"/>
      <c r="D676" s="1333"/>
      <c r="E676" s="1332"/>
      <c r="F676" s="1332"/>
      <c r="G676" s="1332"/>
      <c r="H676" s="1333"/>
      <c r="I676" s="1332"/>
    </row>
    <row r="677" spans="1:27" ht="38.25" customHeight="1">
      <c r="A677" s="1332"/>
      <c r="B677" s="1332"/>
      <c r="C677" s="1332"/>
      <c r="D677" s="1332"/>
      <c r="E677" s="1061"/>
      <c r="F677" s="1061"/>
      <c r="G677" s="1061"/>
      <c r="H677" s="1333"/>
      <c r="I677" s="1333"/>
    </row>
    <row r="678" spans="1:27" ht="15.75" customHeight="1">
      <c r="A678" s="1062"/>
      <c r="B678" s="1055"/>
      <c r="C678" s="1060"/>
      <c r="D678" s="1063"/>
      <c r="E678" s="1063"/>
      <c r="F678" s="1064"/>
      <c r="G678" s="1058"/>
      <c r="H678" s="1065"/>
      <c r="I678" s="1332"/>
      <c r="K678" s="8" t="s">
        <v>14</v>
      </c>
      <c r="L678" s="16">
        <f>'Daily Stock'!Q400</f>
        <v>0</v>
      </c>
      <c r="R678" s="309" t="s">
        <v>189</v>
      </c>
      <c r="S678" s="310"/>
    </row>
    <row r="679" spans="1:27" ht="18.75" customHeight="1">
      <c r="A679" s="1062"/>
      <c r="B679" s="1055"/>
      <c r="C679" s="1060"/>
      <c r="D679" s="1055"/>
      <c r="E679" s="1063"/>
      <c r="F679" s="1064"/>
      <c r="G679" s="1058"/>
      <c r="H679" s="1065"/>
      <c r="I679" s="1332"/>
      <c r="K679" s="8" t="s">
        <v>112</v>
      </c>
      <c r="L679" s="16">
        <f>'Daily Stock'!Q401</f>
        <v>0</v>
      </c>
      <c r="R679" s="311" t="s">
        <v>100</v>
      </c>
      <c r="S679" s="312"/>
      <c r="T679" s="313" t="s">
        <v>9</v>
      </c>
      <c r="U679" s="313" t="s">
        <v>113</v>
      </c>
      <c r="V679" s="314" t="s">
        <v>114</v>
      </c>
    </row>
    <row r="680" spans="1:27" ht="15" customHeight="1">
      <c r="A680" s="1062"/>
      <c r="B680" s="1055"/>
      <c r="C680" s="1055"/>
      <c r="D680" s="1055"/>
      <c r="E680" s="1057"/>
      <c r="F680" s="1058"/>
      <c r="G680" s="1058"/>
      <c r="H680" s="1065"/>
      <c r="I680" s="1334"/>
      <c r="K680" s="22" t="s">
        <v>117</v>
      </c>
      <c r="L680" s="16">
        <f>'Daily Stock'!Q402</f>
        <v>0</v>
      </c>
      <c r="R680" s="317" t="s">
        <v>118</v>
      </c>
      <c r="S680" s="318">
        <v>6</v>
      </c>
      <c r="T680" s="319">
        <f>U680</f>
        <v>0</v>
      </c>
      <c r="U680" s="320">
        <f>H680</f>
        <v>0</v>
      </c>
      <c r="V680" s="321" t="s">
        <v>119</v>
      </c>
    </row>
    <row r="681" spans="1:27" ht="15" customHeight="1">
      <c r="A681" s="1062"/>
      <c r="B681" s="1055"/>
      <c r="C681" s="1055"/>
      <c r="D681" s="1055"/>
      <c r="E681" s="1057"/>
      <c r="F681" s="1058"/>
      <c r="G681" s="1058"/>
      <c r="H681" s="1065"/>
      <c r="I681" s="1334"/>
      <c r="K681" s="22" t="s">
        <v>17</v>
      </c>
      <c r="L681" s="16">
        <f>'Daily Stock'!Q403</f>
        <v>0</v>
      </c>
      <c r="R681" s="317"/>
      <c r="S681" s="322"/>
      <c r="T681" s="323"/>
      <c r="U681" s="320">
        <v>0</v>
      </c>
      <c r="V681" s="324"/>
    </row>
    <row r="682" spans="1:27" ht="15" customHeight="1">
      <c r="A682" s="1062"/>
      <c r="B682" s="1055"/>
      <c r="C682" s="1055"/>
      <c r="D682" s="1055"/>
      <c r="E682" s="1057"/>
      <c r="F682" s="1058"/>
      <c r="G682" s="1058"/>
      <c r="H682" s="1065"/>
      <c r="I682" s="1334"/>
      <c r="K682" s="22" t="s">
        <v>18</v>
      </c>
      <c r="L682" s="16">
        <f>'Daily Stock'!Q404</f>
        <v>0</v>
      </c>
      <c r="R682" s="317"/>
      <c r="S682" s="236" t="s">
        <v>121</v>
      </c>
      <c r="T682" s="320">
        <v>0</v>
      </c>
      <c r="U682" s="320">
        <v>0</v>
      </c>
      <c r="V682" s="325"/>
    </row>
    <row r="683" spans="1:27" ht="15" customHeight="1">
      <c r="A683" s="1062"/>
      <c r="B683" s="1055"/>
      <c r="C683" s="1055"/>
      <c r="D683" s="1055"/>
      <c r="E683" s="1057"/>
      <c r="F683" s="1058"/>
      <c r="G683" s="1058"/>
      <c r="H683" s="1065"/>
      <c r="I683" s="1335"/>
      <c r="K683" s="22" t="s">
        <v>19</v>
      </c>
      <c r="L683" s="16">
        <f>'Daily Stock'!Q405</f>
        <v>0</v>
      </c>
      <c r="R683" s="326" t="s">
        <v>123</v>
      </c>
      <c r="S683" s="318">
        <v>6</v>
      </c>
      <c r="T683" s="319">
        <f>U683</f>
        <v>0</v>
      </c>
      <c r="U683" s="319">
        <f>H684</f>
        <v>0</v>
      </c>
      <c r="V683" s="321" t="s">
        <v>119</v>
      </c>
    </row>
    <row r="684" spans="1:27" ht="15" customHeight="1">
      <c r="A684" s="1062"/>
      <c r="B684" s="1055"/>
      <c r="C684" s="1055"/>
      <c r="D684" s="1055"/>
      <c r="E684" s="1057"/>
      <c r="F684" s="1058"/>
      <c r="G684" s="1058"/>
      <c r="H684" s="1065"/>
      <c r="I684" s="1335"/>
      <c r="K684" s="22" t="s">
        <v>20</v>
      </c>
      <c r="L684" s="16">
        <f>'Daily Stock'!Q406</f>
        <v>0</v>
      </c>
      <c r="R684" s="327"/>
      <c r="S684" s="328"/>
      <c r="T684" s="329"/>
      <c r="U684" s="329"/>
      <c r="V684" s="324"/>
    </row>
    <row r="685" spans="1:27" ht="15.75" customHeight="1">
      <c r="A685" s="1062"/>
      <c r="B685" s="1055"/>
      <c r="C685" s="1055"/>
      <c r="D685" s="1055"/>
      <c r="E685" s="1057"/>
      <c r="F685" s="1058"/>
      <c r="G685" s="1058"/>
      <c r="H685" s="1065"/>
      <c r="I685" s="1335"/>
      <c r="K685" s="22" t="s">
        <v>124</v>
      </c>
      <c r="L685" s="16">
        <f>'Daily Stock'!Q407</f>
        <v>0</v>
      </c>
      <c r="R685" s="327"/>
      <c r="S685" s="318">
        <v>4</v>
      </c>
      <c r="T685" s="319">
        <f>U685</f>
        <v>0</v>
      </c>
      <c r="U685" s="319">
        <f>G686</f>
        <v>0</v>
      </c>
      <c r="V685" s="321" t="s">
        <v>119</v>
      </c>
      <c r="X685" s="1304" t="str">
        <f>R678</f>
        <v>As on 22.10.2026</v>
      </c>
      <c r="Y685" s="1304"/>
      <c r="Z685" s="1304"/>
      <c r="AA685" s="1304"/>
    </row>
    <row r="686" spans="1:27" ht="15" customHeight="1">
      <c r="A686" s="1062"/>
      <c r="B686" s="1055"/>
      <c r="C686" s="1055"/>
      <c r="D686" s="1055"/>
      <c r="E686" s="1057"/>
      <c r="F686" s="1058"/>
      <c r="G686" s="1058"/>
      <c r="H686" s="1065"/>
      <c r="I686" s="1335"/>
      <c r="K686" s="22" t="s">
        <v>22</v>
      </c>
      <c r="L686" s="16">
        <f>'Daily Stock'!Q408</f>
        <v>0</v>
      </c>
      <c r="R686" s="327"/>
      <c r="S686" s="328"/>
      <c r="T686" s="329"/>
      <c r="U686" s="329"/>
      <c r="V686" s="324"/>
      <c r="X686" s="363" t="s">
        <v>125</v>
      </c>
      <c r="Y686" s="364" t="s">
        <v>126</v>
      </c>
      <c r="Z686" s="364" t="s">
        <v>127</v>
      </c>
      <c r="AA686" s="365" t="s">
        <v>128</v>
      </c>
    </row>
    <row r="687" spans="1:27" ht="15" customHeight="1">
      <c r="A687" s="1062"/>
      <c r="B687" s="1055"/>
      <c r="C687" s="1055"/>
      <c r="D687" s="1055"/>
      <c r="E687" s="1057"/>
      <c r="F687" s="1058"/>
      <c r="G687" s="1058"/>
      <c r="H687" s="1065"/>
      <c r="I687" s="1335"/>
      <c r="K687" s="22" t="s">
        <v>23</v>
      </c>
      <c r="L687" s="16">
        <f>'Daily Stock'!Q409</f>
        <v>0</v>
      </c>
      <c r="R687" s="327"/>
      <c r="S687" s="318">
        <v>3</v>
      </c>
      <c r="T687" s="319">
        <f>U687</f>
        <v>0</v>
      </c>
      <c r="U687" s="319">
        <f>G683</f>
        <v>0</v>
      </c>
      <c r="V687" s="321" t="s">
        <v>119</v>
      </c>
      <c r="X687" s="366" t="s">
        <v>129</v>
      </c>
      <c r="Y687" s="367">
        <f>I680</f>
        <v>0</v>
      </c>
      <c r="Z687" s="367">
        <f>I683</f>
        <v>0</v>
      </c>
      <c r="AA687" s="368">
        <f>I690</f>
        <v>0</v>
      </c>
    </row>
    <row r="688" spans="1:27" ht="15.75" customHeight="1">
      <c r="A688" s="1062"/>
      <c r="B688" s="1055"/>
      <c r="C688" s="1055"/>
      <c r="D688" s="1055"/>
      <c r="E688" s="1057"/>
      <c r="F688" s="1058"/>
      <c r="G688" s="1058"/>
      <c r="H688" s="1065"/>
      <c r="I688" s="1066"/>
      <c r="K688" s="25" t="s">
        <v>24</v>
      </c>
      <c r="L688" s="16">
        <f>'Daily Stock'!Q410</f>
        <v>0</v>
      </c>
      <c r="R688" s="327"/>
      <c r="S688" s="328"/>
      <c r="T688" s="329"/>
      <c r="U688" s="329"/>
      <c r="V688" s="324"/>
      <c r="W688" s="286"/>
      <c r="X688" s="366" t="s">
        <v>132</v>
      </c>
      <c r="Y688" s="206"/>
      <c r="Z688" s="367">
        <f>G689+G688</f>
        <v>0</v>
      </c>
      <c r="AA688" s="368">
        <f>G694+G693+G695</f>
        <v>0</v>
      </c>
    </row>
    <row r="689" spans="1:27" ht="15" customHeight="1">
      <c r="A689" s="1062"/>
      <c r="B689" s="1055"/>
      <c r="C689" s="1055"/>
      <c r="D689" s="1055"/>
      <c r="E689" s="1057"/>
      <c r="F689" s="1058"/>
      <c r="G689" s="1058"/>
      <c r="H689" s="1065"/>
      <c r="I689" s="1066"/>
      <c r="R689" s="327"/>
      <c r="S689" s="318">
        <v>5</v>
      </c>
      <c r="T689" s="319">
        <f>U689</f>
        <v>0</v>
      </c>
      <c r="U689" s="319">
        <f>G685</f>
        <v>0</v>
      </c>
      <c r="V689" s="321" t="s">
        <v>119</v>
      </c>
      <c r="W689" s="379"/>
      <c r="X689" s="366"/>
      <c r="Y689" s="206"/>
      <c r="Z689" s="206"/>
      <c r="AA689" s="368"/>
    </row>
    <row r="690" spans="1:27" ht="15" customHeight="1">
      <c r="A690" s="1062"/>
      <c r="B690" s="1055"/>
      <c r="C690" s="1055"/>
      <c r="D690" s="1055"/>
      <c r="E690" s="1057"/>
      <c r="F690" s="1058"/>
      <c r="G690" s="1058"/>
      <c r="H690" s="401"/>
      <c r="I690" s="1336"/>
      <c r="K690" s="338">
        <f>'Monthly Prod'!B24</f>
        <v>0</v>
      </c>
      <c r="L690" s="338">
        <f>'Monthly Prod'!C24</f>
        <v>0</v>
      </c>
      <c r="M690" s="338">
        <f>'Monthly Prod'!D24</f>
        <v>0</v>
      </c>
      <c r="N690" s="338">
        <f>'Monthly Prod'!E24</f>
        <v>0</v>
      </c>
      <c r="O690" s="338">
        <f>'Monthly Prod'!F24</f>
        <v>0</v>
      </c>
      <c r="P690" s="338">
        <f>'Monthly Prod'!H24</f>
        <v>0</v>
      </c>
      <c r="Q690" t="s">
        <v>134</v>
      </c>
      <c r="R690" s="339"/>
      <c r="S690" s="340" t="s">
        <v>121</v>
      </c>
      <c r="T690" s="319">
        <f>U690</f>
        <v>0</v>
      </c>
      <c r="U690" s="319">
        <f>G687</f>
        <v>0</v>
      </c>
      <c r="V690" s="321" t="s">
        <v>119</v>
      </c>
      <c r="W690" s="379"/>
      <c r="X690" s="380" t="s">
        <v>135</v>
      </c>
      <c r="Y690" s="381">
        <f>SUM(Y687:Y689)</f>
        <v>0</v>
      </c>
      <c r="Z690" s="381">
        <f>SUM(Z687:Z689)</f>
        <v>0</v>
      </c>
      <c r="AA690" s="381">
        <f>SUM(AA687:AA689)</f>
        <v>0</v>
      </c>
    </row>
    <row r="691" spans="1:27" ht="15" customHeight="1">
      <c r="A691" s="1062"/>
      <c r="B691" s="1055"/>
      <c r="C691" s="1055"/>
      <c r="D691" s="1055"/>
      <c r="E691" s="1057"/>
      <c r="F691" s="1058"/>
      <c r="G691" s="1058"/>
      <c r="H691" s="1065"/>
      <c r="I691" s="1336"/>
      <c r="K691" s="286" t="s">
        <v>136</v>
      </c>
      <c r="L691" s="286" t="s">
        <v>137</v>
      </c>
      <c r="M691" s="277" t="s">
        <v>4</v>
      </c>
      <c r="N691" s="277" t="s">
        <v>138</v>
      </c>
      <c r="O691" s="286" t="s">
        <v>139</v>
      </c>
      <c r="P691" s="286" t="s">
        <v>140</v>
      </c>
      <c r="R691" s="326" t="s">
        <v>141</v>
      </c>
      <c r="S691" s="236">
        <v>6</v>
      </c>
      <c r="T691" s="320">
        <v>0</v>
      </c>
      <c r="U691" s="320">
        <v>0</v>
      </c>
      <c r="V691" s="325"/>
      <c r="W691" s="379"/>
    </row>
    <row r="692" spans="1:27" ht="15" customHeight="1">
      <c r="A692" s="1062"/>
      <c r="B692" s="1055"/>
      <c r="C692" s="1055"/>
      <c r="D692" s="1055"/>
      <c r="E692" s="1057"/>
      <c r="F692" s="1058"/>
      <c r="G692" s="1058"/>
      <c r="H692" s="1065"/>
      <c r="I692" s="1336"/>
      <c r="K692" s="282">
        <f ca="1">SUM('Monthly Prod'!B3:B24)</f>
        <v>0</v>
      </c>
      <c r="L692" s="282">
        <f ca="1">SUM('Monthly Prod'!C3:C24)</f>
        <v>0</v>
      </c>
      <c r="M692" s="282">
        <f ca="1">SUM('Monthly Prod'!D3:D24)</f>
        <v>0</v>
      </c>
      <c r="N692" s="282">
        <f ca="1">SUM('Monthly Prod'!E3:E24)</f>
        <v>0</v>
      </c>
      <c r="O692" s="282">
        <f ca="1">SUM('Monthly Prod'!F3:F24)</f>
        <v>0</v>
      </c>
      <c r="P692" s="282">
        <f ca="1">SUM('Monthly Prod'!H3:H24)</f>
        <v>0</v>
      </c>
      <c r="Q692" t="s">
        <v>142</v>
      </c>
      <c r="R692" s="327"/>
      <c r="S692" s="341">
        <v>4.8</v>
      </c>
      <c r="T692" s="342"/>
      <c r="U692" s="342"/>
      <c r="V692" s="343"/>
      <c r="W692" s="379"/>
      <c r="X692" s="370" t="s">
        <v>143</v>
      </c>
      <c r="Y692" s="371"/>
      <c r="Z692" s="371" t="s">
        <v>127</v>
      </c>
      <c r="AA692" s="372" t="s">
        <v>128</v>
      </c>
    </row>
    <row r="693" spans="1:27" ht="15" customHeight="1">
      <c r="A693" s="1062"/>
      <c r="B693" s="1055"/>
      <c r="C693" s="1055"/>
      <c r="D693" s="1055"/>
      <c r="E693" s="1057"/>
      <c r="F693" s="1058"/>
      <c r="G693" s="1058"/>
      <c r="H693" s="1065"/>
      <c r="I693" s="1336"/>
      <c r="R693" s="327"/>
      <c r="S693" s="318">
        <v>4</v>
      </c>
      <c r="T693" s="319">
        <f>U693</f>
        <v>0</v>
      </c>
      <c r="U693" s="319">
        <f>G691</f>
        <v>0</v>
      </c>
      <c r="V693" s="321" t="s">
        <v>119</v>
      </c>
      <c r="W693" s="379"/>
      <c r="X693" s="366"/>
      <c r="Y693" s="206" t="s">
        <v>145</v>
      </c>
      <c r="Z693" s="282">
        <f>400+10-69.71-140.17-34.22-65.36-35.99-34.37</f>
        <v>30.180000000000042</v>
      </c>
      <c r="AA693" s="373" t="s">
        <v>146</v>
      </c>
    </row>
    <row r="694" spans="1:27" ht="15" customHeight="1">
      <c r="A694" s="1062"/>
      <c r="B694" s="1055"/>
      <c r="C694" s="1055"/>
      <c r="D694" s="1055"/>
      <c r="E694" s="1057"/>
      <c r="F694" s="1058"/>
      <c r="G694" s="1058"/>
      <c r="H694" s="1065"/>
      <c r="I694" s="1336"/>
      <c r="R694" s="327"/>
      <c r="S694" s="328"/>
      <c r="T694" s="329"/>
      <c r="U694" s="329"/>
      <c r="V694" s="324"/>
      <c r="W694" s="286"/>
      <c r="X694" s="374"/>
      <c r="Y694" s="206" t="s">
        <v>148</v>
      </c>
      <c r="Z694" s="282">
        <v>30.79</v>
      </c>
      <c r="AA694" s="369"/>
    </row>
    <row r="695" spans="1:27" ht="15" customHeight="1">
      <c r="A695" s="1062"/>
      <c r="B695" s="1055"/>
      <c r="C695" s="1055"/>
      <c r="D695" s="1055"/>
      <c r="E695" s="1057"/>
      <c r="F695" s="1058"/>
      <c r="G695" s="1058"/>
      <c r="H695" s="1065"/>
      <c r="I695" s="1055"/>
      <c r="R695" s="327"/>
      <c r="S695" s="318">
        <v>3</v>
      </c>
      <c r="T695" s="319">
        <f>U695</f>
        <v>0</v>
      </c>
      <c r="U695" s="319">
        <f>G690</f>
        <v>0</v>
      </c>
      <c r="V695" s="321" t="s">
        <v>119</v>
      </c>
      <c r="W695" s="379"/>
      <c r="X695" s="374"/>
      <c r="Y695" s="206" t="s">
        <v>133</v>
      </c>
      <c r="Z695" s="282">
        <v>0</v>
      </c>
      <c r="AA695" s="369">
        <f>320-74.38</f>
        <v>245.62</v>
      </c>
    </row>
    <row r="696" spans="1:27" ht="15" customHeight="1">
      <c r="A696" s="1337"/>
      <c r="B696" s="1337"/>
      <c r="C696" s="1337"/>
      <c r="D696" s="1337"/>
      <c r="E696" s="1337"/>
      <c r="F696" s="1337"/>
      <c r="G696" s="1067"/>
      <c r="H696" s="1067"/>
      <c r="I696" s="1068"/>
      <c r="R696" s="327"/>
      <c r="S696" s="328"/>
      <c r="T696" s="329"/>
      <c r="U696" s="329"/>
      <c r="V696" s="324"/>
      <c r="X696" s="366"/>
      <c r="Y696" s="206" t="s">
        <v>158</v>
      </c>
      <c r="Z696" s="282"/>
      <c r="AA696" s="368">
        <f>400.91-80.1-109.37-159.53-29.74</f>
        <v>22.170000000000055</v>
      </c>
    </row>
    <row r="697" spans="1:27" ht="15" customHeight="1">
      <c r="A697" s="1320"/>
      <c r="B697" s="1320"/>
      <c r="C697" s="1320"/>
      <c r="D697" s="1320"/>
      <c r="E697" s="1321"/>
      <c r="F697" s="1322"/>
      <c r="G697" s="1323"/>
      <c r="H697" s="1321"/>
      <c r="I697" s="1320"/>
      <c r="R697" s="327"/>
      <c r="S697" s="236">
        <v>5</v>
      </c>
      <c r="T697" s="320">
        <f>U697</f>
        <v>0</v>
      </c>
      <c r="U697" s="320">
        <f>G692</f>
        <v>0</v>
      </c>
      <c r="V697" s="325" t="s">
        <v>119</v>
      </c>
      <c r="X697" s="366"/>
      <c r="Y697" s="206" t="s">
        <v>150</v>
      </c>
      <c r="Z697" s="282"/>
      <c r="AA697" s="368">
        <f>1000-80.75-140.64-301.61-34.93</f>
        <v>442.07</v>
      </c>
    </row>
    <row r="698" spans="1:27" ht="15.75" customHeight="1">
      <c r="A698" s="1320"/>
      <c r="B698" s="1320"/>
      <c r="C698" s="1320"/>
      <c r="D698" s="1320"/>
      <c r="E698" s="1320"/>
      <c r="F698" s="1320"/>
      <c r="G698" s="1320"/>
      <c r="H698" s="1320"/>
      <c r="I698" s="1320"/>
      <c r="R698" s="327"/>
      <c r="S698" s="236">
        <v>4.8</v>
      </c>
      <c r="T698" s="320">
        <v>0</v>
      </c>
      <c r="U698" s="320">
        <v>0</v>
      </c>
      <c r="V698" s="325" t="s">
        <v>119</v>
      </c>
      <c r="X698" s="375"/>
      <c r="Y698" s="245" t="s">
        <v>158</v>
      </c>
      <c r="Z698" s="376"/>
      <c r="AA698" s="377">
        <f>500-370.26-99.63</f>
        <v>30.110000000000014</v>
      </c>
    </row>
    <row r="699" spans="1:27" ht="15" customHeight="1">
      <c r="A699" s="1072"/>
      <c r="B699" s="1072"/>
      <c r="C699" s="1072"/>
      <c r="D699" s="1072"/>
      <c r="E699" s="1072"/>
      <c r="F699" s="1072"/>
      <c r="G699" s="1073"/>
      <c r="H699" s="1074"/>
      <c r="I699" s="1075"/>
      <c r="R699" s="339"/>
      <c r="S699" s="236" t="s">
        <v>121</v>
      </c>
      <c r="T699" s="320">
        <v>0</v>
      </c>
      <c r="U699" s="320">
        <v>0</v>
      </c>
      <c r="V699" s="325" t="s">
        <v>119</v>
      </c>
      <c r="X699" s="1305" t="s">
        <v>159</v>
      </c>
      <c r="Y699" s="1305"/>
      <c r="Z699" s="1305" t="s">
        <v>160</v>
      </c>
      <c r="AA699" s="1305"/>
    </row>
    <row r="700" spans="1:27" ht="15" customHeight="1">
      <c r="A700" s="1056"/>
      <c r="B700" s="1055"/>
      <c r="C700" s="1056"/>
      <c r="D700" s="1325"/>
      <c r="E700" s="1325"/>
      <c r="F700" s="1325"/>
      <c r="G700" s="1058"/>
      <c r="H700" s="1059"/>
      <c r="I700" s="286"/>
      <c r="R700" s="339"/>
      <c r="S700" s="236">
        <v>5</v>
      </c>
      <c r="T700" s="320">
        <v>0</v>
      </c>
      <c r="U700" s="320">
        <v>0</v>
      </c>
      <c r="V700" s="325"/>
      <c r="X700" s="1306" t="s">
        <v>161</v>
      </c>
      <c r="Y700" s="1306"/>
      <c r="Z700" s="1306"/>
      <c r="AA700" s="1306"/>
    </row>
    <row r="701" spans="1:27" ht="15" customHeight="1">
      <c r="A701" s="1326"/>
      <c r="B701" s="1326"/>
      <c r="C701" s="1326"/>
      <c r="D701" s="1326"/>
      <c r="E701" s="1326"/>
      <c r="F701" s="1326"/>
      <c r="G701" s="1326"/>
      <c r="H701" s="1059"/>
      <c r="I701" s="286"/>
      <c r="R701" s="350"/>
      <c r="S701" s="211"/>
      <c r="T701" s="351">
        <f>SUM(T680:T700)</f>
        <v>0</v>
      </c>
      <c r="U701" s="351">
        <f>SUM(U680:U700)</f>
        <v>0</v>
      </c>
      <c r="V701" s="352"/>
      <c r="X701" s="383" t="s">
        <v>150</v>
      </c>
      <c r="Y701" s="384">
        <f>523+34.93</f>
        <v>557.92999999999995</v>
      </c>
      <c r="Z701" s="1307"/>
      <c r="AA701" s="1307"/>
    </row>
    <row r="702" spans="1:27" ht="25.5" customHeight="1">
      <c r="A702" s="1076"/>
      <c r="B702" s="1076"/>
      <c r="C702" s="1075"/>
      <c r="D702" s="1069"/>
      <c r="E702" s="1070"/>
      <c r="F702" s="1071"/>
      <c r="G702" s="1067"/>
      <c r="H702" s="1059"/>
      <c r="I702" s="286"/>
      <c r="R702" s="350"/>
      <c r="S702" s="211"/>
      <c r="T702" s="211"/>
      <c r="U702" s="211"/>
      <c r="V702" s="352"/>
      <c r="X702" s="385" t="s">
        <v>158</v>
      </c>
      <c r="Y702" s="384">
        <f>668.9+49.82</f>
        <v>718.72</v>
      </c>
      <c r="Z702" s="1307"/>
      <c r="AA702" s="1307"/>
    </row>
    <row r="703" spans="1:27" ht="15" customHeight="1">
      <c r="A703" s="1067"/>
      <c r="B703" s="1067"/>
      <c r="C703" s="1073"/>
      <c r="D703" s="1073"/>
      <c r="E703" s="1077"/>
      <c r="F703" s="1073"/>
      <c r="G703" s="1073"/>
      <c r="H703" s="1078"/>
      <c r="I703" s="286"/>
      <c r="R703" s="350"/>
      <c r="S703" s="211"/>
      <c r="T703" s="211"/>
      <c r="U703" s="211"/>
      <c r="V703" s="352"/>
    </row>
    <row r="704" spans="1:27" ht="15" customHeight="1">
      <c r="D704" s="1327"/>
      <c r="E704" s="1327"/>
      <c r="R704" s="350"/>
      <c r="S704" s="211"/>
      <c r="T704" s="211"/>
      <c r="U704" s="211"/>
      <c r="V704" s="352"/>
    </row>
    <row r="705" spans="1:27" ht="15.75" customHeight="1">
      <c r="A705" s="1330"/>
      <c r="B705" s="1330"/>
      <c r="C705" s="1330"/>
      <c r="D705" s="1330"/>
      <c r="E705" s="1330"/>
      <c r="F705" s="1330"/>
      <c r="G705" s="1330"/>
      <c r="H705" s="1330"/>
      <c r="I705" s="1330"/>
    </row>
    <row r="706" spans="1:27" ht="15" customHeight="1">
      <c r="A706" s="1331"/>
      <c r="B706" s="1331"/>
      <c r="C706" s="1331"/>
      <c r="D706" s="1331"/>
      <c r="E706" s="1331"/>
      <c r="F706" s="1331"/>
      <c r="G706" s="1331"/>
      <c r="H706" s="1331"/>
      <c r="I706" s="1331"/>
    </row>
    <row r="707" spans="1:27" ht="15" customHeight="1">
      <c r="A707" s="1054"/>
      <c r="B707" s="1055"/>
      <c r="C707" s="1056"/>
      <c r="D707" s="1056"/>
      <c r="E707" s="1057"/>
      <c r="F707" s="1058"/>
      <c r="G707" s="1058"/>
      <c r="H707" s="1059"/>
      <c r="I707" s="286"/>
    </row>
    <row r="708" spans="1:27" ht="15" customHeight="1">
      <c r="A708" s="1332"/>
      <c r="B708" s="1332"/>
      <c r="C708" s="1332"/>
      <c r="D708" s="1333"/>
      <c r="E708" s="1332"/>
      <c r="F708" s="1332"/>
      <c r="G708" s="1332"/>
      <c r="H708" s="1333"/>
      <c r="I708" s="1332"/>
    </row>
    <row r="709" spans="1:27" ht="38.25" customHeight="1">
      <c r="A709" s="1332"/>
      <c r="B709" s="1332"/>
      <c r="C709" s="1332"/>
      <c r="D709" s="1332"/>
      <c r="E709" s="1061"/>
      <c r="F709" s="1061"/>
      <c r="G709" s="1061"/>
      <c r="H709" s="1333"/>
      <c r="I709" s="1333"/>
    </row>
    <row r="710" spans="1:27" ht="15.75" customHeight="1">
      <c r="A710" s="1062"/>
      <c r="B710" s="1055"/>
      <c r="C710" s="1060"/>
      <c r="D710" s="1063"/>
      <c r="E710" s="1063"/>
      <c r="F710" s="1064"/>
      <c r="G710" s="1058"/>
      <c r="H710" s="1065"/>
      <c r="I710" s="1332"/>
      <c r="K710" s="8" t="s">
        <v>14</v>
      </c>
      <c r="L710" s="16">
        <f>'Daily Stock'!Q418</f>
        <v>0</v>
      </c>
      <c r="R710" s="309" t="s">
        <v>190</v>
      </c>
      <c r="S710" s="310"/>
    </row>
    <row r="711" spans="1:27" ht="18.75" customHeight="1">
      <c r="A711" s="1062"/>
      <c r="B711" s="1055"/>
      <c r="C711" s="1060"/>
      <c r="D711" s="1055"/>
      <c r="E711" s="1063"/>
      <c r="F711" s="1064"/>
      <c r="G711" s="1058"/>
      <c r="H711" s="1065"/>
      <c r="I711" s="1332"/>
      <c r="K711" s="8" t="s">
        <v>112</v>
      </c>
      <c r="L711" s="16">
        <f>'Daily Stock'!Q419</f>
        <v>0</v>
      </c>
      <c r="R711" s="311" t="s">
        <v>100</v>
      </c>
      <c r="S711" s="312"/>
      <c r="T711" s="313" t="s">
        <v>9</v>
      </c>
      <c r="U711" s="313" t="s">
        <v>113</v>
      </c>
      <c r="V711" s="314" t="s">
        <v>114</v>
      </c>
    </row>
    <row r="712" spans="1:27" ht="15" customHeight="1">
      <c r="A712" s="1062"/>
      <c r="B712" s="1055"/>
      <c r="C712" s="1055"/>
      <c r="D712" s="1055"/>
      <c r="E712" s="1057"/>
      <c r="F712" s="1058"/>
      <c r="G712" s="1058"/>
      <c r="H712" s="1065"/>
      <c r="I712" s="1334"/>
      <c r="K712" s="22" t="s">
        <v>117</v>
      </c>
      <c r="L712" s="16">
        <f>'Daily Stock'!Q420</f>
        <v>0</v>
      </c>
      <c r="R712" s="317" t="s">
        <v>118</v>
      </c>
      <c r="S712" s="318">
        <v>6</v>
      </c>
      <c r="T712" s="319">
        <f>U712</f>
        <v>0</v>
      </c>
      <c r="U712" s="320">
        <f>H712</f>
        <v>0</v>
      </c>
      <c r="V712" s="321" t="s">
        <v>119</v>
      </c>
    </row>
    <row r="713" spans="1:27" ht="15" customHeight="1">
      <c r="A713" s="1062"/>
      <c r="B713" s="1055"/>
      <c r="C713" s="1055"/>
      <c r="D713" s="1055"/>
      <c r="E713" s="1057"/>
      <c r="F713" s="1058"/>
      <c r="G713" s="1058"/>
      <c r="H713" s="1065"/>
      <c r="I713" s="1334"/>
      <c r="K713" s="22" t="s">
        <v>17</v>
      </c>
      <c r="L713" s="16">
        <f>'Daily Stock'!Q421</f>
        <v>0</v>
      </c>
      <c r="R713" s="317"/>
      <c r="S713" s="322"/>
      <c r="T713" s="323"/>
      <c r="U713" s="320">
        <v>0</v>
      </c>
      <c r="V713" s="324"/>
    </row>
    <row r="714" spans="1:27" ht="15" customHeight="1">
      <c r="A714" s="1062"/>
      <c r="B714" s="1055"/>
      <c r="C714" s="1055"/>
      <c r="D714" s="1055"/>
      <c r="E714" s="1057"/>
      <c r="F714" s="1058"/>
      <c r="G714" s="1058"/>
      <c r="H714" s="1065"/>
      <c r="I714" s="1334"/>
      <c r="K714" s="22" t="s">
        <v>18</v>
      </c>
      <c r="L714" s="16">
        <f>'Daily Stock'!Q422</f>
        <v>0</v>
      </c>
      <c r="R714" s="317"/>
      <c r="S714" s="236" t="s">
        <v>121</v>
      </c>
      <c r="T714" s="320">
        <v>0</v>
      </c>
      <c r="U714" s="320">
        <v>0</v>
      </c>
      <c r="V714" s="325"/>
    </row>
    <row r="715" spans="1:27" ht="15" customHeight="1">
      <c r="A715" s="1062"/>
      <c r="B715" s="1055"/>
      <c r="C715" s="1055"/>
      <c r="D715" s="1055"/>
      <c r="E715" s="1057"/>
      <c r="F715" s="1058"/>
      <c r="G715" s="1058"/>
      <c r="H715" s="1065"/>
      <c r="I715" s="1335"/>
      <c r="K715" s="22" t="s">
        <v>19</v>
      </c>
      <c r="L715" s="16">
        <f>'Daily Stock'!Q423</f>
        <v>0</v>
      </c>
      <c r="R715" s="326" t="s">
        <v>123</v>
      </c>
      <c r="S715" s="318">
        <v>6</v>
      </c>
      <c r="T715" s="319">
        <f>U715</f>
        <v>0</v>
      </c>
      <c r="U715" s="319">
        <f>H716</f>
        <v>0</v>
      </c>
      <c r="V715" s="321" t="s">
        <v>119</v>
      </c>
    </row>
    <row r="716" spans="1:27" ht="15" customHeight="1">
      <c r="A716" s="1062"/>
      <c r="B716" s="1055"/>
      <c r="C716" s="1055"/>
      <c r="D716" s="1055"/>
      <c r="E716" s="1057"/>
      <c r="F716" s="1058"/>
      <c r="G716" s="1058"/>
      <c r="H716" s="1065"/>
      <c r="I716" s="1335"/>
      <c r="K716" s="22" t="s">
        <v>20</v>
      </c>
      <c r="L716" s="16">
        <f>'Daily Stock'!Q424</f>
        <v>0</v>
      </c>
      <c r="R716" s="327"/>
      <c r="S716" s="328"/>
      <c r="T716" s="329"/>
      <c r="U716" s="329"/>
      <c r="V716" s="324"/>
    </row>
    <row r="717" spans="1:27" ht="15.75" customHeight="1">
      <c r="A717" s="1062"/>
      <c r="B717" s="1055"/>
      <c r="C717" s="1055"/>
      <c r="D717" s="1055"/>
      <c r="E717" s="1057"/>
      <c r="F717" s="1058"/>
      <c r="G717" s="1058"/>
      <c r="H717" s="1065"/>
      <c r="I717" s="1335"/>
      <c r="K717" s="22" t="s">
        <v>124</v>
      </c>
      <c r="L717" s="16">
        <f>'Daily Stock'!Q425</f>
        <v>0</v>
      </c>
      <c r="R717" s="327"/>
      <c r="S717" s="318">
        <v>4</v>
      </c>
      <c r="T717" s="319">
        <f>U717</f>
        <v>0</v>
      </c>
      <c r="U717" s="319">
        <f>G718</f>
        <v>0</v>
      </c>
      <c r="V717" s="321" t="s">
        <v>119</v>
      </c>
      <c r="X717" s="1304" t="s">
        <v>191</v>
      </c>
      <c r="Y717" s="1304"/>
      <c r="Z717" s="1304"/>
      <c r="AA717" s="1304"/>
    </row>
    <row r="718" spans="1:27" ht="15" customHeight="1">
      <c r="A718" s="1062"/>
      <c r="B718" s="1055"/>
      <c r="C718" s="1055"/>
      <c r="D718" s="1055"/>
      <c r="E718" s="1057"/>
      <c r="F718" s="1058"/>
      <c r="G718" s="1058"/>
      <c r="H718" s="1065"/>
      <c r="I718" s="1335"/>
      <c r="K718" s="22" t="s">
        <v>22</v>
      </c>
      <c r="L718" s="16">
        <f>'Daily Stock'!Q426</f>
        <v>0</v>
      </c>
      <c r="R718" s="327"/>
      <c r="S718" s="328"/>
      <c r="T718" s="329"/>
      <c r="U718" s="329"/>
      <c r="V718" s="324"/>
      <c r="X718" s="363" t="s">
        <v>125</v>
      </c>
      <c r="Y718" s="364" t="s">
        <v>126</v>
      </c>
      <c r="Z718" s="364" t="s">
        <v>127</v>
      </c>
      <c r="AA718" s="365" t="s">
        <v>128</v>
      </c>
    </row>
    <row r="719" spans="1:27" ht="15" customHeight="1">
      <c r="A719" s="1062"/>
      <c r="B719" s="1055"/>
      <c r="C719" s="1055"/>
      <c r="D719" s="1055"/>
      <c r="E719" s="1057"/>
      <c r="F719" s="1058"/>
      <c r="G719" s="1058"/>
      <c r="H719" s="1065"/>
      <c r="I719" s="1335"/>
      <c r="K719" s="22" t="s">
        <v>23</v>
      </c>
      <c r="L719" s="16">
        <f>'Daily Stock'!Q427</f>
        <v>0</v>
      </c>
      <c r="R719" s="327"/>
      <c r="S719" s="318">
        <v>3</v>
      </c>
      <c r="T719" s="319">
        <f>U719</f>
        <v>0</v>
      </c>
      <c r="U719" s="319">
        <f>G715</f>
        <v>0</v>
      </c>
      <c r="V719" s="321" t="s">
        <v>119</v>
      </c>
      <c r="X719" s="366" t="s">
        <v>129</v>
      </c>
      <c r="Y719" s="367">
        <f>I712</f>
        <v>0</v>
      </c>
      <c r="Z719" s="367">
        <f>I715</f>
        <v>0</v>
      </c>
      <c r="AA719" s="368">
        <f>I722</f>
        <v>0</v>
      </c>
    </row>
    <row r="720" spans="1:27" ht="15.75" customHeight="1">
      <c r="A720" s="1062"/>
      <c r="B720" s="1055"/>
      <c r="C720" s="1055"/>
      <c r="D720" s="1055"/>
      <c r="E720" s="1057"/>
      <c r="F720" s="1058"/>
      <c r="G720" s="1058"/>
      <c r="H720" s="1065"/>
      <c r="I720" s="1066"/>
      <c r="K720" s="25" t="s">
        <v>24</v>
      </c>
      <c r="L720" s="16">
        <f>'Daily Stock'!Q428</f>
        <v>0</v>
      </c>
      <c r="R720" s="327"/>
      <c r="S720" s="328"/>
      <c r="T720" s="329"/>
      <c r="U720" s="329"/>
      <c r="V720" s="324"/>
      <c r="W720" s="286"/>
      <c r="X720" s="366" t="s">
        <v>132</v>
      </c>
      <c r="Y720" s="206"/>
      <c r="Z720" s="367">
        <f>G721+G720</f>
        <v>0</v>
      </c>
      <c r="AA720" s="368">
        <f>G726+G725+G727</f>
        <v>0</v>
      </c>
    </row>
    <row r="721" spans="1:27" ht="15" customHeight="1">
      <c r="A721" s="1062"/>
      <c r="B721" s="1055"/>
      <c r="C721" s="1055"/>
      <c r="D721" s="1055"/>
      <c r="E721" s="1057"/>
      <c r="F721" s="1058"/>
      <c r="G721" s="1058"/>
      <c r="H721" s="1065"/>
      <c r="I721" s="1066"/>
      <c r="R721" s="327"/>
      <c r="S721" s="318">
        <v>5</v>
      </c>
      <c r="T721" s="319">
        <f>U721</f>
        <v>0</v>
      </c>
      <c r="U721" s="319">
        <f>G717</f>
        <v>0</v>
      </c>
      <c r="V721" s="321" t="s">
        <v>119</v>
      </c>
      <c r="W721" s="379"/>
      <c r="X721" s="366"/>
      <c r="Y721" s="206"/>
      <c r="Z721" s="206"/>
      <c r="AA721" s="368"/>
    </row>
    <row r="722" spans="1:27" ht="15" customHeight="1">
      <c r="A722" s="1062"/>
      <c r="B722" s="1055"/>
      <c r="C722" s="1055"/>
      <c r="D722" s="1055"/>
      <c r="E722" s="1057"/>
      <c r="F722" s="1058"/>
      <c r="G722" s="1058"/>
      <c r="H722" s="401"/>
      <c r="I722" s="1336"/>
      <c r="K722" s="338">
        <f>'Monthly Prod'!B25</f>
        <v>0</v>
      </c>
      <c r="L722" s="338">
        <f>'Monthly Prod'!C25</f>
        <v>0</v>
      </c>
      <c r="M722" s="338">
        <f>'Monthly Prod'!D25</f>
        <v>0</v>
      </c>
      <c r="N722" s="338">
        <f>'Monthly Prod'!E25</f>
        <v>0</v>
      </c>
      <c r="O722" s="338">
        <f>'Monthly Prod'!F25</f>
        <v>0</v>
      </c>
      <c r="P722" s="338">
        <f>'Monthly Prod'!H25</f>
        <v>0</v>
      </c>
      <c r="Q722" t="s">
        <v>134</v>
      </c>
      <c r="R722" s="339"/>
      <c r="S722" s="340" t="s">
        <v>121</v>
      </c>
      <c r="T722" s="319">
        <f>U722</f>
        <v>0</v>
      </c>
      <c r="U722" s="319">
        <f>G719</f>
        <v>0</v>
      </c>
      <c r="V722" s="321" t="s">
        <v>119</v>
      </c>
      <c r="W722" s="379"/>
      <c r="X722" s="380" t="s">
        <v>135</v>
      </c>
      <c r="Y722" s="381">
        <f>SUM(Y719:Y721)</f>
        <v>0</v>
      </c>
      <c r="Z722" s="381">
        <f>SUM(Z719:Z721)</f>
        <v>0</v>
      </c>
      <c r="AA722" s="381">
        <f>SUM(AA719:AA721)</f>
        <v>0</v>
      </c>
    </row>
    <row r="723" spans="1:27" ht="15" customHeight="1">
      <c r="A723" s="1062"/>
      <c r="B723" s="1055"/>
      <c r="C723" s="1055"/>
      <c r="D723" s="1055"/>
      <c r="E723" s="1057"/>
      <c r="F723" s="1058"/>
      <c r="G723" s="1058"/>
      <c r="H723" s="1065"/>
      <c r="I723" s="1336"/>
      <c r="K723" s="286" t="s">
        <v>136</v>
      </c>
      <c r="L723" s="286" t="s">
        <v>137</v>
      </c>
      <c r="M723" s="277" t="s">
        <v>4</v>
      </c>
      <c r="N723" s="277" t="s">
        <v>138</v>
      </c>
      <c r="O723" s="286" t="s">
        <v>139</v>
      </c>
      <c r="P723" s="286" t="s">
        <v>140</v>
      </c>
      <c r="R723" s="326" t="s">
        <v>141</v>
      </c>
      <c r="S723" s="236">
        <v>6</v>
      </c>
      <c r="T723" s="320">
        <v>0</v>
      </c>
      <c r="U723" s="320">
        <v>0</v>
      </c>
      <c r="V723" s="325"/>
      <c r="W723" s="379"/>
    </row>
    <row r="724" spans="1:27" ht="15" customHeight="1">
      <c r="A724" s="1062"/>
      <c r="B724" s="1055"/>
      <c r="C724" s="1055"/>
      <c r="D724" s="1055"/>
      <c r="E724" s="1057"/>
      <c r="F724" s="1058"/>
      <c r="G724" s="1058"/>
      <c r="H724" s="1065"/>
      <c r="I724" s="1336"/>
      <c r="K724" s="282">
        <f ca="1">SUM('Monthly Prod'!B3:B25)</f>
        <v>0</v>
      </c>
      <c r="L724" s="282">
        <f ca="1">SUM('Monthly Prod'!C3:C25)</f>
        <v>0</v>
      </c>
      <c r="M724" s="282">
        <f ca="1">SUM('Monthly Prod'!D3:D25)</f>
        <v>0</v>
      </c>
      <c r="N724" s="282">
        <f ca="1">SUM('Monthly Prod'!E3:E25)</f>
        <v>0</v>
      </c>
      <c r="O724" s="282">
        <f ca="1">SUM('Monthly Prod'!F3:F25)</f>
        <v>0</v>
      </c>
      <c r="P724" s="282">
        <f ca="1">SUM('Monthly Prod'!H3:H25)</f>
        <v>0</v>
      </c>
      <c r="Q724" t="s">
        <v>142</v>
      </c>
      <c r="R724" s="327"/>
      <c r="S724" s="341">
        <v>4.8</v>
      </c>
      <c r="T724" s="342"/>
      <c r="U724" s="342"/>
      <c r="V724" s="343"/>
      <c r="W724" s="379"/>
      <c r="X724" s="370" t="s">
        <v>143</v>
      </c>
      <c r="Y724" s="371"/>
      <c r="Z724" s="371" t="s">
        <v>127</v>
      </c>
      <c r="AA724" s="372" t="s">
        <v>128</v>
      </c>
    </row>
    <row r="725" spans="1:27" ht="15" customHeight="1">
      <c r="A725" s="1062"/>
      <c r="B725" s="1055"/>
      <c r="C725" s="1055"/>
      <c r="D725" s="1055"/>
      <c r="E725" s="1057"/>
      <c r="F725" s="1058"/>
      <c r="G725" s="1058"/>
      <c r="H725" s="1065"/>
      <c r="I725" s="1336"/>
      <c r="R725" s="327"/>
      <c r="S725" s="318">
        <v>4</v>
      </c>
      <c r="T725" s="319">
        <f>U725</f>
        <v>0</v>
      </c>
      <c r="U725" s="319">
        <f>G723</f>
        <v>0</v>
      </c>
      <c r="V725" s="321" t="s">
        <v>119</v>
      </c>
      <c r="W725" s="379"/>
      <c r="X725" s="366"/>
      <c r="Y725" s="206" t="s">
        <v>145</v>
      </c>
      <c r="Z725" s="282">
        <f>400+10-69.71-140.17-34.22-65.36-35.99-34.37</f>
        <v>30.180000000000042</v>
      </c>
      <c r="AA725" s="373" t="s">
        <v>146</v>
      </c>
    </row>
    <row r="726" spans="1:27" ht="15" customHeight="1">
      <c r="A726" s="1062"/>
      <c r="B726" s="1055"/>
      <c r="C726" s="1055"/>
      <c r="D726" s="1055"/>
      <c r="E726" s="1057"/>
      <c r="F726" s="1058"/>
      <c r="G726" s="1058"/>
      <c r="H726" s="1065"/>
      <c r="I726" s="1336"/>
      <c r="R726" s="327"/>
      <c r="S726" s="328"/>
      <c r="T726" s="329"/>
      <c r="U726" s="329"/>
      <c r="V726" s="324"/>
      <c r="W726" s="286"/>
      <c r="X726" s="374"/>
      <c r="Y726" s="206" t="s">
        <v>148</v>
      </c>
      <c r="Z726" s="282">
        <v>30.79</v>
      </c>
      <c r="AA726" s="369"/>
    </row>
    <row r="727" spans="1:27" ht="15" customHeight="1">
      <c r="A727" s="1062"/>
      <c r="B727" s="1055"/>
      <c r="C727" s="1055"/>
      <c r="D727" s="1055"/>
      <c r="E727" s="1057"/>
      <c r="F727" s="1058"/>
      <c r="G727" s="1058"/>
      <c r="H727" s="1065"/>
      <c r="I727" s="1055"/>
      <c r="R727" s="327"/>
      <c r="S727" s="318">
        <v>3</v>
      </c>
      <c r="T727" s="319">
        <f>U727</f>
        <v>0</v>
      </c>
      <c r="U727" s="319">
        <f>G722</f>
        <v>0</v>
      </c>
      <c r="V727" s="321" t="s">
        <v>119</v>
      </c>
      <c r="W727" s="379"/>
      <c r="X727" s="374"/>
      <c r="Y727" s="206" t="s">
        <v>133</v>
      </c>
      <c r="Z727" s="282">
        <v>0</v>
      </c>
      <c r="AA727" s="369">
        <f>320-74.38</f>
        <v>245.62</v>
      </c>
    </row>
    <row r="728" spans="1:27" ht="15" customHeight="1">
      <c r="A728" s="1337"/>
      <c r="B728" s="1337"/>
      <c r="C728" s="1337"/>
      <c r="D728" s="1337"/>
      <c r="E728" s="1337"/>
      <c r="F728" s="1337"/>
      <c r="G728" s="1067"/>
      <c r="H728" s="1067"/>
      <c r="I728" s="1068"/>
      <c r="R728" s="327"/>
      <c r="S728" s="328"/>
      <c r="T728" s="329"/>
      <c r="U728" s="329"/>
      <c r="V728" s="324"/>
      <c r="X728" s="366"/>
      <c r="Y728" s="206" t="s">
        <v>158</v>
      </c>
      <c r="Z728" s="282"/>
      <c r="AA728" s="368">
        <f>400.91-80.1-109.37-159.53-29.74</f>
        <v>22.170000000000055</v>
      </c>
    </row>
    <row r="729" spans="1:27" ht="15" customHeight="1">
      <c r="A729" s="1320"/>
      <c r="B729" s="1320"/>
      <c r="C729" s="1320"/>
      <c r="D729" s="1320"/>
      <c r="E729" s="1321"/>
      <c r="F729" s="1322"/>
      <c r="G729" s="1323"/>
      <c r="H729" s="1321"/>
      <c r="I729" s="1320"/>
      <c r="R729" s="327"/>
      <c r="S729" s="236">
        <v>5</v>
      </c>
      <c r="T729" s="320">
        <f>U729</f>
        <v>0</v>
      </c>
      <c r="U729" s="320">
        <f>G724</f>
        <v>0</v>
      </c>
      <c r="V729" s="325" t="s">
        <v>119</v>
      </c>
      <c r="X729" s="366"/>
      <c r="Y729" s="206" t="s">
        <v>150</v>
      </c>
      <c r="Z729" s="282"/>
      <c r="AA729" s="368">
        <f>1000-80.75-140.64-301.61-34.93</f>
        <v>442.07</v>
      </c>
    </row>
    <row r="730" spans="1:27" ht="15.75" customHeight="1">
      <c r="A730" s="1320"/>
      <c r="B730" s="1320"/>
      <c r="C730" s="1320"/>
      <c r="D730" s="1320"/>
      <c r="E730" s="1320"/>
      <c r="F730" s="1320"/>
      <c r="G730" s="1320"/>
      <c r="H730" s="1320"/>
      <c r="I730" s="1320"/>
      <c r="R730" s="327"/>
      <c r="S730" s="236">
        <v>4.8</v>
      </c>
      <c r="T730" s="320">
        <v>0</v>
      </c>
      <c r="U730" s="320">
        <v>0</v>
      </c>
      <c r="V730" s="325" t="s">
        <v>119</v>
      </c>
      <c r="X730" s="375"/>
      <c r="Y730" s="245" t="s">
        <v>158</v>
      </c>
      <c r="Z730" s="376"/>
      <c r="AA730" s="377">
        <f>500-370.26-99.63</f>
        <v>30.110000000000014</v>
      </c>
    </row>
    <row r="731" spans="1:27" ht="15" customHeight="1">
      <c r="A731" s="1072"/>
      <c r="B731" s="1072"/>
      <c r="C731" s="1072"/>
      <c r="D731" s="1072"/>
      <c r="E731" s="1072"/>
      <c r="F731" s="1072"/>
      <c r="G731" s="1073"/>
      <c r="H731" s="1074"/>
      <c r="I731" s="1075"/>
      <c r="R731" s="339"/>
      <c r="S731" s="236" t="s">
        <v>121</v>
      </c>
      <c r="T731" s="320">
        <v>0</v>
      </c>
      <c r="U731" s="320">
        <v>0</v>
      </c>
      <c r="V731" s="325" t="s">
        <v>119</v>
      </c>
      <c r="X731" s="1305" t="s">
        <v>159</v>
      </c>
      <c r="Y731" s="1305"/>
      <c r="Z731" s="1305" t="s">
        <v>160</v>
      </c>
      <c r="AA731" s="1305"/>
    </row>
    <row r="732" spans="1:27" ht="15" customHeight="1">
      <c r="A732" s="1056"/>
      <c r="B732" s="1055"/>
      <c r="C732" s="1056"/>
      <c r="D732" s="1325"/>
      <c r="E732" s="1325"/>
      <c r="F732" s="1325"/>
      <c r="G732" s="1058"/>
      <c r="H732" s="1059"/>
      <c r="I732" s="286"/>
      <c r="R732" s="339"/>
      <c r="S732" s="236">
        <v>5</v>
      </c>
      <c r="T732" s="320">
        <v>0</v>
      </c>
      <c r="U732" s="320">
        <v>0</v>
      </c>
      <c r="V732" s="325"/>
      <c r="X732" s="1306" t="s">
        <v>161</v>
      </c>
      <c r="Y732" s="1306"/>
      <c r="Z732" s="1306"/>
      <c r="AA732" s="1306"/>
    </row>
    <row r="733" spans="1:27" ht="15" customHeight="1">
      <c r="A733" s="1326"/>
      <c r="B733" s="1326"/>
      <c r="C733" s="1326"/>
      <c r="D733" s="1326"/>
      <c r="E733" s="1326"/>
      <c r="F733" s="1326"/>
      <c r="G733" s="1326"/>
      <c r="H733" s="1059"/>
      <c r="I733" s="286"/>
      <c r="R733" s="350"/>
      <c r="S733" s="211"/>
      <c r="T733" s="351">
        <f>SUM(T712:T732)</f>
        <v>0</v>
      </c>
      <c r="U733" s="351">
        <f>SUM(U712:U732)</f>
        <v>0</v>
      </c>
      <c r="V733" s="352"/>
      <c r="X733" s="383" t="s">
        <v>150</v>
      </c>
      <c r="Y733" s="384">
        <f>523+34.93</f>
        <v>557.92999999999995</v>
      </c>
      <c r="Z733" s="1307"/>
      <c r="AA733" s="1307"/>
    </row>
    <row r="734" spans="1:27" ht="25.5" customHeight="1">
      <c r="A734" s="1076"/>
      <c r="B734" s="1076"/>
      <c r="C734" s="1075"/>
      <c r="D734" s="1069"/>
      <c r="E734" s="1070"/>
      <c r="F734" s="1071"/>
      <c r="G734" s="1067"/>
      <c r="H734" s="1059"/>
      <c r="I734" s="286"/>
      <c r="R734" s="350"/>
      <c r="S734" s="211"/>
      <c r="T734" s="211"/>
      <c r="U734" s="211"/>
      <c r="V734" s="352"/>
      <c r="X734" s="385" t="s">
        <v>158</v>
      </c>
      <c r="Y734" s="384">
        <f>668.9+49.82</f>
        <v>718.72</v>
      </c>
      <c r="Z734" s="1307"/>
      <c r="AA734" s="1307"/>
    </row>
    <row r="735" spans="1:27" ht="15" customHeight="1">
      <c r="A735" s="1067"/>
      <c r="B735" s="1067"/>
      <c r="C735" s="1073"/>
      <c r="D735" s="1073"/>
      <c r="E735" s="1077"/>
      <c r="F735" s="1073"/>
      <c r="G735" s="1073"/>
      <c r="H735" s="1078"/>
      <c r="I735" s="286"/>
      <c r="R735" s="350"/>
      <c r="S735" s="211"/>
      <c r="T735" s="211"/>
      <c r="U735" s="211"/>
      <c r="V735" s="352"/>
    </row>
    <row r="736" spans="1:27" ht="15" customHeight="1">
      <c r="D736" s="1327"/>
      <c r="E736" s="1327"/>
      <c r="R736" s="350"/>
      <c r="S736" s="211"/>
      <c r="T736" s="211"/>
      <c r="U736" s="211"/>
      <c r="V736" s="352"/>
    </row>
    <row r="737" spans="1:27" ht="15.75" customHeight="1">
      <c r="A737" s="1330"/>
      <c r="B737" s="1330"/>
      <c r="C737" s="1330"/>
      <c r="D737" s="1330"/>
      <c r="E737" s="1330"/>
      <c r="F737" s="1330"/>
      <c r="G737" s="1330"/>
      <c r="H737" s="1330"/>
      <c r="I737" s="1330"/>
    </row>
    <row r="738" spans="1:27" ht="15" customHeight="1">
      <c r="A738" s="1331"/>
      <c r="B738" s="1331"/>
      <c r="C738" s="1331"/>
      <c r="D738" s="1331"/>
      <c r="E738" s="1331"/>
      <c r="F738" s="1331"/>
      <c r="G738" s="1331"/>
      <c r="H738" s="1331"/>
      <c r="I738" s="1331"/>
    </row>
    <row r="739" spans="1:27" ht="15" customHeight="1">
      <c r="A739" s="1054"/>
      <c r="B739" s="1055"/>
      <c r="C739" s="1056"/>
      <c r="D739" s="1056"/>
      <c r="E739" s="1057"/>
      <c r="F739" s="1058"/>
      <c r="G739" s="1058"/>
      <c r="H739" s="1059"/>
      <c r="I739" s="286"/>
    </row>
    <row r="740" spans="1:27" ht="15" customHeight="1">
      <c r="A740" s="1332"/>
      <c r="B740" s="1332"/>
      <c r="C740" s="1332"/>
      <c r="D740" s="1333"/>
      <c r="E740" s="1332"/>
      <c r="F740" s="1332"/>
      <c r="G740" s="1332"/>
      <c r="H740" s="1333"/>
      <c r="I740" s="1332"/>
    </row>
    <row r="741" spans="1:27" ht="38.25" customHeight="1">
      <c r="A741" s="1332"/>
      <c r="B741" s="1332"/>
      <c r="C741" s="1332"/>
      <c r="D741" s="1332"/>
      <c r="E741" s="1061"/>
      <c r="F741" s="1061"/>
      <c r="G741" s="1061"/>
      <c r="H741" s="1333"/>
      <c r="I741" s="1333"/>
    </row>
    <row r="742" spans="1:27" ht="15.75" customHeight="1">
      <c r="A742" s="1062"/>
      <c r="B742" s="1055"/>
      <c r="C742" s="1060"/>
      <c r="D742" s="1063"/>
      <c r="E742" s="1063"/>
      <c r="F742" s="1064"/>
      <c r="G742" s="1058"/>
      <c r="H742" s="1065"/>
      <c r="I742" s="1332"/>
      <c r="K742" s="8" t="s">
        <v>14</v>
      </c>
      <c r="L742" s="16">
        <f>'Daily Stock'!Q436</f>
        <v>0</v>
      </c>
      <c r="R742" s="309" t="s">
        <v>192</v>
      </c>
      <c r="S742" s="310"/>
    </row>
    <row r="743" spans="1:27" ht="18.75" customHeight="1">
      <c r="A743" s="1062"/>
      <c r="B743" s="1055"/>
      <c r="C743" s="1060"/>
      <c r="D743" s="1055"/>
      <c r="E743" s="1063"/>
      <c r="F743" s="1064"/>
      <c r="G743" s="1058"/>
      <c r="H743" s="1065"/>
      <c r="I743" s="1332"/>
      <c r="K743" s="8" t="s">
        <v>112</v>
      </c>
      <c r="L743" s="16">
        <f>'Daily Stock'!Q437</f>
        <v>0</v>
      </c>
      <c r="R743" s="311" t="s">
        <v>100</v>
      </c>
      <c r="S743" s="312"/>
      <c r="T743" s="313" t="s">
        <v>9</v>
      </c>
      <c r="U743" s="313" t="s">
        <v>113</v>
      </c>
      <c r="V743" s="314" t="s">
        <v>114</v>
      </c>
    </row>
    <row r="744" spans="1:27" ht="15" customHeight="1">
      <c r="A744" s="1062"/>
      <c r="B744" s="1055"/>
      <c r="C744" s="1055"/>
      <c r="D744" s="1055"/>
      <c r="E744" s="1057"/>
      <c r="F744" s="1058"/>
      <c r="G744" s="1058"/>
      <c r="H744" s="1065"/>
      <c r="I744" s="1334"/>
      <c r="K744" s="22" t="s">
        <v>117</v>
      </c>
      <c r="L744" s="16">
        <f>'Daily Stock'!Q438</f>
        <v>0</v>
      </c>
      <c r="R744" s="317" t="s">
        <v>118</v>
      </c>
      <c r="S744" s="318">
        <v>6</v>
      </c>
      <c r="T744" s="319">
        <f>U744</f>
        <v>0</v>
      </c>
      <c r="U744" s="320">
        <f>H744</f>
        <v>0</v>
      </c>
      <c r="V744" s="321" t="s">
        <v>119</v>
      </c>
    </row>
    <row r="745" spans="1:27" ht="15" customHeight="1">
      <c r="A745" s="1062"/>
      <c r="B745" s="1055"/>
      <c r="C745" s="1055"/>
      <c r="D745" s="1055"/>
      <c r="E745" s="1057"/>
      <c r="F745" s="1058"/>
      <c r="G745" s="1058"/>
      <c r="H745" s="1065"/>
      <c r="I745" s="1334"/>
      <c r="K745" s="22" t="s">
        <v>17</v>
      </c>
      <c r="L745" s="16">
        <f>'Daily Stock'!Q439</f>
        <v>0</v>
      </c>
      <c r="R745" s="317"/>
      <c r="S745" s="322"/>
      <c r="T745" s="323"/>
      <c r="U745" s="320">
        <v>0</v>
      </c>
      <c r="V745" s="324"/>
    </row>
    <row r="746" spans="1:27" ht="15" customHeight="1">
      <c r="A746" s="1062"/>
      <c r="B746" s="1055"/>
      <c r="C746" s="1055"/>
      <c r="D746" s="1055"/>
      <c r="E746" s="1057"/>
      <c r="F746" s="1058"/>
      <c r="G746" s="1058"/>
      <c r="H746" s="1065"/>
      <c r="I746" s="1334"/>
      <c r="K746" s="22" t="s">
        <v>18</v>
      </c>
      <c r="L746" s="16">
        <f>'Daily Stock'!Q440</f>
        <v>0</v>
      </c>
      <c r="R746" s="317"/>
      <c r="S746" s="236" t="s">
        <v>121</v>
      </c>
      <c r="T746" s="320">
        <v>0</v>
      </c>
      <c r="U746" s="320">
        <v>0</v>
      </c>
      <c r="V746" s="325"/>
    </row>
    <row r="747" spans="1:27" ht="15" customHeight="1">
      <c r="A747" s="1062"/>
      <c r="B747" s="1055"/>
      <c r="C747" s="1055"/>
      <c r="D747" s="1055"/>
      <c r="E747" s="1057"/>
      <c r="F747" s="1058"/>
      <c r="G747" s="1058"/>
      <c r="H747" s="1065"/>
      <c r="I747" s="1335"/>
      <c r="K747" s="22" t="s">
        <v>19</v>
      </c>
      <c r="L747" s="16">
        <f>'Daily Stock'!Q441</f>
        <v>0</v>
      </c>
      <c r="R747" s="326" t="s">
        <v>123</v>
      </c>
      <c r="S747" s="318">
        <v>6</v>
      </c>
      <c r="T747" s="319">
        <f>U747</f>
        <v>0</v>
      </c>
      <c r="U747" s="319">
        <f>H748</f>
        <v>0</v>
      </c>
      <c r="V747" s="321" t="s">
        <v>119</v>
      </c>
    </row>
    <row r="748" spans="1:27" ht="15" customHeight="1">
      <c r="A748" s="1062"/>
      <c r="B748" s="1055"/>
      <c r="C748" s="1055"/>
      <c r="D748" s="1055"/>
      <c r="E748" s="1057"/>
      <c r="F748" s="1058"/>
      <c r="G748" s="1058"/>
      <c r="H748" s="1065"/>
      <c r="I748" s="1335"/>
      <c r="K748" s="22" t="s">
        <v>20</v>
      </c>
      <c r="L748" s="16">
        <f>'Daily Stock'!Q442</f>
        <v>0</v>
      </c>
      <c r="R748" s="327"/>
      <c r="S748" s="328"/>
      <c r="T748" s="329"/>
      <c r="U748" s="329"/>
      <c r="V748" s="324"/>
    </row>
    <row r="749" spans="1:27" ht="15.75" customHeight="1">
      <c r="A749" s="1062"/>
      <c r="B749" s="1055"/>
      <c r="C749" s="1055"/>
      <c r="D749" s="1055"/>
      <c r="E749" s="1057"/>
      <c r="F749" s="1058"/>
      <c r="G749" s="1058"/>
      <c r="H749" s="1065"/>
      <c r="I749" s="1335"/>
      <c r="K749" s="22" t="s">
        <v>124</v>
      </c>
      <c r="L749" s="16">
        <f>'Daily Stock'!Q443</f>
        <v>0</v>
      </c>
      <c r="R749" s="327"/>
      <c r="S749" s="318">
        <v>4</v>
      </c>
      <c r="T749" s="319">
        <f>U749</f>
        <v>0</v>
      </c>
      <c r="U749" s="319">
        <f>G750</f>
        <v>0</v>
      </c>
      <c r="V749" s="321" t="s">
        <v>119</v>
      </c>
      <c r="X749" s="1304" t="s">
        <v>193</v>
      </c>
      <c r="Y749" s="1304"/>
      <c r="Z749" s="1304"/>
      <c r="AA749" s="1304"/>
    </row>
    <row r="750" spans="1:27" ht="15" customHeight="1">
      <c r="A750" s="1062"/>
      <c r="B750" s="1055"/>
      <c r="C750" s="1055"/>
      <c r="D750" s="1055"/>
      <c r="E750" s="1057"/>
      <c r="F750" s="1058"/>
      <c r="G750" s="1058"/>
      <c r="H750" s="1065"/>
      <c r="I750" s="1335"/>
      <c r="K750" s="22" t="s">
        <v>22</v>
      </c>
      <c r="L750" s="16">
        <f>'Daily Stock'!Q444</f>
        <v>0</v>
      </c>
      <c r="R750" s="327"/>
      <c r="S750" s="328"/>
      <c r="T750" s="329"/>
      <c r="U750" s="329"/>
      <c r="V750" s="324"/>
      <c r="X750" s="363" t="s">
        <v>125</v>
      </c>
      <c r="Y750" s="364" t="s">
        <v>126</v>
      </c>
      <c r="Z750" s="364" t="s">
        <v>127</v>
      </c>
      <c r="AA750" s="365" t="s">
        <v>128</v>
      </c>
    </row>
    <row r="751" spans="1:27" ht="15" customHeight="1">
      <c r="A751" s="1062"/>
      <c r="B751" s="1055"/>
      <c r="C751" s="1055"/>
      <c r="D751" s="1055"/>
      <c r="E751" s="1057"/>
      <c r="F751" s="1058"/>
      <c r="G751" s="1058"/>
      <c r="H751" s="1065"/>
      <c r="I751" s="1335"/>
      <c r="K751" s="22" t="s">
        <v>23</v>
      </c>
      <c r="L751" s="16">
        <f>'Daily Stock'!Q445</f>
        <v>0</v>
      </c>
      <c r="R751" s="327"/>
      <c r="S751" s="318">
        <v>3</v>
      </c>
      <c r="T751" s="319">
        <f>U751</f>
        <v>0</v>
      </c>
      <c r="U751" s="319">
        <f>G747</f>
        <v>0</v>
      </c>
      <c r="V751" s="321" t="s">
        <v>119</v>
      </c>
      <c r="X751" s="366" t="s">
        <v>129</v>
      </c>
      <c r="Y751" s="367">
        <f>I744</f>
        <v>0</v>
      </c>
      <c r="Z751" s="367">
        <f>I747</f>
        <v>0</v>
      </c>
      <c r="AA751" s="368">
        <f>I754</f>
        <v>0</v>
      </c>
    </row>
    <row r="752" spans="1:27" ht="15.75" customHeight="1">
      <c r="A752" s="1062"/>
      <c r="B752" s="1055"/>
      <c r="C752" s="1055"/>
      <c r="D752" s="1055"/>
      <c r="E752" s="1057"/>
      <c r="F752" s="1058"/>
      <c r="G752" s="1058"/>
      <c r="H752" s="1065"/>
      <c r="I752" s="1066"/>
      <c r="K752" s="25" t="s">
        <v>24</v>
      </c>
      <c r="L752" s="16">
        <f>'Daily Stock'!Q446</f>
        <v>0</v>
      </c>
      <c r="R752" s="327"/>
      <c r="S752" s="328"/>
      <c r="T752" s="329"/>
      <c r="U752" s="329"/>
      <c r="V752" s="324"/>
      <c r="W752" s="286"/>
      <c r="X752" s="366" t="s">
        <v>132</v>
      </c>
      <c r="Y752" s="206"/>
      <c r="Z752" s="367">
        <f>G753+G752</f>
        <v>0</v>
      </c>
      <c r="AA752" s="368">
        <f>G758+G757+G759</f>
        <v>0</v>
      </c>
    </row>
    <row r="753" spans="1:27" ht="15" customHeight="1">
      <c r="A753" s="1062"/>
      <c r="B753" s="1055"/>
      <c r="C753" s="1055"/>
      <c r="D753" s="1055"/>
      <c r="E753" s="1057"/>
      <c r="F753" s="1058"/>
      <c r="G753" s="1058"/>
      <c r="H753" s="1065"/>
      <c r="I753" s="1066"/>
      <c r="R753" s="327"/>
      <c r="S753" s="318">
        <v>5</v>
      </c>
      <c r="T753" s="319">
        <f>U753</f>
        <v>0</v>
      </c>
      <c r="U753" s="319">
        <f>G749</f>
        <v>0</v>
      </c>
      <c r="V753" s="321" t="s">
        <v>119</v>
      </c>
      <c r="W753" s="379"/>
      <c r="X753" s="366"/>
      <c r="Y753" s="206"/>
      <c r="Z753" s="206"/>
      <c r="AA753" s="368"/>
    </row>
    <row r="754" spans="1:27" ht="15" customHeight="1">
      <c r="A754" s="1062"/>
      <c r="B754" s="1055"/>
      <c r="C754" s="1055"/>
      <c r="D754" s="1055"/>
      <c r="E754" s="1057"/>
      <c r="F754" s="1058"/>
      <c r="G754" s="1058"/>
      <c r="H754" s="401"/>
      <c r="I754" s="1336"/>
      <c r="K754" s="338">
        <f>'Monthly Prod'!B26</f>
        <v>0</v>
      </c>
      <c r="L754" s="338">
        <f>'Monthly Prod'!C26</f>
        <v>0</v>
      </c>
      <c r="M754" s="338">
        <f>'Monthly Prod'!D26</f>
        <v>0</v>
      </c>
      <c r="N754" s="338">
        <f>'Monthly Prod'!E26</f>
        <v>0</v>
      </c>
      <c r="O754" s="338">
        <f>'Monthly Prod'!F26</f>
        <v>0</v>
      </c>
      <c r="P754" s="338">
        <f>'Monthly Prod'!H26</f>
        <v>0</v>
      </c>
      <c r="Q754" t="s">
        <v>134</v>
      </c>
      <c r="R754" s="339"/>
      <c r="S754" s="340" t="s">
        <v>121</v>
      </c>
      <c r="T754" s="319">
        <f>U754</f>
        <v>0</v>
      </c>
      <c r="U754" s="319">
        <f>G751</f>
        <v>0</v>
      </c>
      <c r="V754" s="321" t="s">
        <v>119</v>
      </c>
      <c r="W754" s="379"/>
      <c r="X754" s="380" t="s">
        <v>135</v>
      </c>
      <c r="Y754" s="381">
        <f>SUM(Y751:Y753)</f>
        <v>0</v>
      </c>
      <c r="Z754" s="381">
        <f>SUM(Z751:Z753)</f>
        <v>0</v>
      </c>
      <c r="AA754" s="381">
        <f>SUM(AA751:AA753)</f>
        <v>0</v>
      </c>
    </row>
    <row r="755" spans="1:27" ht="15" customHeight="1">
      <c r="A755" s="1062"/>
      <c r="B755" s="1055"/>
      <c r="C755" s="1055"/>
      <c r="D755" s="1055"/>
      <c r="E755" s="1057"/>
      <c r="F755" s="1058"/>
      <c r="G755" s="1058"/>
      <c r="H755" s="1065"/>
      <c r="I755" s="1336"/>
      <c r="K755" s="286" t="s">
        <v>136</v>
      </c>
      <c r="L755" s="286" t="s">
        <v>137</v>
      </c>
      <c r="M755" s="277" t="s">
        <v>4</v>
      </c>
      <c r="N755" s="277" t="s">
        <v>138</v>
      </c>
      <c r="O755" s="286" t="s">
        <v>139</v>
      </c>
      <c r="P755" s="286" t="s">
        <v>140</v>
      </c>
      <c r="R755" s="326" t="s">
        <v>141</v>
      </c>
      <c r="S755" s="236">
        <v>6</v>
      </c>
      <c r="T755" s="320">
        <v>0</v>
      </c>
      <c r="U755" s="320">
        <v>0</v>
      </c>
      <c r="V755" s="325"/>
      <c r="W755" s="379"/>
    </row>
    <row r="756" spans="1:27" ht="15" customHeight="1">
      <c r="A756" s="1062"/>
      <c r="B756" s="1055"/>
      <c r="C756" s="1055"/>
      <c r="D756" s="1055"/>
      <c r="E756" s="1057"/>
      <c r="F756" s="1058"/>
      <c r="G756" s="1058"/>
      <c r="H756" s="1065"/>
      <c r="I756" s="1336"/>
      <c r="K756" s="282">
        <f ca="1">SUM('Monthly Prod'!B3:B26)</f>
        <v>0</v>
      </c>
      <c r="L756" s="282">
        <f ca="1">SUM('Monthly Prod'!C3:C26)</f>
        <v>0</v>
      </c>
      <c r="M756" s="282">
        <f ca="1">SUM('Monthly Prod'!D3:D26)</f>
        <v>0</v>
      </c>
      <c r="N756" s="282">
        <f ca="1">SUM('Monthly Prod'!E3:E26)</f>
        <v>0</v>
      </c>
      <c r="O756" s="282">
        <f ca="1">SUM('Monthly Prod'!F3:F26)</f>
        <v>0</v>
      </c>
      <c r="P756" s="282">
        <f ca="1">SUM('Monthly Prod'!H3:H26)</f>
        <v>0</v>
      </c>
      <c r="Q756" t="s">
        <v>142</v>
      </c>
      <c r="R756" s="327"/>
      <c r="S756" s="341">
        <v>4.8</v>
      </c>
      <c r="T756" s="342"/>
      <c r="U756" s="342"/>
      <c r="V756" s="343"/>
      <c r="W756" s="379"/>
      <c r="X756" s="370" t="s">
        <v>143</v>
      </c>
      <c r="Y756" s="371"/>
      <c r="Z756" s="371" t="s">
        <v>127</v>
      </c>
      <c r="AA756" s="372" t="s">
        <v>128</v>
      </c>
    </row>
    <row r="757" spans="1:27" ht="15" customHeight="1">
      <c r="A757" s="1062"/>
      <c r="B757" s="1055"/>
      <c r="C757" s="1055"/>
      <c r="D757" s="1055"/>
      <c r="E757" s="1057"/>
      <c r="F757" s="1058"/>
      <c r="G757" s="1058"/>
      <c r="H757" s="1065"/>
      <c r="I757" s="1336"/>
      <c r="R757" s="327"/>
      <c r="S757" s="318">
        <v>4</v>
      </c>
      <c r="T757" s="319">
        <f>U757</f>
        <v>0</v>
      </c>
      <c r="U757" s="319">
        <f>G755</f>
        <v>0</v>
      </c>
      <c r="V757" s="321" t="s">
        <v>119</v>
      </c>
      <c r="W757" s="379"/>
      <c r="X757" s="366"/>
      <c r="Y757" s="206" t="s">
        <v>145</v>
      </c>
      <c r="Z757" s="282">
        <f>400+10-69.71-140.17-34.22-65.36-35.99-34.37</f>
        <v>30.180000000000042</v>
      </c>
      <c r="AA757" s="373" t="s">
        <v>146</v>
      </c>
    </row>
    <row r="758" spans="1:27" ht="15" customHeight="1">
      <c r="A758" s="1062"/>
      <c r="B758" s="1055"/>
      <c r="C758" s="1055"/>
      <c r="D758" s="1055"/>
      <c r="E758" s="1057"/>
      <c r="F758" s="1058"/>
      <c r="G758" s="1058"/>
      <c r="H758" s="1065"/>
      <c r="I758" s="1336"/>
      <c r="R758" s="327"/>
      <c r="S758" s="328"/>
      <c r="T758" s="329"/>
      <c r="U758" s="329"/>
      <c r="V758" s="324"/>
      <c r="W758" s="286"/>
      <c r="X758" s="374"/>
      <c r="Y758" s="206" t="s">
        <v>148</v>
      </c>
      <c r="Z758" s="282">
        <v>30.79</v>
      </c>
      <c r="AA758" s="369"/>
    </row>
    <row r="759" spans="1:27" ht="15" customHeight="1">
      <c r="A759" s="1062"/>
      <c r="B759" s="1055"/>
      <c r="C759" s="1055"/>
      <c r="D759" s="1055"/>
      <c r="E759" s="1057"/>
      <c r="F759" s="1058"/>
      <c r="G759" s="1058"/>
      <c r="H759" s="1065"/>
      <c r="I759" s="1055"/>
      <c r="R759" s="327"/>
      <c r="S759" s="318">
        <v>3</v>
      </c>
      <c r="T759" s="319">
        <f>U759</f>
        <v>0</v>
      </c>
      <c r="U759" s="319">
        <f>G754</f>
        <v>0</v>
      </c>
      <c r="V759" s="321" t="s">
        <v>119</v>
      </c>
      <c r="W759" s="379"/>
      <c r="X759" s="374"/>
      <c r="Y759" s="206" t="s">
        <v>133</v>
      </c>
      <c r="Z759" s="282">
        <v>0</v>
      </c>
      <c r="AA759" s="369">
        <f>320-74.38</f>
        <v>245.62</v>
      </c>
    </row>
    <row r="760" spans="1:27" ht="15" customHeight="1">
      <c r="A760" s="1337"/>
      <c r="B760" s="1337"/>
      <c r="C760" s="1337"/>
      <c r="D760" s="1337"/>
      <c r="E760" s="1337"/>
      <c r="F760" s="1337"/>
      <c r="G760" s="1067"/>
      <c r="H760" s="1067"/>
      <c r="I760" s="1068"/>
      <c r="R760" s="327"/>
      <c r="S760" s="328"/>
      <c r="T760" s="329"/>
      <c r="U760" s="329"/>
      <c r="V760" s="324"/>
      <c r="X760" s="366"/>
      <c r="Y760" s="206" t="s">
        <v>158</v>
      </c>
      <c r="Z760" s="282"/>
      <c r="AA760" s="368">
        <f>400.91-80.1-109.37-159.53-29.74</f>
        <v>22.170000000000055</v>
      </c>
    </row>
    <row r="761" spans="1:27" ht="15" customHeight="1">
      <c r="A761" s="1320"/>
      <c r="B761" s="1320"/>
      <c r="C761" s="1320"/>
      <c r="D761" s="1320"/>
      <c r="E761" s="1321"/>
      <c r="F761" s="1322"/>
      <c r="G761" s="1323"/>
      <c r="H761" s="1321"/>
      <c r="I761" s="1320"/>
      <c r="R761" s="327"/>
      <c r="S761" s="236">
        <v>5</v>
      </c>
      <c r="T761" s="320">
        <f>U761</f>
        <v>0</v>
      </c>
      <c r="U761" s="320">
        <f>G756</f>
        <v>0</v>
      </c>
      <c r="V761" s="325" t="s">
        <v>119</v>
      </c>
      <c r="X761" s="366"/>
      <c r="Y761" s="206" t="s">
        <v>150</v>
      </c>
      <c r="Z761" s="282"/>
      <c r="AA761" s="368">
        <f>1000-80.75-140.64-301.61-34.93-80.59</f>
        <v>361.48</v>
      </c>
    </row>
    <row r="762" spans="1:27" ht="15.75" customHeight="1">
      <c r="A762" s="1320"/>
      <c r="B762" s="1320"/>
      <c r="C762" s="1320"/>
      <c r="D762" s="1320"/>
      <c r="E762" s="1320"/>
      <c r="F762" s="1320"/>
      <c r="G762" s="1320"/>
      <c r="H762" s="1320"/>
      <c r="I762" s="1320"/>
      <c r="R762" s="327"/>
      <c r="S762" s="236">
        <v>4.8</v>
      </c>
      <c r="T762" s="320">
        <v>0</v>
      </c>
      <c r="U762" s="320">
        <v>0</v>
      </c>
      <c r="V762" s="325" t="s">
        <v>119</v>
      </c>
      <c r="X762" s="375"/>
      <c r="Y762" s="245" t="s">
        <v>158</v>
      </c>
      <c r="Z762" s="376"/>
      <c r="AA762" s="377">
        <f>500-370.26-99.63</f>
        <v>30.110000000000014</v>
      </c>
    </row>
    <row r="763" spans="1:27" ht="15" customHeight="1">
      <c r="A763" s="1072"/>
      <c r="B763" s="1072"/>
      <c r="C763" s="1072"/>
      <c r="D763" s="1072"/>
      <c r="E763" s="1072"/>
      <c r="F763" s="1072"/>
      <c r="G763" s="1073"/>
      <c r="H763" s="1074"/>
      <c r="I763" s="1075"/>
      <c r="R763" s="339"/>
      <c r="S763" s="236" t="s">
        <v>121</v>
      </c>
      <c r="T763" s="320">
        <v>0</v>
      </c>
      <c r="U763" s="320">
        <v>0</v>
      </c>
      <c r="V763" s="325" t="s">
        <v>119</v>
      </c>
      <c r="X763" s="1305" t="s">
        <v>159</v>
      </c>
      <c r="Y763" s="1305"/>
      <c r="Z763" s="1305" t="s">
        <v>160</v>
      </c>
      <c r="AA763" s="1305"/>
    </row>
    <row r="764" spans="1:27" ht="15" customHeight="1">
      <c r="A764" s="1056"/>
      <c r="B764" s="1055"/>
      <c r="C764" s="1056"/>
      <c r="D764" s="1325"/>
      <c r="E764" s="1325"/>
      <c r="F764" s="1325"/>
      <c r="G764" s="1058"/>
      <c r="H764" s="1059"/>
      <c r="I764" s="286"/>
      <c r="R764" s="339"/>
      <c r="S764" s="236">
        <v>5</v>
      </c>
      <c r="T764" s="320">
        <v>0</v>
      </c>
      <c r="U764" s="320">
        <v>0</v>
      </c>
      <c r="V764" s="325"/>
      <c r="X764" s="1306" t="s">
        <v>161</v>
      </c>
      <c r="Y764" s="1306"/>
      <c r="Z764" s="1306"/>
      <c r="AA764" s="1306"/>
    </row>
    <row r="765" spans="1:27" ht="15" customHeight="1">
      <c r="A765" s="1326"/>
      <c r="B765" s="1326"/>
      <c r="C765" s="1326"/>
      <c r="D765" s="1326"/>
      <c r="E765" s="1326"/>
      <c r="F765" s="1326"/>
      <c r="G765" s="1326"/>
      <c r="H765" s="1059"/>
      <c r="I765" s="286"/>
      <c r="R765" s="350"/>
      <c r="S765" s="211"/>
      <c r="T765" s="351">
        <f>SUM(T744:T764)</f>
        <v>0</v>
      </c>
      <c r="U765" s="351">
        <f>SUM(U744:U764)</f>
        <v>0</v>
      </c>
      <c r="V765" s="352"/>
      <c r="X765" s="383" t="s">
        <v>150</v>
      </c>
      <c r="Y765" s="384">
        <f>523+34.93+80.59</f>
        <v>638.52</v>
      </c>
      <c r="Z765" s="1307"/>
      <c r="AA765" s="1307"/>
    </row>
    <row r="766" spans="1:27" ht="25.5" customHeight="1">
      <c r="A766" s="1076"/>
      <c r="B766" s="1076"/>
      <c r="C766" s="1075"/>
      <c r="D766" s="1069"/>
      <c r="E766" s="1070"/>
      <c r="F766" s="1071"/>
      <c r="G766" s="1067"/>
      <c r="H766" s="1059"/>
      <c r="I766" s="286"/>
      <c r="R766" s="350"/>
      <c r="S766" s="211"/>
      <c r="T766" s="211"/>
      <c r="U766" s="211"/>
      <c r="V766" s="352"/>
      <c r="X766" s="385" t="s">
        <v>158</v>
      </c>
      <c r="Y766" s="384">
        <f>668.9+49.82</f>
        <v>718.72</v>
      </c>
      <c r="Z766" s="1307"/>
      <c r="AA766" s="1307"/>
    </row>
    <row r="767" spans="1:27" ht="15" customHeight="1">
      <c r="A767" s="1067"/>
      <c r="B767" s="1067"/>
      <c r="C767" s="1073"/>
      <c r="D767" s="1073"/>
      <c r="E767" s="1077"/>
      <c r="F767" s="1073"/>
      <c r="G767" s="1073"/>
      <c r="H767" s="1078"/>
      <c r="I767" s="286"/>
      <c r="R767" s="350"/>
      <c r="S767" s="211"/>
      <c r="T767" s="211"/>
      <c r="U767" s="211"/>
      <c r="V767" s="352"/>
    </row>
    <row r="768" spans="1:27" ht="15" customHeight="1">
      <c r="D768" s="1327"/>
      <c r="E768" s="1327"/>
      <c r="R768" s="350"/>
      <c r="S768" s="211"/>
      <c r="T768" s="211"/>
      <c r="U768" s="211"/>
      <c r="V768" s="352"/>
    </row>
    <row r="769" spans="1:27" ht="15.75" customHeight="1">
      <c r="A769" s="1330"/>
      <c r="B769" s="1330"/>
      <c r="C769" s="1330"/>
      <c r="D769" s="1330"/>
      <c r="E769" s="1330"/>
      <c r="F769" s="1330"/>
      <c r="G769" s="1330"/>
      <c r="H769" s="1330"/>
      <c r="I769" s="1330"/>
    </row>
    <row r="770" spans="1:27" ht="15" customHeight="1">
      <c r="A770" s="1331"/>
      <c r="B770" s="1331"/>
      <c r="C770" s="1331"/>
      <c r="D770" s="1331"/>
      <c r="E770" s="1331"/>
      <c r="F770" s="1331"/>
      <c r="G770" s="1331"/>
      <c r="H770" s="1331"/>
      <c r="I770" s="1331"/>
    </row>
    <row r="771" spans="1:27" ht="15" customHeight="1">
      <c r="A771" s="1054"/>
      <c r="B771" s="1055"/>
      <c r="C771" s="1056"/>
      <c r="D771" s="1056"/>
      <c r="E771" s="1057"/>
      <c r="F771" s="1058"/>
      <c r="G771" s="1058"/>
      <c r="H771" s="1059"/>
      <c r="I771" s="286"/>
    </row>
    <row r="772" spans="1:27" ht="15" customHeight="1">
      <c r="A772" s="1332"/>
      <c r="B772" s="1332"/>
      <c r="C772" s="1332"/>
      <c r="D772" s="1333"/>
      <c r="E772" s="1332"/>
      <c r="F772" s="1332"/>
      <c r="G772" s="1332"/>
      <c r="H772" s="1333"/>
      <c r="I772" s="1332"/>
    </row>
    <row r="773" spans="1:27" ht="38.25" customHeight="1">
      <c r="A773" s="1332"/>
      <c r="B773" s="1332"/>
      <c r="C773" s="1332"/>
      <c r="D773" s="1332"/>
      <c r="E773" s="1061"/>
      <c r="F773" s="1061"/>
      <c r="G773" s="1061"/>
      <c r="H773" s="1333"/>
      <c r="I773" s="1333"/>
    </row>
    <row r="774" spans="1:27" ht="15.75" customHeight="1">
      <c r="A774" s="1062"/>
      <c r="B774" s="1055"/>
      <c r="C774" s="1060"/>
      <c r="D774" s="1063"/>
      <c r="E774" s="1063"/>
      <c r="F774" s="1064"/>
      <c r="G774" s="1058"/>
      <c r="H774" s="1065"/>
      <c r="I774" s="1332"/>
      <c r="K774" s="8" t="s">
        <v>14</v>
      </c>
      <c r="L774" s="16">
        <f>'Daily Stock'!Q454</f>
        <v>0</v>
      </c>
      <c r="R774" s="309" t="s">
        <v>194</v>
      </c>
      <c r="S774" s="310"/>
    </row>
    <row r="775" spans="1:27" ht="18.75" customHeight="1">
      <c r="A775" s="1062"/>
      <c r="B775" s="1055"/>
      <c r="C775" s="1060"/>
      <c r="D775" s="1055"/>
      <c r="E775" s="1063"/>
      <c r="F775" s="1064"/>
      <c r="G775" s="1058"/>
      <c r="H775" s="1065"/>
      <c r="I775" s="1332"/>
      <c r="K775" s="8" t="s">
        <v>112</v>
      </c>
      <c r="L775" s="16">
        <f>'Daily Stock'!Q455</f>
        <v>0</v>
      </c>
      <c r="R775" s="311" t="s">
        <v>100</v>
      </c>
      <c r="S775" s="312"/>
      <c r="T775" s="313" t="s">
        <v>9</v>
      </c>
      <c r="U775" s="313" t="s">
        <v>113</v>
      </c>
      <c r="V775" s="314" t="s">
        <v>114</v>
      </c>
    </row>
    <row r="776" spans="1:27" ht="15" customHeight="1">
      <c r="A776" s="1062"/>
      <c r="B776" s="1055"/>
      <c r="C776" s="1055"/>
      <c r="D776" s="1055"/>
      <c r="E776" s="1057"/>
      <c r="F776" s="1058"/>
      <c r="G776" s="1058"/>
      <c r="H776" s="1065"/>
      <c r="I776" s="1334"/>
      <c r="K776" s="22" t="s">
        <v>117</v>
      </c>
      <c r="L776" s="16">
        <f>'Daily Stock'!Q456</f>
        <v>0</v>
      </c>
      <c r="R776" s="317" t="s">
        <v>118</v>
      </c>
      <c r="S776" s="318">
        <v>6</v>
      </c>
      <c r="T776" s="319">
        <f>U776</f>
        <v>0</v>
      </c>
      <c r="U776" s="320">
        <f>H776</f>
        <v>0</v>
      </c>
      <c r="V776" s="321" t="s">
        <v>119</v>
      </c>
    </row>
    <row r="777" spans="1:27" ht="15" customHeight="1">
      <c r="A777" s="1062"/>
      <c r="B777" s="1055"/>
      <c r="C777" s="1055"/>
      <c r="D777" s="1055"/>
      <c r="E777" s="1057"/>
      <c r="F777" s="1058"/>
      <c r="G777" s="1058"/>
      <c r="H777" s="1065"/>
      <c r="I777" s="1334"/>
      <c r="K777" s="22" t="s">
        <v>17</v>
      </c>
      <c r="L777" s="16">
        <f>'Daily Stock'!Q457</f>
        <v>0</v>
      </c>
      <c r="R777" s="317"/>
      <c r="S777" s="322"/>
      <c r="T777" s="323"/>
      <c r="U777" s="320">
        <v>0</v>
      </c>
      <c r="V777" s="324"/>
    </row>
    <row r="778" spans="1:27" ht="15" customHeight="1">
      <c r="A778" s="1062"/>
      <c r="B778" s="1055"/>
      <c r="C778" s="1055"/>
      <c r="D778" s="1055"/>
      <c r="E778" s="1057"/>
      <c r="F778" s="1058"/>
      <c r="G778" s="1058"/>
      <c r="H778" s="1065"/>
      <c r="I778" s="1334"/>
      <c r="K778" s="22" t="s">
        <v>18</v>
      </c>
      <c r="L778" s="16">
        <f>'Daily Stock'!Q458</f>
        <v>0</v>
      </c>
      <c r="R778" s="317"/>
      <c r="S778" s="236" t="s">
        <v>121</v>
      </c>
      <c r="T778" s="320">
        <v>0</v>
      </c>
      <c r="U778" s="320">
        <v>0</v>
      </c>
      <c r="V778" s="325"/>
    </row>
    <row r="779" spans="1:27" ht="15" customHeight="1">
      <c r="A779" s="1062"/>
      <c r="B779" s="1055"/>
      <c r="C779" s="1055"/>
      <c r="D779" s="1055"/>
      <c r="E779" s="1057"/>
      <c r="F779" s="1058"/>
      <c r="G779" s="1058"/>
      <c r="H779" s="1065"/>
      <c r="I779" s="1335"/>
      <c r="K779" s="22" t="s">
        <v>19</v>
      </c>
      <c r="L779" s="16">
        <f>'Daily Stock'!Q459</f>
        <v>0</v>
      </c>
      <c r="R779" s="326" t="s">
        <v>123</v>
      </c>
      <c r="S779" s="318">
        <v>6</v>
      </c>
      <c r="T779" s="319">
        <f>U779</f>
        <v>0</v>
      </c>
      <c r="U779" s="319">
        <f>H780</f>
        <v>0</v>
      </c>
      <c r="V779" s="321" t="s">
        <v>119</v>
      </c>
    </row>
    <row r="780" spans="1:27" ht="15" customHeight="1">
      <c r="A780" s="1062"/>
      <c r="B780" s="1055"/>
      <c r="C780" s="1055"/>
      <c r="D780" s="1055"/>
      <c r="E780" s="1057"/>
      <c r="F780" s="1058"/>
      <c r="G780" s="1058"/>
      <c r="H780" s="1065"/>
      <c r="I780" s="1335"/>
      <c r="K780" s="22" t="s">
        <v>20</v>
      </c>
      <c r="L780" s="16">
        <f>'Daily Stock'!Q460</f>
        <v>0</v>
      </c>
      <c r="R780" s="327"/>
      <c r="S780" s="328"/>
      <c r="T780" s="329"/>
      <c r="U780" s="329"/>
      <c r="V780" s="324"/>
    </row>
    <row r="781" spans="1:27" ht="15.75" customHeight="1">
      <c r="A781" s="1062"/>
      <c r="B781" s="1055"/>
      <c r="C781" s="1055"/>
      <c r="D781" s="1055"/>
      <c r="E781" s="1057"/>
      <c r="F781" s="1058"/>
      <c r="G781" s="1058"/>
      <c r="H781" s="1065"/>
      <c r="I781" s="1335"/>
      <c r="K781" s="22" t="s">
        <v>124</v>
      </c>
      <c r="L781" s="16">
        <f>'Daily Stock'!Q461</f>
        <v>0</v>
      </c>
      <c r="R781" s="327"/>
      <c r="S781" s="318">
        <v>4</v>
      </c>
      <c r="T781" s="319">
        <f>U781</f>
        <v>0</v>
      </c>
      <c r="U781" s="319">
        <f>G782</f>
        <v>0</v>
      </c>
      <c r="V781" s="321" t="s">
        <v>119</v>
      </c>
      <c r="X781" s="1304" t="s">
        <v>195</v>
      </c>
      <c r="Y781" s="1304"/>
      <c r="Z781" s="1304"/>
      <c r="AA781" s="1304"/>
    </row>
    <row r="782" spans="1:27" ht="15" customHeight="1">
      <c r="A782" s="1062"/>
      <c r="B782" s="1055"/>
      <c r="C782" s="1055"/>
      <c r="D782" s="1055"/>
      <c r="E782" s="1057"/>
      <c r="F782" s="1058"/>
      <c r="G782" s="1058"/>
      <c r="H782" s="1065"/>
      <c r="I782" s="1335"/>
      <c r="K782" s="22" t="s">
        <v>22</v>
      </c>
      <c r="L782" s="16">
        <f>'Daily Stock'!Q462</f>
        <v>0</v>
      </c>
      <c r="R782" s="327"/>
      <c r="S782" s="328"/>
      <c r="T782" s="329"/>
      <c r="U782" s="329"/>
      <c r="V782" s="324"/>
      <c r="X782" s="363" t="s">
        <v>125</v>
      </c>
      <c r="Y782" s="364" t="s">
        <v>126</v>
      </c>
      <c r="Z782" s="364" t="s">
        <v>127</v>
      </c>
      <c r="AA782" s="365" t="s">
        <v>128</v>
      </c>
    </row>
    <row r="783" spans="1:27" ht="15" customHeight="1">
      <c r="A783" s="1062"/>
      <c r="B783" s="1055"/>
      <c r="C783" s="1055"/>
      <c r="D783" s="1055"/>
      <c r="E783" s="1057"/>
      <c r="F783" s="1058"/>
      <c r="G783" s="1058"/>
      <c r="H783" s="1065"/>
      <c r="I783" s="1335"/>
      <c r="K783" s="22" t="s">
        <v>23</v>
      </c>
      <c r="L783" s="16">
        <f>'Daily Stock'!Q463</f>
        <v>0</v>
      </c>
      <c r="R783" s="327"/>
      <c r="S783" s="318">
        <v>3</v>
      </c>
      <c r="T783" s="319">
        <f>U783</f>
        <v>0</v>
      </c>
      <c r="U783" s="319">
        <f>G779</f>
        <v>0</v>
      </c>
      <c r="V783" s="321" t="s">
        <v>119</v>
      </c>
      <c r="X783" s="366" t="s">
        <v>129</v>
      </c>
      <c r="Y783" s="367">
        <f>I776</f>
        <v>0</v>
      </c>
      <c r="Z783" s="367">
        <f>I779</f>
        <v>0</v>
      </c>
      <c r="AA783" s="368">
        <f>I786</f>
        <v>0</v>
      </c>
    </row>
    <row r="784" spans="1:27" ht="15" customHeight="1">
      <c r="A784" s="1062"/>
      <c r="B784" s="1055"/>
      <c r="C784" s="1055"/>
      <c r="D784" s="1055"/>
      <c r="E784" s="1057"/>
      <c r="F784" s="1058"/>
      <c r="G784" s="1058"/>
      <c r="H784" s="1065"/>
      <c r="I784" s="1066"/>
      <c r="K784" t="s">
        <v>24</v>
      </c>
      <c r="L784" s="160">
        <f>'Daily Stock'!Q464</f>
        <v>0</v>
      </c>
      <c r="R784" s="327"/>
      <c r="S784" s="328"/>
      <c r="T784" s="329"/>
      <c r="U784" s="329"/>
      <c r="V784" s="324"/>
      <c r="W784" s="286"/>
      <c r="X784" s="366" t="s">
        <v>132</v>
      </c>
      <c r="Y784" s="206"/>
      <c r="Z784" s="367">
        <f>G785+G784</f>
        <v>0</v>
      </c>
      <c r="AA784" s="368">
        <f>G790+G789+G791+34.58</f>
        <v>34.58</v>
      </c>
    </row>
    <row r="785" spans="1:29" ht="15" customHeight="1">
      <c r="A785" s="1062"/>
      <c r="B785" s="1055"/>
      <c r="C785" s="1055"/>
      <c r="D785" s="1055"/>
      <c r="E785" s="1057"/>
      <c r="F785" s="1058"/>
      <c r="G785" s="1058"/>
      <c r="H785" s="1065"/>
      <c r="I785" s="1066"/>
      <c r="R785" s="327"/>
      <c r="S785" s="318">
        <v>5</v>
      </c>
      <c r="T785" s="319">
        <f>U785</f>
        <v>0</v>
      </c>
      <c r="U785" s="319">
        <f>G781</f>
        <v>0</v>
      </c>
      <c r="V785" s="321" t="s">
        <v>119</v>
      </c>
      <c r="W785" s="379"/>
      <c r="X785" s="366"/>
      <c r="Y785" s="206"/>
      <c r="Z785" s="206"/>
      <c r="AA785" s="368"/>
    </row>
    <row r="786" spans="1:29" ht="15" customHeight="1">
      <c r="A786" s="1062"/>
      <c r="B786" s="1055"/>
      <c r="C786" s="1055"/>
      <c r="D786" s="1055"/>
      <c r="E786" s="1057"/>
      <c r="F786" s="1058"/>
      <c r="G786" s="1058"/>
      <c r="H786" s="401"/>
      <c r="I786" s="1336"/>
      <c r="K786" s="338">
        <f>'Monthly Prod'!B27</f>
        <v>0</v>
      </c>
      <c r="L786" s="338">
        <f>'Monthly Prod'!C27</f>
        <v>0</v>
      </c>
      <c r="M786" s="338">
        <f>'Monthly Prod'!D27</f>
        <v>0</v>
      </c>
      <c r="N786" s="338">
        <f>'Monthly Prod'!E27</f>
        <v>0</v>
      </c>
      <c r="O786" s="338">
        <f>'Monthly Prod'!F27</f>
        <v>0</v>
      </c>
      <c r="P786" s="338">
        <f>'Monthly Prod'!H27</f>
        <v>0</v>
      </c>
      <c r="Q786" t="s">
        <v>134</v>
      </c>
      <c r="R786" s="339"/>
      <c r="S786" s="340" t="s">
        <v>121</v>
      </c>
      <c r="T786" s="319">
        <f>U786</f>
        <v>0</v>
      </c>
      <c r="U786" s="319">
        <f>G783</f>
        <v>0</v>
      </c>
      <c r="V786" s="321" t="s">
        <v>119</v>
      </c>
      <c r="W786" s="379"/>
      <c r="X786" s="380" t="s">
        <v>135</v>
      </c>
      <c r="Y786" s="381">
        <f>SUM(Y783:Y785)</f>
        <v>0</v>
      </c>
      <c r="Z786" s="381">
        <f>SUM(Z783:Z785)</f>
        <v>0</v>
      </c>
      <c r="AA786" s="381">
        <f>SUM(AA783:AA785)</f>
        <v>34.58</v>
      </c>
    </row>
    <row r="787" spans="1:29" ht="15" customHeight="1">
      <c r="A787" s="1062"/>
      <c r="B787" s="1055"/>
      <c r="C787" s="1055"/>
      <c r="D787" s="1055"/>
      <c r="E787" s="1057"/>
      <c r="F787" s="1058"/>
      <c r="G787" s="1058"/>
      <c r="H787" s="1065"/>
      <c r="I787" s="1336"/>
      <c r="K787" s="286" t="s">
        <v>136</v>
      </c>
      <c r="L787" s="286" t="s">
        <v>137</v>
      </c>
      <c r="M787" s="277" t="s">
        <v>4</v>
      </c>
      <c r="N787" s="277" t="s">
        <v>138</v>
      </c>
      <c r="O787" s="286" t="s">
        <v>139</v>
      </c>
      <c r="P787" s="286" t="s">
        <v>140</v>
      </c>
      <c r="R787" s="326" t="s">
        <v>141</v>
      </c>
      <c r="S787" s="236">
        <v>6</v>
      </c>
      <c r="T787" s="320">
        <v>0</v>
      </c>
      <c r="U787" s="320">
        <v>0</v>
      </c>
      <c r="V787" s="325"/>
      <c r="W787" s="379"/>
    </row>
    <row r="788" spans="1:29" ht="15" customHeight="1">
      <c r="A788" s="1062"/>
      <c r="B788" s="1055"/>
      <c r="C788" s="1055"/>
      <c r="D788" s="1055"/>
      <c r="E788" s="1057"/>
      <c r="F788" s="1058"/>
      <c r="G788" s="1058"/>
      <c r="H788" s="1065"/>
      <c r="I788" s="1336"/>
      <c r="K788" s="282">
        <f ca="1">SUM('Monthly Prod'!B3:B27)</f>
        <v>0</v>
      </c>
      <c r="L788" s="282">
        <f ca="1">SUM('Monthly Prod'!C3:C27)</f>
        <v>0</v>
      </c>
      <c r="M788" s="282">
        <f ca="1">SUM('Monthly Prod'!D3:D27)</f>
        <v>0</v>
      </c>
      <c r="N788" s="282">
        <f ca="1">SUM('Monthly Prod'!E3:E27)</f>
        <v>0</v>
      </c>
      <c r="O788" s="282">
        <f ca="1">SUM('Monthly Prod'!F3:F27)</f>
        <v>0</v>
      </c>
      <c r="P788" s="282">
        <f ca="1">SUM('Monthly Prod'!H3:H27)</f>
        <v>0</v>
      </c>
      <c r="Q788" t="s">
        <v>142</v>
      </c>
      <c r="R788" s="327"/>
      <c r="S788" s="341">
        <v>4.8</v>
      </c>
      <c r="T788" s="342"/>
      <c r="U788" s="342"/>
      <c r="V788" s="343"/>
      <c r="W788" s="379"/>
      <c r="X788" s="370" t="s">
        <v>143</v>
      </c>
      <c r="Y788" s="371"/>
      <c r="Z788" s="371" t="s">
        <v>127</v>
      </c>
      <c r="AA788" s="372" t="s">
        <v>128</v>
      </c>
    </row>
    <row r="789" spans="1:29" ht="15" customHeight="1">
      <c r="A789" s="1062"/>
      <c r="B789" s="1055"/>
      <c r="C789" s="1055"/>
      <c r="D789" s="1055"/>
      <c r="E789" s="1057"/>
      <c r="F789" s="1058"/>
      <c r="G789" s="1058"/>
      <c r="H789" s="1065"/>
      <c r="I789" s="1336"/>
      <c r="R789" s="327"/>
      <c r="S789" s="318">
        <v>4</v>
      </c>
      <c r="T789" s="319">
        <f>U789</f>
        <v>0</v>
      </c>
      <c r="U789" s="319">
        <f>G787</f>
        <v>0</v>
      </c>
      <c r="V789" s="321" t="s">
        <v>119</v>
      </c>
      <c r="W789" s="379"/>
      <c r="X789" s="366"/>
      <c r="Y789" s="206" t="s">
        <v>145</v>
      </c>
      <c r="Z789" s="282">
        <f>400+10-69.71-140.17-34.22-65.36-35.99-34.37</f>
        <v>30.180000000000042</v>
      </c>
      <c r="AA789" s="373" t="s">
        <v>146</v>
      </c>
    </row>
    <row r="790" spans="1:29" ht="15" customHeight="1">
      <c r="A790" s="1062"/>
      <c r="B790" s="1055"/>
      <c r="C790" s="1055"/>
      <c r="D790" s="1055"/>
      <c r="E790" s="1057"/>
      <c r="F790" s="1058"/>
      <c r="G790" s="1058"/>
      <c r="H790" s="1065"/>
      <c r="I790" s="1336"/>
      <c r="R790" s="327"/>
      <c r="S790" s="328"/>
      <c r="T790" s="329"/>
      <c r="U790" s="329"/>
      <c r="V790" s="324"/>
      <c r="W790" s="286"/>
      <c r="X790" s="374"/>
      <c r="Y790" s="206" t="s">
        <v>148</v>
      </c>
      <c r="Z790" s="282">
        <v>30.79</v>
      </c>
      <c r="AA790" s="369"/>
    </row>
    <row r="791" spans="1:29" ht="15" customHeight="1">
      <c r="A791" s="1062"/>
      <c r="B791" s="1055"/>
      <c r="C791" s="1055"/>
      <c r="D791" s="1055"/>
      <c r="E791" s="1057"/>
      <c r="F791" s="1058"/>
      <c r="G791" s="1058"/>
      <c r="H791" s="1065"/>
      <c r="I791" s="1055"/>
      <c r="R791" s="327"/>
      <c r="S791" s="318">
        <v>3</v>
      </c>
      <c r="T791" s="319">
        <f>U791</f>
        <v>0</v>
      </c>
      <c r="U791" s="319">
        <f>G786</f>
        <v>0</v>
      </c>
      <c r="V791" s="321" t="s">
        <v>119</v>
      </c>
      <c r="W791" s="379"/>
      <c r="X791" s="374"/>
      <c r="Y791" s="206" t="s">
        <v>133</v>
      </c>
      <c r="Z791" s="282">
        <v>0</v>
      </c>
      <c r="AA791" s="369">
        <f>320-74.38-79.4</f>
        <v>166.22</v>
      </c>
    </row>
    <row r="792" spans="1:29" ht="15" customHeight="1">
      <c r="A792" s="1337"/>
      <c r="B792" s="1337"/>
      <c r="C792" s="1337"/>
      <c r="D792" s="1337"/>
      <c r="E792" s="1337"/>
      <c r="F792" s="1337"/>
      <c r="G792" s="1067"/>
      <c r="H792" s="1067"/>
      <c r="I792" s="1068"/>
      <c r="R792" s="327"/>
      <c r="S792" s="328"/>
      <c r="T792" s="329"/>
      <c r="U792" s="329"/>
      <c r="V792" s="324"/>
      <c r="X792" s="366"/>
      <c r="Y792" s="206" t="s">
        <v>150</v>
      </c>
      <c r="Z792" s="282"/>
      <c r="AA792" s="368">
        <f>1000-80.75-140.64-301.61-34.93-80.59-34.73</f>
        <v>326.75</v>
      </c>
      <c r="AC792" s="387"/>
    </row>
    <row r="793" spans="1:29" ht="15.75" customHeight="1">
      <c r="A793" s="1320"/>
      <c r="B793" s="1320"/>
      <c r="C793" s="1320"/>
      <c r="D793" s="1320"/>
      <c r="E793" s="1321"/>
      <c r="F793" s="1322"/>
      <c r="G793" s="1323"/>
      <c r="H793" s="1321"/>
      <c r="I793" s="1320"/>
      <c r="R793" s="327"/>
      <c r="S793" s="236">
        <v>5</v>
      </c>
      <c r="T793" s="320">
        <f>U793</f>
        <v>0</v>
      </c>
      <c r="U793" s="320">
        <f>G788</f>
        <v>0</v>
      </c>
      <c r="V793" s="325" t="s">
        <v>119</v>
      </c>
      <c r="X793" s="375"/>
      <c r="Y793" s="245" t="s">
        <v>158</v>
      </c>
      <c r="Z793" s="376"/>
      <c r="AA793" s="377">
        <f>400.91+500-370.26-99.63-69.08-80.1-109.37-159.53-29.74</f>
        <v>-16.799999999999859</v>
      </c>
    </row>
    <row r="794" spans="1:29" ht="15" customHeight="1">
      <c r="A794" s="1320"/>
      <c r="B794" s="1320"/>
      <c r="C794" s="1320"/>
      <c r="D794" s="1320"/>
      <c r="E794" s="1320"/>
      <c r="F794" s="1320"/>
      <c r="G794" s="1320"/>
      <c r="H794" s="1320"/>
      <c r="I794" s="1320"/>
      <c r="R794" s="327"/>
      <c r="S794" s="236">
        <v>4.8</v>
      </c>
      <c r="T794" s="320">
        <v>0</v>
      </c>
      <c r="U794" s="320">
        <v>0</v>
      </c>
      <c r="V794" s="325" t="s">
        <v>119</v>
      </c>
      <c r="X794" s="1305" t="s">
        <v>159</v>
      </c>
      <c r="Y794" s="1305"/>
      <c r="Z794" s="1305" t="s">
        <v>160</v>
      </c>
      <c r="AA794" s="1305"/>
    </row>
    <row r="795" spans="1:29" ht="15" customHeight="1">
      <c r="A795" s="1072"/>
      <c r="B795" s="1072"/>
      <c r="C795" s="1072"/>
      <c r="D795" s="1072"/>
      <c r="E795" s="1072"/>
      <c r="F795" s="1072"/>
      <c r="G795" s="1073"/>
      <c r="H795" s="1074"/>
      <c r="I795" s="1075"/>
      <c r="R795" s="339"/>
      <c r="S795" s="236" t="s">
        <v>121</v>
      </c>
      <c r="T795" s="320">
        <v>0</v>
      </c>
      <c r="U795" s="320">
        <v>0</v>
      </c>
      <c r="V795" s="325" t="s">
        <v>119</v>
      </c>
      <c r="X795" s="1306" t="s">
        <v>161</v>
      </c>
      <c r="Y795" s="1306"/>
      <c r="Z795" s="1306"/>
      <c r="AA795" s="1306"/>
    </row>
    <row r="796" spans="1:29" ht="15" customHeight="1">
      <c r="A796" s="1056"/>
      <c r="B796" s="1055"/>
      <c r="C796" s="1056"/>
      <c r="D796" s="1325"/>
      <c r="E796" s="1325"/>
      <c r="F796" s="1325"/>
      <c r="G796" s="1058"/>
      <c r="H796" s="1059"/>
      <c r="I796" s="286"/>
      <c r="R796" s="339"/>
      <c r="S796" s="236">
        <v>5</v>
      </c>
      <c r="T796" s="320">
        <v>0</v>
      </c>
      <c r="U796" s="320">
        <v>0</v>
      </c>
      <c r="V796" s="325"/>
      <c r="X796" s="383" t="s">
        <v>150</v>
      </c>
      <c r="Y796" s="384">
        <f>523+34.93+80.59+34.73</f>
        <v>673.25</v>
      </c>
      <c r="Z796" s="1307"/>
      <c r="AA796" s="1307"/>
    </row>
    <row r="797" spans="1:29" ht="15" customHeight="1">
      <c r="A797" s="1326"/>
      <c r="B797" s="1326"/>
      <c r="C797" s="1326"/>
      <c r="D797" s="1326"/>
      <c r="E797" s="1326"/>
      <c r="F797" s="1326"/>
      <c r="G797" s="1326"/>
      <c r="H797" s="1059"/>
      <c r="I797" s="286"/>
      <c r="R797" s="350"/>
      <c r="S797" s="211"/>
      <c r="T797" s="351">
        <f>SUM(T776:T796)</f>
        <v>0</v>
      </c>
      <c r="U797" s="351">
        <f>SUM(U776:U796)</f>
        <v>0</v>
      </c>
      <c r="V797" s="352"/>
      <c r="X797" s="385" t="s">
        <v>158</v>
      </c>
      <c r="Y797" s="384">
        <f>668.9+49.82+34.5</f>
        <v>753.22</v>
      </c>
      <c r="Z797" s="1307">
        <f>69.08-34.5</f>
        <v>34.58</v>
      </c>
      <c r="AA797" s="1307"/>
    </row>
    <row r="798" spans="1:29" ht="25.5" customHeight="1">
      <c r="A798" s="1076"/>
      <c r="B798" s="1076"/>
      <c r="C798" s="1075"/>
      <c r="D798" s="1069"/>
      <c r="E798" s="1070"/>
      <c r="F798" s="1071"/>
      <c r="G798" s="1067"/>
      <c r="H798" s="1059"/>
      <c r="I798" s="286"/>
      <c r="R798" s="350"/>
      <c r="S798" s="211"/>
      <c r="T798" s="211"/>
      <c r="U798" s="211"/>
      <c r="V798" s="352"/>
      <c r="X798" s="385" t="s">
        <v>196</v>
      </c>
      <c r="Y798" s="384"/>
      <c r="Z798" s="1307"/>
      <c r="AA798" s="1307"/>
    </row>
    <row r="799" spans="1:29" ht="15" customHeight="1">
      <c r="A799" s="1067"/>
      <c r="B799" s="1067"/>
      <c r="C799" s="1073"/>
      <c r="D799" s="1073"/>
      <c r="E799" s="1077"/>
      <c r="F799" s="1073"/>
      <c r="G799" s="1073"/>
      <c r="H799" s="1078"/>
      <c r="I799" s="286"/>
      <c r="R799" s="350"/>
      <c r="S799" s="211"/>
      <c r="T799" s="211"/>
      <c r="U799" s="211"/>
      <c r="V799" s="352"/>
    </row>
    <row r="800" spans="1:29" ht="15" customHeight="1">
      <c r="D800" s="1327"/>
      <c r="E800" s="1327"/>
      <c r="R800" s="350"/>
      <c r="S800" s="211"/>
      <c r="T800" s="211"/>
      <c r="U800" s="211"/>
      <c r="V800" s="352"/>
    </row>
    <row r="801" spans="1:27" ht="15.75" customHeight="1">
      <c r="A801" s="1330"/>
      <c r="B801" s="1330"/>
      <c r="C801" s="1330"/>
      <c r="D801" s="1330"/>
      <c r="E801" s="1330"/>
      <c r="F801" s="1330"/>
      <c r="G801" s="1330"/>
      <c r="H801" s="1330"/>
      <c r="I801" s="1330"/>
    </row>
    <row r="802" spans="1:27" ht="15" customHeight="1">
      <c r="A802" s="1331"/>
      <c r="B802" s="1331"/>
      <c r="C802" s="1331"/>
      <c r="D802" s="1331"/>
      <c r="E802" s="1331"/>
      <c r="F802" s="1331"/>
      <c r="G802" s="1331"/>
      <c r="H802" s="1331"/>
      <c r="I802" s="1331"/>
    </row>
    <row r="803" spans="1:27" ht="15" customHeight="1">
      <c r="A803" s="1054"/>
      <c r="B803" s="1055"/>
      <c r="C803" s="1056"/>
      <c r="D803" s="1056"/>
      <c r="E803" s="1057"/>
      <c r="F803" s="1058"/>
      <c r="G803" s="1058"/>
      <c r="H803" s="1059"/>
      <c r="I803" s="286"/>
    </row>
    <row r="804" spans="1:27" ht="15" customHeight="1">
      <c r="A804" s="1332"/>
      <c r="B804" s="1332"/>
      <c r="C804" s="1332"/>
      <c r="D804" s="1333"/>
      <c r="E804" s="1332"/>
      <c r="F804" s="1332"/>
      <c r="G804" s="1332"/>
      <c r="H804" s="1333"/>
      <c r="I804" s="1332"/>
    </row>
    <row r="805" spans="1:27" ht="38.25" customHeight="1">
      <c r="A805" s="1332"/>
      <c r="B805" s="1332"/>
      <c r="C805" s="1332"/>
      <c r="D805" s="1332"/>
      <c r="E805" s="1061"/>
      <c r="F805" s="1061"/>
      <c r="G805" s="1061"/>
      <c r="H805" s="1333"/>
      <c r="I805" s="1333"/>
    </row>
    <row r="806" spans="1:27" ht="15.75" customHeight="1">
      <c r="A806" s="1062"/>
      <c r="B806" s="1055"/>
      <c r="C806" s="1060"/>
      <c r="D806" s="1063"/>
      <c r="E806" s="1063"/>
      <c r="F806" s="1064"/>
      <c r="G806" s="1058"/>
      <c r="H806" s="1065"/>
      <c r="I806" s="1332"/>
      <c r="K806" s="8" t="s">
        <v>14</v>
      </c>
      <c r="L806" s="16">
        <f>'Daily Stock'!Q472</f>
        <v>0</v>
      </c>
      <c r="R806" s="309" t="s">
        <v>197</v>
      </c>
      <c r="S806" s="310"/>
    </row>
    <row r="807" spans="1:27" ht="18.75" customHeight="1">
      <c r="A807" s="1062"/>
      <c r="B807" s="1055"/>
      <c r="C807" s="1060"/>
      <c r="D807" s="1055"/>
      <c r="E807" s="1063"/>
      <c r="F807" s="1064"/>
      <c r="G807" s="1058"/>
      <c r="H807" s="1065"/>
      <c r="I807" s="1332"/>
      <c r="K807" s="8" t="s">
        <v>112</v>
      </c>
      <c r="L807" s="16">
        <f>'Daily Stock'!Q473</f>
        <v>0</v>
      </c>
      <c r="R807" s="311" t="s">
        <v>100</v>
      </c>
      <c r="S807" s="312"/>
      <c r="T807" s="313" t="s">
        <v>9</v>
      </c>
      <c r="U807" s="313" t="s">
        <v>113</v>
      </c>
      <c r="V807" s="314" t="s">
        <v>114</v>
      </c>
    </row>
    <row r="808" spans="1:27" ht="15" customHeight="1">
      <c r="A808" s="1062"/>
      <c r="B808" s="1055"/>
      <c r="C808" s="1055"/>
      <c r="D808" s="1055"/>
      <c r="E808" s="1057"/>
      <c r="F808" s="1058"/>
      <c r="G808" s="1058"/>
      <c r="H808" s="1065"/>
      <c r="I808" s="1334"/>
      <c r="K808" s="22" t="s">
        <v>117</v>
      </c>
      <c r="L808" s="16">
        <f>'Daily Stock'!Q474</f>
        <v>0</v>
      </c>
      <c r="R808" s="317" t="s">
        <v>118</v>
      </c>
      <c r="S808" s="318">
        <v>6</v>
      </c>
      <c r="T808" s="319">
        <f>U808</f>
        <v>0</v>
      </c>
      <c r="U808" s="320">
        <f>H808</f>
        <v>0</v>
      </c>
      <c r="V808" s="321" t="s">
        <v>119</v>
      </c>
    </row>
    <row r="809" spans="1:27" ht="15" customHeight="1">
      <c r="A809" s="1062"/>
      <c r="B809" s="1055"/>
      <c r="C809" s="1055"/>
      <c r="D809" s="1055"/>
      <c r="E809" s="1057"/>
      <c r="F809" s="1058"/>
      <c r="G809" s="1058"/>
      <c r="H809" s="1065"/>
      <c r="I809" s="1334"/>
      <c r="K809" s="22" t="s">
        <v>17</v>
      </c>
      <c r="L809" s="16">
        <f>'Daily Stock'!Q475</f>
        <v>0</v>
      </c>
      <c r="R809" s="317"/>
      <c r="S809" s="322"/>
      <c r="T809" s="323"/>
      <c r="U809" s="320">
        <v>0</v>
      </c>
      <c r="V809" s="324"/>
    </row>
    <row r="810" spans="1:27" ht="15" customHeight="1">
      <c r="A810" s="1062"/>
      <c r="B810" s="1055"/>
      <c r="C810" s="1055"/>
      <c r="D810" s="1055"/>
      <c r="E810" s="1057"/>
      <c r="F810" s="1058"/>
      <c r="G810" s="1058"/>
      <c r="H810" s="1065"/>
      <c r="I810" s="1334"/>
      <c r="K810" s="22" t="s">
        <v>18</v>
      </c>
      <c r="L810" s="16">
        <f>'Daily Stock'!Q476</f>
        <v>0</v>
      </c>
      <c r="R810" s="317"/>
      <c r="S810" s="236" t="s">
        <v>121</v>
      </c>
      <c r="T810" s="320">
        <v>0</v>
      </c>
      <c r="U810" s="320">
        <v>0</v>
      </c>
      <c r="V810" s="325"/>
    </row>
    <row r="811" spans="1:27" ht="15" customHeight="1">
      <c r="A811" s="1062"/>
      <c r="B811" s="1055"/>
      <c r="C811" s="1055"/>
      <c r="D811" s="1055"/>
      <c r="E811" s="1057"/>
      <c r="F811" s="1058"/>
      <c r="G811" s="1058"/>
      <c r="H811" s="1065"/>
      <c r="I811" s="1335"/>
      <c r="K811" s="22" t="s">
        <v>19</v>
      </c>
      <c r="L811" s="16">
        <f>'Daily Stock'!Q477</f>
        <v>0</v>
      </c>
      <c r="R811" s="326" t="s">
        <v>123</v>
      </c>
      <c r="S811" s="318">
        <v>6</v>
      </c>
      <c r="T811" s="319">
        <f>U811</f>
        <v>0</v>
      </c>
      <c r="U811" s="319">
        <f>H812</f>
        <v>0</v>
      </c>
      <c r="V811" s="321" t="s">
        <v>119</v>
      </c>
    </row>
    <row r="812" spans="1:27" ht="15" customHeight="1">
      <c r="A812" s="1062"/>
      <c r="B812" s="1055"/>
      <c r="C812" s="1055"/>
      <c r="D812" s="1055"/>
      <c r="E812" s="1057"/>
      <c r="F812" s="1058"/>
      <c r="G812" s="1058"/>
      <c r="H812" s="1065"/>
      <c r="I812" s="1335"/>
      <c r="K812" s="22" t="s">
        <v>20</v>
      </c>
      <c r="L812" s="16">
        <f>'Daily Stock'!Q478</f>
        <v>0</v>
      </c>
      <c r="R812" s="327"/>
      <c r="S812" s="328"/>
      <c r="T812" s="329"/>
      <c r="U812" s="329"/>
      <c r="V812" s="324"/>
    </row>
    <row r="813" spans="1:27" ht="15.75" customHeight="1">
      <c r="A813" s="1062"/>
      <c r="B813" s="1055"/>
      <c r="C813" s="1055"/>
      <c r="D813" s="1055"/>
      <c r="E813" s="1057"/>
      <c r="F813" s="1058"/>
      <c r="G813" s="1058"/>
      <c r="H813" s="1065"/>
      <c r="I813" s="1335"/>
      <c r="K813" s="22" t="s">
        <v>124</v>
      </c>
      <c r="L813" s="16">
        <f>'Daily Stock'!Q479</f>
        <v>0</v>
      </c>
      <c r="R813" s="327"/>
      <c r="S813" s="318">
        <v>4</v>
      </c>
      <c r="T813" s="319">
        <f>U813</f>
        <v>0</v>
      </c>
      <c r="U813" s="319">
        <f>G814</f>
        <v>0</v>
      </c>
      <c r="V813" s="321" t="s">
        <v>119</v>
      </c>
      <c r="X813" s="1304" t="s">
        <v>198</v>
      </c>
      <c r="Y813" s="1304"/>
      <c r="Z813" s="1304"/>
      <c r="AA813" s="1304"/>
    </row>
    <row r="814" spans="1:27" ht="15" customHeight="1">
      <c r="A814" s="1062"/>
      <c r="B814" s="1055"/>
      <c r="C814" s="1055"/>
      <c r="D814" s="1055"/>
      <c r="E814" s="1057"/>
      <c r="F814" s="1058"/>
      <c r="G814" s="1058"/>
      <c r="H814" s="1065"/>
      <c r="I814" s="1335"/>
      <c r="K814" s="22" t="s">
        <v>22</v>
      </c>
      <c r="L814" s="16">
        <f>'Daily Stock'!Q480</f>
        <v>0</v>
      </c>
      <c r="R814" s="327"/>
      <c r="S814" s="328"/>
      <c r="T814" s="329"/>
      <c r="U814" s="329"/>
      <c r="V814" s="324"/>
      <c r="X814" s="363" t="s">
        <v>125</v>
      </c>
      <c r="Y814" s="364" t="s">
        <v>126</v>
      </c>
      <c r="Z814" s="364" t="s">
        <v>127</v>
      </c>
      <c r="AA814" s="365" t="s">
        <v>128</v>
      </c>
    </row>
    <row r="815" spans="1:27" ht="15" customHeight="1">
      <c r="A815" s="1062"/>
      <c r="B815" s="1055"/>
      <c r="C815" s="1055"/>
      <c r="D815" s="1055"/>
      <c r="E815" s="1057"/>
      <c r="F815" s="1058"/>
      <c r="G815" s="1058"/>
      <c r="H815" s="1065"/>
      <c r="I815" s="1335"/>
      <c r="K815" s="22" t="s">
        <v>23</v>
      </c>
      <c r="L815" s="16">
        <f>'Daily Stock'!Q481</f>
        <v>0</v>
      </c>
      <c r="R815" s="327"/>
      <c r="S815" s="318">
        <v>3</v>
      </c>
      <c r="T815" s="319">
        <f>U815</f>
        <v>0</v>
      </c>
      <c r="U815" s="319">
        <f>G811</f>
        <v>0</v>
      </c>
      <c r="V815" s="321" t="s">
        <v>119</v>
      </c>
      <c r="X815" s="366" t="s">
        <v>129</v>
      </c>
      <c r="Y815" s="367">
        <f>I808</f>
        <v>0</v>
      </c>
      <c r="Z815" s="367">
        <f>I811</f>
        <v>0</v>
      </c>
      <c r="AA815" s="368">
        <f>I818</f>
        <v>0</v>
      </c>
    </row>
    <row r="816" spans="1:27" ht="15.75" customHeight="1">
      <c r="A816" s="1062"/>
      <c r="B816" s="1055"/>
      <c r="C816" s="1055"/>
      <c r="D816" s="1055"/>
      <c r="E816" s="1057"/>
      <c r="F816" s="1058"/>
      <c r="G816" s="1058"/>
      <c r="H816" s="1065"/>
      <c r="I816" s="1066"/>
      <c r="K816" s="25" t="s">
        <v>24</v>
      </c>
      <c r="L816" s="16">
        <f>'Daily Stock'!Q482</f>
        <v>0</v>
      </c>
      <c r="R816" s="327"/>
      <c r="S816" s="328"/>
      <c r="T816" s="329"/>
      <c r="U816" s="329"/>
      <c r="V816" s="324"/>
      <c r="X816" s="366" t="s">
        <v>132</v>
      </c>
      <c r="Y816" s="206"/>
      <c r="Z816" s="367">
        <f>G817+G816</f>
        <v>0</v>
      </c>
      <c r="AA816" s="368">
        <f>G822+G821+G823+34.58</f>
        <v>34.58</v>
      </c>
    </row>
    <row r="817" spans="1:27" ht="15" customHeight="1">
      <c r="A817" s="1062"/>
      <c r="B817" s="1055"/>
      <c r="C817" s="1055"/>
      <c r="D817" s="1055"/>
      <c r="E817" s="1057"/>
      <c r="F817" s="1058"/>
      <c r="G817" s="1058"/>
      <c r="H817" s="1065"/>
      <c r="I817" s="1066"/>
      <c r="R817" s="327"/>
      <c r="S817" s="318">
        <v>5</v>
      </c>
      <c r="T817" s="319">
        <f>U817</f>
        <v>0</v>
      </c>
      <c r="U817" s="319">
        <f>G813</f>
        <v>0</v>
      </c>
      <c r="V817" s="321" t="s">
        <v>119</v>
      </c>
      <c r="X817" s="366"/>
      <c r="Y817" s="206"/>
      <c r="Z817" s="206"/>
      <c r="AA817" s="368"/>
    </row>
    <row r="818" spans="1:27" ht="15" customHeight="1">
      <c r="A818" s="1062"/>
      <c r="B818" s="1055"/>
      <c r="C818" s="1055"/>
      <c r="D818" s="1055"/>
      <c r="E818" s="1057"/>
      <c r="F818" s="1058"/>
      <c r="G818" s="1058"/>
      <c r="H818" s="401"/>
      <c r="I818" s="1336"/>
      <c r="K818" s="338">
        <f>'Monthly Prod'!B28</f>
        <v>0</v>
      </c>
      <c r="L818" s="338">
        <f>'Monthly Prod'!C28</f>
        <v>0</v>
      </c>
      <c r="M818" s="338">
        <f>'Monthly Prod'!D28</f>
        <v>0</v>
      </c>
      <c r="N818" s="338">
        <f>'Monthly Prod'!E28</f>
        <v>0</v>
      </c>
      <c r="O818" s="338">
        <f>'Monthly Prod'!F28</f>
        <v>0</v>
      </c>
      <c r="P818" s="338">
        <f>'Monthly Prod'!H28</f>
        <v>0</v>
      </c>
      <c r="Q818" t="s">
        <v>134</v>
      </c>
      <c r="R818" s="339"/>
      <c r="S818" s="340" t="s">
        <v>121</v>
      </c>
      <c r="T818" s="319">
        <f>U818</f>
        <v>0</v>
      </c>
      <c r="U818" s="319">
        <f>G815</f>
        <v>0</v>
      </c>
      <c r="V818" s="321" t="s">
        <v>119</v>
      </c>
      <c r="X818" s="380" t="s">
        <v>135</v>
      </c>
      <c r="Y818" s="381">
        <f>SUM(Y815:Y817)</f>
        <v>0</v>
      </c>
      <c r="Z818" s="381">
        <f>SUM(Z815:Z817)</f>
        <v>0</v>
      </c>
      <c r="AA818" s="381">
        <f>SUM(AA815:AA817)</f>
        <v>34.58</v>
      </c>
    </row>
    <row r="819" spans="1:27" ht="15" customHeight="1">
      <c r="A819" s="1062"/>
      <c r="B819" s="1055"/>
      <c r="C819" s="1055"/>
      <c r="D819" s="1055"/>
      <c r="E819" s="1057"/>
      <c r="F819" s="1058"/>
      <c r="G819" s="1058"/>
      <c r="H819" s="1065"/>
      <c r="I819" s="1336"/>
      <c r="K819" s="286" t="s">
        <v>136</v>
      </c>
      <c r="L819" s="286" t="s">
        <v>137</v>
      </c>
      <c r="M819" s="277" t="s">
        <v>4</v>
      </c>
      <c r="N819" s="277" t="s">
        <v>138</v>
      </c>
      <c r="O819" s="286" t="s">
        <v>139</v>
      </c>
      <c r="P819" s="286" t="s">
        <v>140</v>
      </c>
      <c r="R819" s="326" t="s">
        <v>141</v>
      </c>
      <c r="S819" s="236">
        <v>6</v>
      </c>
      <c r="T819" s="320">
        <v>0</v>
      </c>
      <c r="U819" s="320">
        <v>0</v>
      </c>
      <c r="V819" s="325"/>
    </row>
    <row r="820" spans="1:27" ht="15" customHeight="1">
      <c r="A820" s="1062"/>
      <c r="B820" s="1055"/>
      <c r="C820" s="1055"/>
      <c r="D820" s="1055"/>
      <c r="E820" s="1057"/>
      <c r="F820" s="1058"/>
      <c r="G820" s="1058"/>
      <c r="H820" s="1065"/>
      <c r="I820" s="1336"/>
      <c r="K820" s="282">
        <f ca="1">SUM('Monthly Prod'!B3:B28)</f>
        <v>0</v>
      </c>
      <c r="L820" s="282">
        <f ca="1">SUM('Monthly Prod'!C3:C28)</f>
        <v>0</v>
      </c>
      <c r="M820" s="282">
        <f ca="1">SUM('Monthly Prod'!D3:D28)</f>
        <v>0</v>
      </c>
      <c r="N820" s="282">
        <f ca="1">SUM('Monthly Prod'!E3:E28)</f>
        <v>0</v>
      </c>
      <c r="O820" s="282">
        <f ca="1">SUM('Monthly Prod'!F3:F28)</f>
        <v>0</v>
      </c>
      <c r="P820" s="282">
        <f ca="1">SUM('Monthly Prod'!H3:H28)</f>
        <v>0</v>
      </c>
      <c r="Q820" t="s">
        <v>142</v>
      </c>
      <c r="R820" s="327"/>
      <c r="S820" s="341">
        <v>4.8</v>
      </c>
      <c r="T820" s="342"/>
      <c r="U820" s="342"/>
      <c r="V820" s="343"/>
      <c r="X820" s="370" t="s">
        <v>143</v>
      </c>
      <c r="Y820" s="371"/>
      <c r="Z820" s="371" t="s">
        <v>127</v>
      </c>
      <c r="AA820" s="372" t="s">
        <v>128</v>
      </c>
    </row>
    <row r="821" spans="1:27" ht="15" customHeight="1">
      <c r="A821" s="1062"/>
      <c r="B821" s="1055"/>
      <c r="C821" s="1055"/>
      <c r="D821" s="1055"/>
      <c r="E821" s="1057"/>
      <c r="F821" s="1058"/>
      <c r="G821" s="1058"/>
      <c r="H821" s="1065"/>
      <c r="I821" s="1336"/>
      <c r="R821" s="327"/>
      <c r="S821" s="318">
        <v>4</v>
      </c>
      <c r="T821" s="319">
        <f>U821</f>
        <v>0</v>
      </c>
      <c r="U821" s="319">
        <f>G819</f>
        <v>0</v>
      </c>
      <c r="V821" s="321" t="s">
        <v>119</v>
      </c>
      <c r="X821" s="366"/>
      <c r="Y821" s="206" t="s">
        <v>145</v>
      </c>
      <c r="Z821" s="282">
        <f>400+10-69.71-140.17-34.22-65.36-35.99-34.37</f>
        <v>30.180000000000042</v>
      </c>
      <c r="AA821" s="373" t="s">
        <v>146</v>
      </c>
    </row>
    <row r="822" spans="1:27" ht="15" customHeight="1">
      <c r="A822" s="1062"/>
      <c r="B822" s="1055"/>
      <c r="C822" s="1055"/>
      <c r="D822" s="1055"/>
      <c r="E822" s="1057"/>
      <c r="F822" s="1058"/>
      <c r="G822" s="1058"/>
      <c r="H822" s="1065"/>
      <c r="I822" s="1336"/>
      <c r="R822" s="327"/>
      <c r="S822" s="328"/>
      <c r="T822" s="329"/>
      <c r="U822" s="329"/>
      <c r="V822" s="324"/>
      <c r="X822" s="374"/>
      <c r="Y822" s="206" t="s">
        <v>148</v>
      </c>
      <c r="Z822" s="282">
        <v>30.79</v>
      </c>
      <c r="AA822" s="369"/>
    </row>
    <row r="823" spans="1:27" ht="15" customHeight="1">
      <c r="A823" s="1062"/>
      <c r="B823" s="1055"/>
      <c r="C823" s="1055"/>
      <c r="D823" s="1055"/>
      <c r="E823" s="1057"/>
      <c r="F823" s="1058"/>
      <c r="G823" s="1058"/>
      <c r="H823" s="1065"/>
      <c r="I823" s="1055"/>
      <c r="R823" s="327"/>
      <c r="S823" s="318">
        <v>3</v>
      </c>
      <c r="T823" s="319">
        <f>U823</f>
        <v>0</v>
      </c>
      <c r="U823" s="319">
        <f>G818</f>
        <v>0</v>
      </c>
      <c r="V823" s="321" t="s">
        <v>119</v>
      </c>
      <c r="X823" s="374"/>
      <c r="Y823" s="206" t="s">
        <v>133</v>
      </c>
      <c r="Z823" s="282">
        <v>0</v>
      </c>
      <c r="AA823" s="369">
        <f>320-74.38-79.4</f>
        <v>166.22</v>
      </c>
    </row>
    <row r="824" spans="1:27" ht="15" customHeight="1">
      <c r="A824" s="1337"/>
      <c r="B824" s="1337"/>
      <c r="C824" s="1337"/>
      <c r="D824" s="1337"/>
      <c r="E824" s="1337"/>
      <c r="F824" s="1337"/>
      <c r="G824" s="1067"/>
      <c r="H824" s="1067"/>
      <c r="I824" s="1068"/>
      <c r="R824" s="327"/>
      <c r="S824" s="328"/>
      <c r="T824" s="329"/>
      <c r="U824" s="329"/>
      <c r="V824" s="324"/>
      <c r="X824" s="366"/>
      <c r="Y824" s="206" t="s">
        <v>150</v>
      </c>
      <c r="Z824" s="282"/>
      <c r="AA824" s="368">
        <f>1000-80.75-140.64-301.61-34.93-80.59-34.73</f>
        <v>326.75</v>
      </c>
    </row>
    <row r="825" spans="1:27" ht="15.75" customHeight="1">
      <c r="A825" s="1320"/>
      <c r="B825" s="1320"/>
      <c r="C825" s="1320"/>
      <c r="D825" s="1320"/>
      <c r="E825" s="1321"/>
      <c r="F825" s="1322"/>
      <c r="G825" s="1323"/>
      <c r="H825" s="1321"/>
      <c r="I825" s="1320"/>
      <c r="R825" s="327"/>
      <c r="S825" s="236">
        <v>5</v>
      </c>
      <c r="T825" s="320">
        <f>U825</f>
        <v>0</v>
      </c>
      <c r="U825" s="320">
        <f>G820</f>
        <v>0</v>
      </c>
      <c r="V825" s="325" t="s">
        <v>119</v>
      </c>
      <c r="X825" s="375"/>
      <c r="Y825" s="245" t="s">
        <v>158</v>
      </c>
      <c r="Z825" s="376"/>
      <c r="AA825" s="377">
        <f>400.91+500-370.26-99.63-69.08-80.1-109.37-159.53-29.74</f>
        <v>-16.799999999999859</v>
      </c>
    </row>
    <row r="826" spans="1:27" ht="15" customHeight="1">
      <c r="A826" s="1320"/>
      <c r="B826" s="1320"/>
      <c r="C826" s="1320"/>
      <c r="D826" s="1320"/>
      <c r="E826" s="1320"/>
      <c r="F826" s="1320"/>
      <c r="G826" s="1320"/>
      <c r="H826" s="1320"/>
      <c r="I826" s="1320"/>
      <c r="R826" s="327"/>
      <c r="S826" s="236">
        <v>4.8</v>
      </c>
      <c r="T826" s="320">
        <v>0</v>
      </c>
      <c r="U826" s="320">
        <v>0</v>
      </c>
      <c r="V826" s="325" t="s">
        <v>119</v>
      </c>
      <c r="X826" s="1305" t="s">
        <v>159</v>
      </c>
      <c r="Y826" s="1305"/>
      <c r="Z826" s="1305" t="s">
        <v>160</v>
      </c>
      <c r="AA826" s="1305"/>
    </row>
    <row r="827" spans="1:27" ht="15" customHeight="1">
      <c r="A827" s="1072"/>
      <c r="B827" s="1072"/>
      <c r="C827" s="1072"/>
      <c r="D827" s="1072"/>
      <c r="E827" s="1072"/>
      <c r="F827" s="1072"/>
      <c r="G827" s="1073"/>
      <c r="H827" s="1074"/>
      <c r="I827" s="1075"/>
      <c r="R827" s="339"/>
      <c r="S827" s="236" t="s">
        <v>121</v>
      </c>
      <c r="T827" s="320">
        <v>0</v>
      </c>
      <c r="U827" s="320">
        <v>0</v>
      </c>
      <c r="V827" s="325" t="s">
        <v>119</v>
      </c>
      <c r="X827" s="1306" t="s">
        <v>161</v>
      </c>
      <c r="Y827" s="1306"/>
      <c r="Z827" s="1306"/>
      <c r="AA827" s="1306"/>
    </row>
    <row r="828" spans="1:27" ht="15" customHeight="1">
      <c r="A828" s="1056"/>
      <c r="B828" s="1055"/>
      <c r="C828" s="1056"/>
      <c r="D828" s="1325"/>
      <c r="E828" s="1325"/>
      <c r="F828" s="1325"/>
      <c r="G828" s="1058"/>
      <c r="H828" s="1059"/>
      <c r="I828" s="286"/>
      <c r="R828" s="339"/>
      <c r="S828" s="236">
        <v>5</v>
      </c>
      <c r="T828" s="320">
        <v>0</v>
      </c>
      <c r="U828" s="320">
        <v>0</v>
      </c>
      <c r="V828" s="325"/>
      <c r="X828" s="383" t="s">
        <v>150</v>
      </c>
      <c r="Y828" s="384">
        <f>523+34.93+80.59+34.73</f>
        <v>673.25</v>
      </c>
      <c r="Z828" s="1307"/>
      <c r="AA828" s="1307"/>
    </row>
    <row r="829" spans="1:27" ht="15" customHeight="1">
      <c r="A829" s="1326"/>
      <c r="B829" s="1326"/>
      <c r="C829" s="1326"/>
      <c r="D829" s="1326"/>
      <c r="E829" s="1326"/>
      <c r="F829" s="1326"/>
      <c r="G829" s="1326"/>
      <c r="H829" s="1059"/>
      <c r="I829" s="286"/>
      <c r="R829" s="350"/>
      <c r="S829" s="211"/>
      <c r="T829" s="351">
        <f>SUM(T808:T828)</f>
        <v>0</v>
      </c>
      <c r="U829" s="351">
        <f>SUM(U808:U828)</f>
        <v>0</v>
      </c>
      <c r="V829" s="352"/>
      <c r="X829" s="967" t="s">
        <v>158</v>
      </c>
      <c r="Y829" s="968">
        <f>668.9+49.82+34.5</f>
        <v>753.22</v>
      </c>
      <c r="Z829" s="1338">
        <f>69.08-34.5</f>
        <v>34.58</v>
      </c>
      <c r="AA829" s="1338"/>
    </row>
    <row r="830" spans="1:27" ht="25.5" customHeight="1">
      <c r="A830" s="1076"/>
      <c r="B830" s="1076"/>
      <c r="C830" s="1075"/>
      <c r="D830" s="1069"/>
      <c r="E830" s="1070"/>
      <c r="F830" s="1071"/>
      <c r="G830" s="1067"/>
      <c r="H830" s="1059"/>
      <c r="I830" s="286"/>
      <c r="R830" s="350"/>
      <c r="S830" s="211"/>
      <c r="T830" s="211"/>
      <c r="U830" s="211"/>
      <c r="V830" s="352"/>
      <c r="X830" s="969"/>
      <c r="Y830" s="970"/>
      <c r="Z830" s="1339"/>
      <c r="AA830" s="1339"/>
    </row>
    <row r="831" spans="1:27" ht="15" customHeight="1">
      <c r="A831" s="1067"/>
      <c r="B831" s="1067"/>
      <c r="C831" s="1073"/>
      <c r="D831" s="1073"/>
      <c r="E831" s="1077"/>
      <c r="F831" s="1073"/>
      <c r="G831" s="1073"/>
      <c r="H831" s="1078"/>
      <c r="I831" s="286"/>
      <c r="R831" s="350"/>
      <c r="S831" s="211"/>
      <c r="T831" s="211"/>
      <c r="U831" s="211"/>
      <c r="V831" s="352"/>
    </row>
    <row r="832" spans="1:27" ht="15" customHeight="1">
      <c r="D832" s="1327"/>
      <c r="E832" s="1327"/>
      <c r="R832" s="350"/>
      <c r="S832" s="211"/>
      <c r="T832" s="211"/>
      <c r="U832" s="211"/>
      <c r="V832" s="352"/>
    </row>
    <row r="833" spans="1:27" ht="15.75" customHeight="1">
      <c r="A833" s="1330"/>
      <c r="B833" s="1330"/>
      <c r="C833" s="1330"/>
      <c r="D833" s="1330"/>
      <c r="E833" s="1330"/>
      <c r="F833" s="1330"/>
      <c r="G833" s="1330"/>
      <c r="H833" s="1330"/>
      <c r="I833" s="1330"/>
    </row>
    <row r="834" spans="1:27" ht="15" customHeight="1">
      <c r="A834" s="1331"/>
      <c r="B834" s="1331"/>
      <c r="C834" s="1331"/>
      <c r="D834" s="1331"/>
      <c r="E834" s="1331"/>
      <c r="F834" s="1331"/>
      <c r="G834" s="1331"/>
      <c r="H834" s="1331"/>
      <c r="I834" s="1331"/>
    </row>
    <row r="835" spans="1:27" ht="15" customHeight="1">
      <c r="A835" s="1054"/>
      <c r="B835" s="1055"/>
      <c r="C835" s="1056"/>
      <c r="D835" s="1056"/>
      <c r="E835" s="1057"/>
      <c r="F835" s="1058"/>
      <c r="G835" s="1058"/>
      <c r="H835" s="1059"/>
      <c r="I835" s="286"/>
    </row>
    <row r="836" spans="1:27" ht="15" customHeight="1">
      <c r="A836" s="1332"/>
      <c r="B836" s="1332"/>
      <c r="C836" s="1332"/>
      <c r="D836" s="1333"/>
      <c r="E836" s="1332"/>
      <c r="F836" s="1332"/>
      <c r="G836" s="1332"/>
      <c r="H836" s="1333"/>
      <c r="I836" s="1332"/>
    </row>
    <row r="837" spans="1:27" ht="38.25" customHeight="1">
      <c r="A837" s="1332"/>
      <c r="B837" s="1332"/>
      <c r="C837" s="1332"/>
      <c r="D837" s="1332"/>
      <c r="E837" s="1061"/>
      <c r="F837" s="1061"/>
      <c r="G837" s="1061"/>
      <c r="H837" s="1333"/>
      <c r="I837" s="1333"/>
    </row>
    <row r="838" spans="1:27" ht="15.75" customHeight="1">
      <c r="A838" s="1062"/>
      <c r="B838" s="1055"/>
      <c r="C838" s="1060"/>
      <c r="D838" s="1063"/>
      <c r="E838" s="1063"/>
      <c r="F838" s="1064"/>
      <c r="G838" s="1058"/>
      <c r="H838" s="1065"/>
      <c r="I838" s="1332"/>
      <c r="K838" s="8" t="s">
        <v>14</v>
      </c>
      <c r="L838" s="16">
        <f>'Daily Stock'!Q490</f>
        <v>0</v>
      </c>
      <c r="R838" s="309" t="s">
        <v>199</v>
      </c>
      <c r="S838" s="310"/>
    </row>
    <row r="839" spans="1:27" ht="18.75" customHeight="1">
      <c r="A839" s="1062"/>
      <c r="B839" s="1055"/>
      <c r="C839" s="1060"/>
      <c r="D839" s="1055"/>
      <c r="E839" s="1063"/>
      <c r="F839" s="1064"/>
      <c r="G839" s="1058"/>
      <c r="H839" s="1065"/>
      <c r="I839" s="1332"/>
      <c r="K839" s="8" t="s">
        <v>112</v>
      </c>
      <c r="L839" s="16">
        <f>'Daily Stock'!Q491</f>
        <v>0</v>
      </c>
      <c r="R839" s="311" t="s">
        <v>100</v>
      </c>
      <c r="S839" s="312"/>
      <c r="T839" s="313" t="s">
        <v>9</v>
      </c>
      <c r="U839" s="313" t="s">
        <v>113</v>
      </c>
      <c r="V839" s="314" t="s">
        <v>114</v>
      </c>
    </row>
    <row r="840" spans="1:27" ht="15" customHeight="1">
      <c r="A840" s="1062"/>
      <c r="B840" s="1055"/>
      <c r="C840" s="1055"/>
      <c r="D840" s="1055"/>
      <c r="E840" s="1057"/>
      <c r="F840" s="1058"/>
      <c r="G840" s="1058"/>
      <c r="H840" s="1065"/>
      <c r="I840" s="1334"/>
      <c r="K840" s="22" t="s">
        <v>117</v>
      </c>
      <c r="L840" s="16">
        <f>'Daily Stock'!Q492</f>
        <v>0</v>
      </c>
      <c r="R840" s="317" t="s">
        <v>118</v>
      </c>
      <c r="S840" s="318">
        <v>6</v>
      </c>
      <c r="T840" s="319">
        <f>U840</f>
        <v>0</v>
      </c>
      <c r="U840" s="320">
        <f>H840</f>
        <v>0</v>
      </c>
      <c r="V840" s="321" t="s">
        <v>119</v>
      </c>
    </row>
    <row r="841" spans="1:27" ht="15" customHeight="1">
      <c r="A841" s="1062"/>
      <c r="B841" s="1055"/>
      <c r="C841" s="1055"/>
      <c r="D841" s="1055"/>
      <c r="E841" s="1057"/>
      <c r="F841" s="1058"/>
      <c r="G841" s="1058"/>
      <c r="H841" s="1065"/>
      <c r="I841" s="1334"/>
      <c r="K841" s="22" t="s">
        <v>17</v>
      </c>
      <c r="L841" s="16">
        <f>'Daily Stock'!Q493</f>
        <v>0</v>
      </c>
      <c r="R841" s="317"/>
      <c r="S841" s="322"/>
      <c r="T841" s="323"/>
      <c r="U841" s="320">
        <v>0</v>
      </c>
      <c r="V841" s="324"/>
    </row>
    <row r="842" spans="1:27" ht="15" customHeight="1">
      <c r="A842" s="1062"/>
      <c r="B842" s="1055"/>
      <c r="C842" s="1055"/>
      <c r="D842" s="1055"/>
      <c r="E842" s="1057"/>
      <c r="F842" s="1058"/>
      <c r="G842" s="1058"/>
      <c r="H842" s="1065"/>
      <c r="I842" s="1334"/>
      <c r="K842" s="22" t="s">
        <v>18</v>
      </c>
      <c r="L842" s="16">
        <f>'Daily Stock'!Q494</f>
        <v>0</v>
      </c>
      <c r="R842" s="317"/>
      <c r="S842" s="236" t="s">
        <v>121</v>
      </c>
      <c r="T842" s="320">
        <v>0</v>
      </c>
      <c r="U842" s="320">
        <v>0</v>
      </c>
      <c r="V842" s="325"/>
    </row>
    <row r="843" spans="1:27" ht="15" customHeight="1">
      <c r="A843" s="1062"/>
      <c r="B843" s="1055"/>
      <c r="C843" s="1055"/>
      <c r="D843" s="1055"/>
      <c r="E843" s="1057"/>
      <c r="F843" s="1058"/>
      <c r="G843" s="1058"/>
      <c r="H843" s="1065"/>
      <c r="I843" s="1335"/>
      <c r="K843" s="22" t="s">
        <v>19</v>
      </c>
      <c r="L843" s="16">
        <f>'Daily Stock'!Q495</f>
        <v>0</v>
      </c>
      <c r="R843" s="326" t="s">
        <v>123</v>
      </c>
      <c r="S843" s="318">
        <v>6</v>
      </c>
      <c r="T843" s="319">
        <f>U843</f>
        <v>0</v>
      </c>
      <c r="U843" s="319">
        <f>H844</f>
        <v>0</v>
      </c>
      <c r="V843" s="321" t="s">
        <v>119</v>
      </c>
    </row>
    <row r="844" spans="1:27" ht="15" customHeight="1">
      <c r="A844" s="1062"/>
      <c r="B844" s="1055"/>
      <c r="C844" s="1055"/>
      <c r="D844" s="1055"/>
      <c r="E844" s="1057"/>
      <c r="F844" s="1058"/>
      <c r="G844" s="1058"/>
      <c r="H844" s="1065"/>
      <c r="I844" s="1335"/>
      <c r="K844" s="22" t="s">
        <v>20</v>
      </c>
      <c r="L844" s="16">
        <f>'Daily Stock'!Q496</f>
        <v>0</v>
      </c>
      <c r="R844" s="327"/>
      <c r="S844" s="328"/>
      <c r="T844" s="329"/>
      <c r="U844" s="329"/>
      <c r="V844" s="324"/>
    </row>
    <row r="845" spans="1:27" ht="15.75" customHeight="1">
      <c r="A845" s="1062"/>
      <c r="B845" s="1055"/>
      <c r="C845" s="1055"/>
      <c r="D845" s="1055"/>
      <c r="E845" s="1057"/>
      <c r="F845" s="1058"/>
      <c r="G845" s="1058"/>
      <c r="H845" s="1065"/>
      <c r="I845" s="1335"/>
      <c r="K845" s="22" t="s">
        <v>124</v>
      </c>
      <c r="L845" s="16">
        <f>'Daily Stock'!Q497</f>
        <v>0</v>
      </c>
      <c r="R845" s="327"/>
      <c r="S845" s="318">
        <v>4</v>
      </c>
      <c r="T845" s="319">
        <f>U845</f>
        <v>0</v>
      </c>
      <c r="U845" s="319">
        <f>G846</f>
        <v>0</v>
      </c>
      <c r="V845" s="321" t="s">
        <v>119</v>
      </c>
      <c r="X845" s="1304" t="s">
        <v>200</v>
      </c>
      <c r="Y845" s="1304"/>
      <c r="Z845" s="1304"/>
      <c r="AA845" s="1304"/>
    </row>
    <row r="846" spans="1:27" ht="15" customHeight="1">
      <c r="A846" s="1062"/>
      <c r="B846" s="1055"/>
      <c r="C846" s="1055"/>
      <c r="D846" s="1055"/>
      <c r="E846" s="1057"/>
      <c r="F846" s="1058"/>
      <c r="G846" s="1058"/>
      <c r="H846" s="1065"/>
      <c r="I846" s="1335"/>
      <c r="K846" s="22" t="s">
        <v>22</v>
      </c>
      <c r="L846" s="16">
        <f>'Daily Stock'!Q498</f>
        <v>0</v>
      </c>
      <c r="R846" s="327"/>
      <c r="S846" s="328"/>
      <c r="T846" s="329"/>
      <c r="U846" s="329"/>
      <c r="V846" s="324"/>
      <c r="X846" s="363" t="s">
        <v>125</v>
      </c>
      <c r="Y846" s="364" t="s">
        <v>126</v>
      </c>
      <c r="Z846" s="364" t="s">
        <v>127</v>
      </c>
      <c r="AA846" s="365" t="s">
        <v>128</v>
      </c>
    </row>
    <row r="847" spans="1:27" ht="15" customHeight="1">
      <c r="A847" s="1062"/>
      <c r="B847" s="1055"/>
      <c r="C847" s="1055"/>
      <c r="D847" s="1055"/>
      <c r="E847" s="1057"/>
      <c r="F847" s="1058"/>
      <c r="G847" s="1058"/>
      <c r="H847" s="1065"/>
      <c r="I847" s="1335"/>
      <c r="K847" s="22" t="s">
        <v>23</v>
      </c>
      <c r="L847" s="16">
        <f>'Daily Stock'!Q499</f>
        <v>0</v>
      </c>
      <c r="R847" s="327"/>
      <c r="S847" s="318">
        <v>3</v>
      </c>
      <c r="T847" s="319">
        <f>U847</f>
        <v>0</v>
      </c>
      <c r="U847" s="319">
        <f>G843</f>
        <v>0</v>
      </c>
      <c r="V847" s="321" t="s">
        <v>119</v>
      </c>
      <c r="X847" s="366" t="s">
        <v>129</v>
      </c>
      <c r="Y847" s="367">
        <f>I840</f>
        <v>0</v>
      </c>
      <c r="Z847" s="367">
        <f>I843</f>
        <v>0</v>
      </c>
      <c r="AA847" s="368">
        <f>I850</f>
        <v>0</v>
      </c>
    </row>
    <row r="848" spans="1:27" ht="15.75" customHeight="1">
      <c r="A848" s="1062"/>
      <c r="B848" s="1055"/>
      <c r="C848" s="1055"/>
      <c r="D848" s="1055"/>
      <c r="E848" s="1057"/>
      <c r="F848" s="1058"/>
      <c r="G848" s="1058"/>
      <c r="H848" s="1065"/>
      <c r="I848" s="1066"/>
      <c r="K848" s="25" t="s">
        <v>24</v>
      </c>
      <c r="L848" s="16">
        <f>'Daily Stock'!Q500</f>
        <v>0</v>
      </c>
      <c r="R848" s="327"/>
      <c r="S848" s="328"/>
      <c r="T848" s="329"/>
      <c r="U848" s="329"/>
      <c r="V848" s="324"/>
      <c r="X848" s="366" t="s">
        <v>132</v>
      </c>
      <c r="Y848" s="206"/>
      <c r="Z848" s="367">
        <f>G849+G848</f>
        <v>0</v>
      </c>
      <c r="AA848" s="368">
        <f>G854+G853+G855+34.58</f>
        <v>34.58</v>
      </c>
    </row>
    <row r="849" spans="1:27" ht="15" customHeight="1">
      <c r="A849" s="1062"/>
      <c r="B849" s="1055"/>
      <c r="C849" s="1055"/>
      <c r="D849" s="1055"/>
      <c r="E849" s="1057"/>
      <c r="F849" s="1058"/>
      <c r="G849" s="1058"/>
      <c r="H849" s="1065"/>
      <c r="I849" s="1066"/>
      <c r="R849" s="327"/>
      <c r="S849" s="318">
        <v>5</v>
      </c>
      <c r="T849" s="319">
        <f>U849</f>
        <v>0</v>
      </c>
      <c r="U849" s="319">
        <f>G845</f>
        <v>0</v>
      </c>
      <c r="V849" s="321" t="s">
        <v>119</v>
      </c>
      <c r="X849" s="366"/>
      <c r="Y849" s="206"/>
      <c r="Z849" s="206"/>
      <c r="AA849" s="368"/>
    </row>
    <row r="850" spans="1:27" ht="15" customHeight="1">
      <c r="A850" s="1062"/>
      <c r="B850" s="1055"/>
      <c r="C850" s="1055"/>
      <c r="D850" s="1055"/>
      <c r="E850" s="1057"/>
      <c r="F850" s="1058"/>
      <c r="G850" s="1058"/>
      <c r="H850" s="401"/>
      <c r="I850" s="1336"/>
      <c r="J850" s="388"/>
      <c r="K850" s="338">
        <f>'Monthly Prod'!B29</f>
        <v>0</v>
      </c>
      <c r="L850" s="338">
        <f>'Monthly Prod'!C29</f>
        <v>0</v>
      </c>
      <c r="M850" s="338">
        <f>'Monthly Prod'!D29</f>
        <v>0</v>
      </c>
      <c r="N850" s="338">
        <f>'Monthly Prod'!E29</f>
        <v>0</v>
      </c>
      <c r="O850" s="338">
        <f>'Monthly Prod'!F29</f>
        <v>0</v>
      </c>
      <c r="P850" s="338">
        <f>'Monthly Prod'!H29</f>
        <v>0</v>
      </c>
      <c r="Q850" t="s">
        <v>134</v>
      </c>
      <c r="R850" s="339"/>
      <c r="S850" s="340" t="s">
        <v>121</v>
      </c>
      <c r="T850" s="319">
        <f>U850</f>
        <v>0</v>
      </c>
      <c r="U850" s="319">
        <f>G847</f>
        <v>0</v>
      </c>
      <c r="V850" s="321" t="s">
        <v>119</v>
      </c>
      <c r="X850" s="380" t="s">
        <v>135</v>
      </c>
      <c r="Y850" s="381">
        <f>SUM(Y847:Y849)</f>
        <v>0</v>
      </c>
      <c r="Z850" s="381">
        <f>SUM(Z847:Z849)</f>
        <v>0</v>
      </c>
      <c r="AA850" s="381">
        <f>SUM(AA847:AA849)</f>
        <v>34.58</v>
      </c>
    </row>
    <row r="851" spans="1:27" ht="15" customHeight="1">
      <c r="A851" s="1062"/>
      <c r="B851" s="1055"/>
      <c r="C851" s="1055"/>
      <c r="D851" s="1055"/>
      <c r="E851" s="1057"/>
      <c r="F851" s="1058"/>
      <c r="G851" s="1058"/>
      <c r="H851" s="1065"/>
      <c r="I851" s="1336"/>
      <c r="K851" s="286" t="s">
        <v>136</v>
      </c>
      <c r="L851" s="286" t="s">
        <v>137</v>
      </c>
      <c r="M851" s="277" t="s">
        <v>4</v>
      </c>
      <c r="N851" s="277" t="s">
        <v>138</v>
      </c>
      <c r="O851" s="286" t="s">
        <v>139</v>
      </c>
      <c r="P851" s="286" t="s">
        <v>140</v>
      </c>
      <c r="R851" s="326" t="s">
        <v>141</v>
      </c>
      <c r="S851" s="236">
        <v>6</v>
      </c>
      <c r="T851" s="320">
        <v>0</v>
      </c>
      <c r="U851" s="320">
        <v>0</v>
      </c>
      <c r="V851" s="325"/>
    </row>
    <row r="852" spans="1:27" ht="15" customHeight="1">
      <c r="A852" s="1062"/>
      <c r="B852" s="1055"/>
      <c r="C852" s="1055"/>
      <c r="D852" s="1055"/>
      <c r="E852" s="1057"/>
      <c r="F852" s="1058"/>
      <c r="G852" s="1058"/>
      <c r="H852" s="1065"/>
      <c r="I852" s="1336"/>
      <c r="K852" s="282">
        <f ca="1">SUM('Monthly Prod'!B3:B29)</f>
        <v>0</v>
      </c>
      <c r="L852" s="282">
        <f ca="1">SUM('Monthly Prod'!C3:C29)</f>
        <v>0</v>
      </c>
      <c r="M852" s="282">
        <f ca="1">SUM('Monthly Prod'!D3:D29)</f>
        <v>0</v>
      </c>
      <c r="N852" s="282">
        <f ca="1">SUM('Monthly Prod'!E3:E29)</f>
        <v>0</v>
      </c>
      <c r="O852" s="282">
        <f ca="1">SUM('Monthly Prod'!F3:F29)</f>
        <v>0</v>
      </c>
      <c r="P852" s="282">
        <f ca="1">SUM('Monthly Prod'!H3:H29)</f>
        <v>0</v>
      </c>
      <c r="Q852" t="s">
        <v>142</v>
      </c>
      <c r="R852" s="327"/>
      <c r="S852" s="341">
        <v>4.8</v>
      </c>
      <c r="T852" s="342"/>
      <c r="U852" s="342"/>
      <c r="V852" s="343"/>
      <c r="X852" s="370" t="s">
        <v>143</v>
      </c>
      <c r="Y852" s="371"/>
      <c r="Z852" s="371" t="s">
        <v>127</v>
      </c>
      <c r="AA852" s="372" t="s">
        <v>128</v>
      </c>
    </row>
    <row r="853" spans="1:27" ht="15" customHeight="1">
      <c r="A853" s="1062"/>
      <c r="B853" s="1055"/>
      <c r="C853" s="1055"/>
      <c r="D853" s="1055"/>
      <c r="E853" s="1057"/>
      <c r="F853" s="1058"/>
      <c r="G853" s="1058"/>
      <c r="H853" s="1065"/>
      <c r="I853" s="1336"/>
      <c r="R853" s="327"/>
      <c r="S853" s="318">
        <v>4</v>
      </c>
      <c r="T853" s="319">
        <f>U853</f>
        <v>0</v>
      </c>
      <c r="U853" s="319">
        <f>G851</f>
        <v>0</v>
      </c>
      <c r="V853" s="321" t="s">
        <v>119</v>
      </c>
      <c r="X853" s="366"/>
      <c r="Y853" s="206" t="s">
        <v>145</v>
      </c>
      <c r="Z853" s="282">
        <f>400+10-69.71-140.17-34.22-65.36-35.99-34.37</f>
        <v>30.180000000000042</v>
      </c>
      <c r="AA853" s="373" t="s">
        <v>146</v>
      </c>
    </row>
    <row r="854" spans="1:27" ht="15" customHeight="1">
      <c r="A854" s="1062"/>
      <c r="B854" s="1055"/>
      <c r="C854" s="1055"/>
      <c r="D854" s="1055"/>
      <c r="E854" s="1057"/>
      <c r="F854" s="1058"/>
      <c r="G854" s="1058"/>
      <c r="H854" s="1065"/>
      <c r="I854" s="1336"/>
      <c r="R854" s="327"/>
      <c r="S854" s="328"/>
      <c r="T854" s="329"/>
      <c r="U854" s="329"/>
      <c r="V854" s="324"/>
      <c r="W854" s="160"/>
      <c r="X854" s="374"/>
      <c r="Y854" s="206" t="s">
        <v>148</v>
      </c>
      <c r="Z854" s="282">
        <v>30.79</v>
      </c>
      <c r="AA854" s="369"/>
    </row>
    <row r="855" spans="1:27" ht="15" customHeight="1">
      <c r="A855" s="1062"/>
      <c r="B855" s="1055"/>
      <c r="C855" s="1055"/>
      <c r="D855" s="1055"/>
      <c r="E855" s="1057"/>
      <c r="F855" s="1058"/>
      <c r="G855" s="1058"/>
      <c r="H855" s="1065"/>
      <c r="I855" s="1055"/>
      <c r="R855" s="327"/>
      <c r="S855" s="318">
        <v>3</v>
      </c>
      <c r="T855" s="319">
        <f>U855</f>
        <v>0</v>
      </c>
      <c r="U855" s="319">
        <f>G850</f>
        <v>0</v>
      </c>
      <c r="V855" s="321" t="s">
        <v>119</v>
      </c>
      <c r="X855" s="374"/>
      <c r="Y855" s="206" t="s">
        <v>133</v>
      </c>
      <c r="Z855" s="282">
        <v>0</v>
      </c>
      <c r="AA855" s="369">
        <f>320-74.38-79.4</f>
        <v>166.22</v>
      </c>
    </row>
    <row r="856" spans="1:27" ht="15" customHeight="1">
      <c r="A856" s="1337"/>
      <c r="B856" s="1337"/>
      <c r="C856" s="1337"/>
      <c r="D856" s="1337"/>
      <c r="E856" s="1337"/>
      <c r="F856" s="1337"/>
      <c r="G856" s="1067"/>
      <c r="H856" s="1067"/>
      <c r="I856" s="1068"/>
      <c r="R856" s="327"/>
      <c r="S856" s="328"/>
      <c r="T856" s="329"/>
      <c r="U856" s="329"/>
      <c r="V856" s="324"/>
      <c r="X856" s="366"/>
      <c r="Y856" s="206" t="s">
        <v>150</v>
      </c>
      <c r="Z856" s="282"/>
      <c r="AA856" s="368">
        <f>1000-80.75-140.64-301.61-34.93-80.59-34.73</f>
        <v>326.75</v>
      </c>
    </row>
    <row r="857" spans="1:27" ht="15.75" customHeight="1">
      <c r="A857" s="1320"/>
      <c r="B857" s="1320"/>
      <c r="C857" s="1320"/>
      <c r="D857" s="1320"/>
      <c r="E857" s="1321"/>
      <c r="F857" s="1322"/>
      <c r="G857" s="1323"/>
      <c r="H857" s="1321"/>
      <c r="I857" s="1320"/>
      <c r="R857" s="327"/>
      <c r="S857" s="236">
        <v>5</v>
      </c>
      <c r="T857" s="320">
        <f>U857</f>
        <v>0</v>
      </c>
      <c r="U857" s="320">
        <f>G852</f>
        <v>0</v>
      </c>
      <c r="V857" s="325" t="s">
        <v>119</v>
      </c>
      <c r="X857" s="375"/>
      <c r="Y857" s="245" t="s">
        <v>158</v>
      </c>
      <c r="Z857" s="376"/>
      <c r="AA857" s="377">
        <f>400.91+500-370.26-99.63-69.08-80.1-109.37-159.53-29.74</f>
        <v>-16.799999999999859</v>
      </c>
    </row>
    <row r="858" spans="1:27" ht="15" customHeight="1">
      <c r="A858" s="1320"/>
      <c r="B858" s="1320"/>
      <c r="C858" s="1320"/>
      <c r="D858" s="1320"/>
      <c r="E858" s="1320"/>
      <c r="F858" s="1320"/>
      <c r="G858" s="1320"/>
      <c r="H858" s="1320"/>
      <c r="I858" s="1320"/>
      <c r="R858" s="327"/>
      <c r="S858" s="236">
        <v>4.8</v>
      </c>
      <c r="T858" s="320">
        <v>0</v>
      </c>
      <c r="U858" s="320">
        <v>0</v>
      </c>
      <c r="V858" s="325" t="s">
        <v>119</v>
      </c>
      <c r="X858" s="1305" t="s">
        <v>159</v>
      </c>
      <c r="Y858" s="1305"/>
      <c r="Z858" s="1305" t="s">
        <v>160</v>
      </c>
      <c r="AA858" s="1305"/>
    </row>
    <row r="859" spans="1:27" ht="15" customHeight="1">
      <c r="A859" s="1072"/>
      <c r="B859" s="1072"/>
      <c r="C859" s="1072"/>
      <c r="D859" s="1072"/>
      <c r="E859" s="1072"/>
      <c r="F859" s="1072"/>
      <c r="G859" s="1073"/>
      <c r="H859" s="1074"/>
      <c r="I859" s="1075"/>
      <c r="R859" s="339"/>
      <c r="S859" s="236" t="s">
        <v>121</v>
      </c>
      <c r="T859" s="320">
        <v>0</v>
      </c>
      <c r="U859" s="320">
        <v>0</v>
      </c>
      <c r="V859" s="325" t="s">
        <v>119</v>
      </c>
      <c r="X859" s="1306" t="s">
        <v>161</v>
      </c>
      <c r="Y859" s="1306"/>
      <c r="Z859" s="1306"/>
      <c r="AA859" s="1306"/>
    </row>
    <row r="860" spans="1:27" ht="15" customHeight="1">
      <c r="A860" s="1056"/>
      <c r="B860" s="1055"/>
      <c r="C860" s="1056"/>
      <c r="D860" s="1325"/>
      <c r="E860" s="1325"/>
      <c r="F860" s="1325"/>
      <c r="G860" s="1058"/>
      <c r="H860" s="1059"/>
      <c r="I860" s="286"/>
      <c r="R860" s="339"/>
      <c r="S860" s="236">
        <v>5</v>
      </c>
      <c r="T860" s="320">
        <v>0</v>
      </c>
      <c r="U860" s="320">
        <v>0</v>
      </c>
      <c r="V860" s="325"/>
      <c r="X860" s="383" t="s">
        <v>150</v>
      </c>
      <c r="Y860" s="384">
        <f>523+34.93+80.59+34.73</f>
        <v>673.25</v>
      </c>
      <c r="Z860" s="1307"/>
      <c r="AA860" s="1307"/>
    </row>
    <row r="861" spans="1:27" ht="15" customHeight="1">
      <c r="A861" s="1326"/>
      <c r="B861" s="1326"/>
      <c r="C861" s="1326"/>
      <c r="D861" s="1326"/>
      <c r="E861" s="1326"/>
      <c r="F861" s="1326"/>
      <c r="G861" s="1326"/>
      <c r="H861" s="1059"/>
      <c r="I861" s="286"/>
      <c r="R861" s="350"/>
      <c r="S861" s="211"/>
      <c r="T861" s="351">
        <f>SUM(T840:T860)</f>
        <v>0</v>
      </c>
      <c r="U861" s="351">
        <f>SUM(U840:U860)</f>
        <v>0</v>
      </c>
      <c r="V861" s="352"/>
      <c r="X861" s="967" t="s">
        <v>158</v>
      </c>
      <c r="Y861" s="968">
        <f>668.9+49.82+34.5</f>
        <v>753.22</v>
      </c>
      <c r="Z861" s="1338">
        <f>69.08-34.5</f>
        <v>34.58</v>
      </c>
      <c r="AA861" s="1338"/>
    </row>
    <row r="862" spans="1:27" ht="25.5" customHeight="1">
      <c r="A862" s="1076"/>
      <c r="B862" s="1076"/>
      <c r="C862" s="1075"/>
      <c r="D862" s="1069"/>
      <c r="E862" s="1070"/>
      <c r="F862" s="1071"/>
      <c r="G862" s="1067"/>
      <c r="H862" s="1059"/>
      <c r="I862" s="286"/>
      <c r="R862" s="350"/>
      <c r="S862" s="211"/>
      <c r="T862" s="211"/>
      <c r="U862" s="211"/>
      <c r="V862" s="352"/>
      <c r="X862" s="969"/>
      <c r="Y862" s="970"/>
      <c r="Z862" s="1339"/>
      <c r="AA862" s="1339"/>
    </row>
    <row r="863" spans="1:27" ht="15" customHeight="1">
      <c r="A863" s="1067"/>
      <c r="B863" s="1067"/>
      <c r="C863" s="1073"/>
      <c r="D863" s="1073"/>
      <c r="E863" s="1077"/>
      <c r="F863" s="1073"/>
      <c r="G863" s="1073"/>
      <c r="H863" s="1078"/>
      <c r="I863" s="286"/>
      <c r="R863" s="350"/>
      <c r="S863" s="211"/>
      <c r="T863" s="211"/>
      <c r="U863" s="211"/>
      <c r="V863" s="352"/>
    </row>
    <row r="864" spans="1:27" ht="15" customHeight="1">
      <c r="D864" s="1327"/>
      <c r="E864" s="1327"/>
      <c r="R864" s="350"/>
      <c r="S864" s="211"/>
      <c r="T864" s="211"/>
      <c r="U864" s="211"/>
      <c r="V864" s="352"/>
    </row>
    <row r="865" spans="1:27" ht="15.75">
      <c r="A865" s="1330"/>
      <c r="B865" s="1330"/>
      <c r="C865" s="1330"/>
      <c r="D865" s="1330"/>
      <c r="E865" s="1330"/>
      <c r="F865" s="1330"/>
      <c r="G865" s="1330"/>
      <c r="H865" s="1330"/>
      <c r="I865" s="1330"/>
    </row>
    <row r="866" spans="1:27">
      <c r="A866" s="1331"/>
      <c r="B866" s="1331"/>
      <c r="C866" s="1331"/>
      <c r="D866" s="1331"/>
      <c r="E866" s="1331"/>
      <c r="F866" s="1331"/>
      <c r="G866" s="1331"/>
      <c r="H866" s="1331"/>
      <c r="I866" s="1331"/>
    </row>
    <row r="867" spans="1:27">
      <c r="A867" s="1054"/>
      <c r="B867" s="1055"/>
      <c r="C867" s="1056"/>
      <c r="D867" s="1056"/>
      <c r="E867" s="1057"/>
      <c r="F867" s="1058"/>
      <c r="G867" s="1058"/>
      <c r="H867" s="1059"/>
      <c r="I867" s="286"/>
    </row>
    <row r="868" spans="1:27">
      <c r="A868" s="1332"/>
      <c r="B868" s="1332"/>
      <c r="C868" s="1332"/>
      <c r="D868" s="1333"/>
      <c r="E868" s="1332"/>
      <c r="F868" s="1332"/>
      <c r="G868" s="1332"/>
      <c r="H868" s="1333"/>
      <c r="I868" s="1332"/>
    </row>
    <row r="869" spans="1:27">
      <c r="A869" s="1332"/>
      <c r="B869" s="1332"/>
      <c r="C869" s="1332"/>
      <c r="D869" s="1332"/>
      <c r="E869" s="1061"/>
      <c r="F869" s="1061"/>
      <c r="G869" s="1061"/>
      <c r="H869" s="1333"/>
      <c r="I869" s="1333"/>
    </row>
    <row r="870" spans="1:27" ht="15.75" customHeight="1">
      <c r="A870" s="1062"/>
      <c r="B870" s="1055"/>
      <c r="C870" s="1060"/>
      <c r="D870" s="1063"/>
      <c r="E870" s="1063"/>
      <c r="F870" s="1064"/>
      <c r="G870" s="1058"/>
      <c r="H870" s="1065"/>
      <c r="I870" s="1332"/>
      <c r="K870" s="8" t="s">
        <v>14</v>
      </c>
      <c r="L870" s="16">
        <f>'Daily Stock'!Q508</f>
        <v>0</v>
      </c>
      <c r="R870" s="309" t="s">
        <v>201</v>
      </c>
      <c r="S870" s="310"/>
    </row>
    <row r="871" spans="1:27" ht="18.75">
      <c r="A871" s="1062"/>
      <c r="B871" s="1055"/>
      <c r="C871" s="1060"/>
      <c r="D871" s="1055"/>
      <c r="E871" s="1063"/>
      <c r="F871" s="1064"/>
      <c r="G871" s="1058"/>
      <c r="H871" s="1065"/>
      <c r="I871" s="1332"/>
      <c r="K871" s="22" t="s">
        <v>202</v>
      </c>
      <c r="L871" s="16">
        <f>'Daily Stock'!Q509</f>
        <v>0</v>
      </c>
      <c r="R871" s="311" t="s">
        <v>100</v>
      </c>
      <c r="S871" s="312"/>
      <c r="T871" s="313" t="s">
        <v>9</v>
      </c>
      <c r="U871" s="313" t="s">
        <v>113</v>
      </c>
      <c r="V871" s="314" t="s">
        <v>114</v>
      </c>
    </row>
    <row r="872" spans="1:27">
      <c r="A872" s="1062"/>
      <c r="B872" s="1055"/>
      <c r="C872" s="1055"/>
      <c r="D872" s="1055"/>
      <c r="E872" s="1057"/>
      <c r="F872" s="1058"/>
      <c r="G872" s="1058"/>
      <c r="H872" s="1065"/>
      <c r="I872" s="1334"/>
      <c r="K872" s="22" t="s">
        <v>117</v>
      </c>
      <c r="L872" s="16">
        <f>'Daily Stock'!Q510</f>
        <v>0</v>
      </c>
      <c r="R872" s="317" t="s">
        <v>118</v>
      </c>
      <c r="S872" s="318">
        <v>6</v>
      </c>
      <c r="T872" s="319">
        <f>U872</f>
        <v>0</v>
      </c>
      <c r="U872" s="320">
        <f>H872</f>
        <v>0</v>
      </c>
      <c r="V872" s="321" t="s">
        <v>119</v>
      </c>
    </row>
    <row r="873" spans="1:27">
      <c r="A873" s="1062"/>
      <c r="B873" s="1055"/>
      <c r="C873" s="1055"/>
      <c r="D873" s="1055"/>
      <c r="E873" s="1057"/>
      <c r="F873" s="1058"/>
      <c r="G873" s="1058"/>
      <c r="H873" s="1065"/>
      <c r="I873" s="1334"/>
      <c r="K873" s="22" t="s">
        <v>17</v>
      </c>
      <c r="L873" s="16">
        <f>'Daily Stock'!Q511</f>
        <v>0</v>
      </c>
      <c r="R873" s="317"/>
      <c r="S873" s="322"/>
      <c r="T873" s="323"/>
      <c r="U873" s="320">
        <v>0</v>
      </c>
      <c r="V873" s="324"/>
    </row>
    <row r="874" spans="1:27">
      <c r="A874" s="1062"/>
      <c r="B874" s="1055"/>
      <c r="C874" s="1055"/>
      <c r="D874" s="1055"/>
      <c r="E874" s="1057"/>
      <c r="F874" s="1058"/>
      <c r="G874" s="1058"/>
      <c r="H874" s="1065"/>
      <c r="I874" s="1334"/>
      <c r="K874" s="22" t="s">
        <v>18</v>
      </c>
      <c r="L874" s="16">
        <f>'Daily Stock'!Q512</f>
        <v>0</v>
      </c>
      <c r="R874" s="317"/>
      <c r="S874" s="236" t="s">
        <v>121</v>
      </c>
      <c r="T874" s="320">
        <v>0</v>
      </c>
      <c r="U874" s="320">
        <v>0</v>
      </c>
      <c r="V874" s="325"/>
    </row>
    <row r="875" spans="1:27">
      <c r="A875" s="1062"/>
      <c r="B875" s="1055"/>
      <c r="C875" s="1055"/>
      <c r="D875" s="1055"/>
      <c r="E875" s="1057"/>
      <c r="F875" s="1058"/>
      <c r="G875" s="1058"/>
      <c r="H875" s="1065"/>
      <c r="I875" s="1335"/>
      <c r="K875" s="22" t="s">
        <v>19</v>
      </c>
      <c r="L875" s="16">
        <f>'Daily Stock'!Q513</f>
        <v>0</v>
      </c>
      <c r="R875" s="326" t="s">
        <v>123</v>
      </c>
      <c r="S875" s="318">
        <v>6</v>
      </c>
      <c r="T875" s="319">
        <f>U875</f>
        <v>0</v>
      </c>
      <c r="U875" s="319">
        <f>H876</f>
        <v>0</v>
      </c>
      <c r="V875" s="321" t="s">
        <v>119</v>
      </c>
    </row>
    <row r="876" spans="1:27">
      <c r="A876" s="1062"/>
      <c r="B876" s="1055"/>
      <c r="C876" s="1055"/>
      <c r="D876" s="1055"/>
      <c r="E876" s="1057"/>
      <c r="F876" s="1058"/>
      <c r="G876" s="1058"/>
      <c r="H876" s="1065"/>
      <c r="I876" s="1335"/>
      <c r="K876" s="22" t="s">
        <v>20</v>
      </c>
      <c r="L876" s="16">
        <f>'Daily Stock'!Q514</f>
        <v>0</v>
      </c>
      <c r="R876" s="327"/>
      <c r="S876" s="328"/>
      <c r="T876" s="329"/>
      <c r="U876" s="329"/>
      <c r="V876" s="324"/>
    </row>
    <row r="877" spans="1:27" ht="15.75" thickBot="1">
      <c r="A877" s="1062"/>
      <c r="B877" s="1055"/>
      <c r="C877" s="1055"/>
      <c r="D877" s="1055"/>
      <c r="E877" s="1057"/>
      <c r="F877" s="1058"/>
      <c r="G877" s="1058"/>
      <c r="H877" s="1065"/>
      <c r="I877" s="1335"/>
      <c r="K877" s="22" t="s">
        <v>124</v>
      </c>
      <c r="L877" s="16">
        <f>'Daily Stock'!Q515</f>
        <v>0</v>
      </c>
      <c r="R877" s="327"/>
      <c r="S877" s="318">
        <v>4</v>
      </c>
      <c r="T877" s="319">
        <f>U877</f>
        <v>0</v>
      </c>
      <c r="U877" s="319">
        <f>G878</f>
        <v>0</v>
      </c>
      <c r="V877" s="321" t="s">
        <v>119</v>
      </c>
      <c r="X877" s="1304" t="s">
        <v>203</v>
      </c>
      <c r="Y877" s="1304"/>
      <c r="Z877" s="1304"/>
      <c r="AA877" s="1304"/>
    </row>
    <row r="878" spans="1:27">
      <c r="A878" s="1062"/>
      <c r="B878" s="1055"/>
      <c r="C878" s="1055"/>
      <c r="D878" s="1055"/>
      <c r="E878" s="1057"/>
      <c r="F878" s="1058"/>
      <c r="G878" s="1058"/>
      <c r="H878" s="1065"/>
      <c r="I878" s="1335"/>
      <c r="K878" s="22" t="s">
        <v>22</v>
      </c>
      <c r="L878" s="16">
        <f>'Daily Stock'!Q516</f>
        <v>0</v>
      </c>
      <c r="R878" s="327"/>
      <c r="S878" s="328"/>
      <c r="T878" s="329"/>
      <c r="U878" s="329"/>
      <c r="V878" s="324"/>
      <c r="X878" s="363" t="s">
        <v>125</v>
      </c>
      <c r="Y878" s="364" t="s">
        <v>126</v>
      </c>
      <c r="Z878" s="364" t="s">
        <v>127</v>
      </c>
      <c r="AA878" s="365" t="s">
        <v>128</v>
      </c>
    </row>
    <row r="879" spans="1:27">
      <c r="A879" s="1062"/>
      <c r="B879" s="1055"/>
      <c r="C879" s="1055"/>
      <c r="D879" s="1055"/>
      <c r="E879" s="1057"/>
      <c r="F879" s="1058"/>
      <c r="G879" s="1058"/>
      <c r="H879" s="1065"/>
      <c r="I879" s="1335"/>
      <c r="K879" s="22" t="s">
        <v>23</v>
      </c>
      <c r="L879" s="16">
        <f>'Daily Stock'!Q517</f>
        <v>0</v>
      </c>
      <c r="R879" s="327"/>
      <c r="S879" s="318">
        <v>3</v>
      </c>
      <c r="T879" s="319">
        <f>U879</f>
        <v>0</v>
      </c>
      <c r="U879" s="319">
        <f>G875</f>
        <v>0</v>
      </c>
      <c r="V879" s="321" t="s">
        <v>119</v>
      </c>
      <c r="X879" s="366" t="s">
        <v>129</v>
      </c>
      <c r="Y879" s="367">
        <f>I872</f>
        <v>0</v>
      </c>
      <c r="Z879" s="367">
        <f>I875</f>
        <v>0</v>
      </c>
      <c r="AA879" s="368">
        <f>I882</f>
        <v>0</v>
      </c>
    </row>
    <row r="880" spans="1:27" ht="15.75" customHeight="1" thickBot="1">
      <c r="A880" s="1062"/>
      <c r="B880" s="1055"/>
      <c r="C880" s="1055"/>
      <c r="D880" s="1055"/>
      <c r="E880" s="1057"/>
      <c r="F880" s="1058"/>
      <c r="G880" s="1058"/>
      <c r="H880" s="1065"/>
      <c r="I880" s="1066"/>
      <c r="K880" s="25" t="s">
        <v>24</v>
      </c>
      <c r="L880" s="16">
        <f>'Daily Stock'!Q518</f>
        <v>0</v>
      </c>
      <c r="R880" s="327"/>
      <c r="S880" s="328"/>
      <c r="T880" s="329"/>
      <c r="U880" s="329"/>
      <c r="V880" s="324"/>
      <c r="X880" s="366" t="s">
        <v>132</v>
      </c>
      <c r="Y880" s="206"/>
      <c r="Z880" s="367">
        <f>G881+G880</f>
        <v>0</v>
      </c>
      <c r="AA880" s="368">
        <f>G886+G885+G887+G872</f>
        <v>0</v>
      </c>
    </row>
    <row r="881" spans="1:27">
      <c r="A881" s="1062"/>
      <c r="B881" s="1055"/>
      <c r="C881" s="1055"/>
      <c r="D881" s="1055"/>
      <c r="E881" s="1057"/>
      <c r="F881" s="1058"/>
      <c r="G881" s="1058"/>
      <c r="H881" s="1065"/>
      <c r="I881" s="1066"/>
      <c r="R881" s="327"/>
      <c r="S881" s="318">
        <v>5</v>
      </c>
      <c r="T881" s="319">
        <f>U881</f>
        <v>0</v>
      </c>
      <c r="U881" s="319">
        <f>G877</f>
        <v>0</v>
      </c>
      <c r="V881" s="321" t="s">
        <v>119</v>
      </c>
      <c r="X881" s="366"/>
      <c r="Y881" s="206"/>
      <c r="Z881" s="206"/>
      <c r="AA881" s="368"/>
    </row>
    <row r="882" spans="1:27">
      <c r="A882" s="1062"/>
      <c r="B882" s="1055"/>
      <c r="C882" s="1055"/>
      <c r="D882" s="1055"/>
      <c r="E882" s="1057"/>
      <c r="F882" s="1058"/>
      <c r="G882" s="1058"/>
      <c r="H882" s="401"/>
      <c r="I882" s="1336"/>
      <c r="K882" s="338">
        <f>'Monthly Prod'!B30</f>
        <v>0</v>
      </c>
      <c r="L882" s="338">
        <f>'Monthly Prod'!C30</f>
        <v>0</v>
      </c>
      <c r="M882" s="338">
        <f>'Monthly Prod'!D30</f>
        <v>0</v>
      </c>
      <c r="N882" s="338">
        <f>'Monthly Prod'!E30</f>
        <v>0</v>
      </c>
      <c r="O882" s="338">
        <f>'Monthly Prod'!F30</f>
        <v>0</v>
      </c>
      <c r="P882" s="338">
        <f>'Monthly Prod'!H30</f>
        <v>0</v>
      </c>
      <c r="Q882" t="s">
        <v>134</v>
      </c>
      <c r="R882" s="339"/>
      <c r="S882" s="340" t="s">
        <v>121</v>
      </c>
      <c r="T882" s="319">
        <f>U882</f>
        <v>0</v>
      </c>
      <c r="U882" s="319">
        <f>G879</f>
        <v>0</v>
      </c>
      <c r="V882" s="321" t="s">
        <v>119</v>
      </c>
      <c r="X882" s="380" t="s">
        <v>135</v>
      </c>
      <c r="Y882" s="381">
        <f>SUM(Y879:Y881)</f>
        <v>0</v>
      </c>
      <c r="Z882" s="381">
        <f>SUM(Z879:Z881)</f>
        <v>0</v>
      </c>
      <c r="AA882" s="381">
        <f>SUM(AA879:AA881)</f>
        <v>0</v>
      </c>
    </row>
    <row r="883" spans="1:27">
      <c r="A883" s="1062"/>
      <c r="B883" s="1055"/>
      <c r="C883" s="1055"/>
      <c r="D883" s="1055"/>
      <c r="E883" s="1057"/>
      <c r="F883" s="1058"/>
      <c r="G883" s="1058"/>
      <c r="H883" s="1065"/>
      <c r="I883" s="1336"/>
      <c r="K883" s="286" t="s">
        <v>136</v>
      </c>
      <c r="L883" s="286" t="s">
        <v>137</v>
      </c>
      <c r="M883" s="277" t="s">
        <v>4</v>
      </c>
      <c r="N883" s="277" t="s">
        <v>138</v>
      </c>
      <c r="O883" s="286" t="s">
        <v>139</v>
      </c>
      <c r="P883" s="286" t="s">
        <v>140</v>
      </c>
      <c r="R883" s="326" t="s">
        <v>141</v>
      </c>
      <c r="S883" s="236">
        <v>6</v>
      </c>
      <c r="T883" s="320">
        <v>0</v>
      </c>
      <c r="U883" s="320">
        <v>0</v>
      </c>
      <c r="V883" s="325"/>
    </row>
    <row r="884" spans="1:27">
      <c r="A884" s="1062"/>
      <c r="B884" s="1055"/>
      <c r="C884" s="1055"/>
      <c r="D884" s="1055"/>
      <c r="E884" s="1057"/>
      <c r="F884" s="1058"/>
      <c r="G884" s="1058"/>
      <c r="H884" s="1065"/>
      <c r="I884" s="1336"/>
      <c r="K884" s="282">
        <f ca="1">SUM('Monthly Prod'!B3:B30)</f>
        <v>0</v>
      </c>
      <c r="L884" s="282">
        <f ca="1">SUM('Monthly Prod'!C3:C30)</f>
        <v>0</v>
      </c>
      <c r="M884" s="282">
        <f ca="1">SUM('Monthly Prod'!D3:D30)</f>
        <v>0</v>
      </c>
      <c r="N884" s="282">
        <f ca="1">SUM('Monthly Prod'!E3:E30)</f>
        <v>0</v>
      </c>
      <c r="O884" s="282">
        <f ca="1">SUM('Monthly Prod'!F3:F30)</f>
        <v>0</v>
      </c>
      <c r="P884" s="282">
        <f ca="1">SUM('Monthly Prod'!H3:H30)</f>
        <v>0</v>
      </c>
      <c r="Q884" t="s">
        <v>142</v>
      </c>
      <c r="R884" s="327"/>
      <c r="S884" s="341">
        <v>4.8</v>
      </c>
      <c r="T884" s="342"/>
      <c r="U884" s="342"/>
      <c r="V884" s="343"/>
      <c r="X884" s="370" t="s">
        <v>143</v>
      </c>
      <c r="Y884" s="371"/>
      <c r="Z884" s="371" t="s">
        <v>127</v>
      </c>
      <c r="AA884" s="372" t="s">
        <v>128</v>
      </c>
    </row>
    <row r="885" spans="1:27">
      <c r="A885" s="1062"/>
      <c r="B885" s="1055"/>
      <c r="C885" s="1055"/>
      <c r="D885" s="1055"/>
      <c r="E885" s="1057"/>
      <c r="F885" s="1058"/>
      <c r="G885" s="1058"/>
      <c r="H885" s="1065"/>
      <c r="I885" s="1336"/>
      <c r="R885" s="327"/>
      <c r="S885" s="318">
        <v>4</v>
      </c>
      <c r="T885" s="319">
        <f>U885</f>
        <v>0</v>
      </c>
      <c r="U885" s="319">
        <f>G883</f>
        <v>0</v>
      </c>
      <c r="V885" s="321" t="s">
        <v>119</v>
      </c>
      <c r="X885" s="366"/>
      <c r="Y885" s="206" t="s">
        <v>145</v>
      </c>
      <c r="Z885" s="282">
        <f>400+10-69.71-140.17-34.22-65.36-35.99-34.37</f>
        <v>30.180000000000042</v>
      </c>
      <c r="AA885" s="373" t="s">
        <v>146</v>
      </c>
    </row>
    <row r="886" spans="1:27">
      <c r="A886" s="1062"/>
      <c r="B886" s="1055"/>
      <c r="C886" s="1055"/>
      <c r="D886" s="1055"/>
      <c r="E886" s="1057"/>
      <c r="F886" s="1058"/>
      <c r="G886" s="1058"/>
      <c r="H886" s="1065"/>
      <c r="I886" s="1336"/>
      <c r="R886" s="327"/>
      <c r="S886" s="328"/>
      <c r="T886" s="329"/>
      <c r="U886" s="329"/>
      <c r="V886" s="324"/>
      <c r="X886" s="374"/>
      <c r="Y886" s="206" t="s">
        <v>148</v>
      </c>
      <c r="Z886" s="282">
        <v>30.79</v>
      </c>
      <c r="AA886" s="369"/>
    </row>
    <row r="887" spans="1:27">
      <c r="A887" s="1062"/>
      <c r="B887" s="1055"/>
      <c r="C887" s="1055"/>
      <c r="D887" s="1055"/>
      <c r="E887" s="1057"/>
      <c r="F887" s="1058"/>
      <c r="G887" s="1058"/>
      <c r="H887" s="1065"/>
      <c r="I887" s="1055"/>
      <c r="R887" s="327"/>
      <c r="S887" s="318">
        <v>3</v>
      </c>
      <c r="T887" s="319">
        <f>U887</f>
        <v>0</v>
      </c>
      <c r="U887" s="319">
        <f>G882</f>
        <v>0</v>
      </c>
      <c r="V887" s="321" t="s">
        <v>119</v>
      </c>
      <c r="X887" s="374"/>
      <c r="Y887" s="206" t="s">
        <v>133</v>
      </c>
      <c r="Z887" s="282">
        <v>0</v>
      </c>
      <c r="AA887" s="369">
        <f>320-74.38-79.4</f>
        <v>166.22</v>
      </c>
    </row>
    <row r="888" spans="1:27">
      <c r="A888" s="1337"/>
      <c r="B888" s="1337"/>
      <c r="C888" s="1337"/>
      <c r="D888" s="1337"/>
      <c r="E888" s="1337"/>
      <c r="F888" s="1337"/>
      <c r="G888" s="1067"/>
      <c r="H888" s="1067"/>
      <c r="I888" s="1068"/>
      <c r="R888" s="327"/>
      <c r="S888" s="328"/>
      <c r="T888" s="329"/>
      <c r="U888" s="329"/>
      <c r="V888" s="324"/>
      <c r="X888" s="366"/>
      <c r="Y888" s="206" t="s">
        <v>150</v>
      </c>
      <c r="Z888" s="282"/>
      <c r="AA888" s="368">
        <f>1000-80.75-140.64-301.61-34.93-80.59-34.73</f>
        <v>326.75</v>
      </c>
    </row>
    <row r="889" spans="1:27" ht="15" customHeight="1" thickBot="1">
      <c r="A889" s="1320"/>
      <c r="B889" s="1320"/>
      <c r="C889" s="1320"/>
      <c r="D889" s="1320"/>
      <c r="E889" s="1321"/>
      <c r="F889" s="1322"/>
      <c r="G889" s="1323"/>
      <c r="H889" s="1321"/>
      <c r="I889" s="1320"/>
      <c r="R889" s="327"/>
      <c r="S889" s="236">
        <v>5</v>
      </c>
      <c r="T889" s="320">
        <f>U889</f>
        <v>0</v>
      </c>
      <c r="U889" s="320">
        <f>G884</f>
        <v>0</v>
      </c>
      <c r="V889" s="325" t="s">
        <v>119</v>
      </c>
      <c r="X889" s="375"/>
      <c r="Y889" s="245" t="s">
        <v>158</v>
      </c>
      <c r="Z889" s="376"/>
      <c r="AA889" s="377">
        <f>400.91+500-370.26-99.63-69.08-80.1-109.37-159.53-29.74</f>
        <v>-16.799999999999859</v>
      </c>
    </row>
    <row r="890" spans="1:27">
      <c r="A890" s="1320"/>
      <c r="B890" s="1320"/>
      <c r="C890" s="1320"/>
      <c r="D890" s="1320"/>
      <c r="E890" s="1320"/>
      <c r="F890" s="1320"/>
      <c r="G890" s="1320"/>
      <c r="H890" s="1320"/>
      <c r="I890" s="1320"/>
      <c r="R890" s="327"/>
      <c r="S890" s="236">
        <v>4.8</v>
      </c>
      <c r="T890" s="320">
        <v>0</v>
      </c>
      <c r="U890" s="320">
        <v>0</v>
      </c>
      <c r="V890" s="325" t="s">
        <v>119</v>
      </c>
      <c r="X890" s="1305" t="s">
        <v>159</v>
      </c>
      <c r="Y890" s="1305"/>
      <c r="Z890" s="1305" t="s">
        <v>160</v>
      </c>
      <c r="AA890" s="1305"/>
    </row>
    <row r="891" spans="1:27">
      <c r="A891" s="1072"/>
      <c r="B891" s="1072"/>
      <c r="C891" s="1072"/>
      <c r="D891" s="1072"/>
      <c r="E891" s="1072"/>
      <c r="F891" s="1072"/>
      <c r="G891" s="1073"/>
      <c r="H891" s="1074"/>
      <c r="I891" s="1075"/>
      <c r="R891" s="339"/>
      <c r="S891" s="236" t="s">
        <v>121</v>
      </c>
      <c r="T891" s="320">
        <v>0</v>
      </c>
      <c r="U891" s="320">
        <v>0</v>
      </c>
      <c r="V891" s="325" t="s">
        <v>119</v>
      </c>
      <c r="X891" s="1306" t="s">
        <v>161</v>
      </c>
      <c r="Y891" s="1306"/>
      <c r="Z891" s="1306"/>
      <c r="AA891" s="1306"/>
    </row>
    <row r="892" spans="1:27">
      <c r="A892" s="1056"/>
      <c r="B892" s="1055"/>
      <c r="C892" s="1056"/>
      <c r="D892" s="1325"/>
      <c r="E892" s="1325"/>
      <c r="F892" s="1325"/>
      <c r="G892" s="1058"/>
      <c r="H892" s="1059"/>
      <c r="I892" s="286"/>
      <c r="R892" s="339"/>
      <c r="S892" s="236">
        <v>5</v>
      </c>
      <c r="T892" s="320">
        <v>0</v>
      </c>
      <c r="U892" s="320">
        <v>0</v>
      </c>
      <c r="V892" s="325"/>
      <c r="X892" s="383" t="s">
        <v>150</v>
      </c>
      <c r="Y892" s="384">
        <f>523+34.93+80.59+34.73</f>
        <v>673.25</v>
      </c>
      <c r="Z892" s="1307"/>
      <c r="AA892" s="1307"/>
    </row>
    <row r="893" spans="1:27">
      <c r="A893" s="1326"/>
      <c r="B893" s="1326"/>
      <c r="C893" s="1326"/>
      <c r="D893" s="1326"/>
      <c r="E893" s="1326"/>
      <c r="F893" s="1326"/>
      <c r="G893" s="1326"/>
      <c r="H893" s="1059"/>
      <c r="I893" s="286"/>
      <c r="R893" s="350"/>
      <c r="S893" s="211"/>
      <c r="T893" s="351">
        <f>SUM(T872:T892)</f>
        <v>0</v>
      </c>
      <c r="U893" s="351">
        <f>SUM(U872:U892)</f>
        <v>0</v>
      </c>
      <c r="V893" s="352"/>
      <c r="X893" s="385" t="s">
        <v>158</v>
      </c>
      <c r="Y893" s="384">
        <f>668.9+49.82+34.5+34.58</f>
        <v>787.80000000000007</v>
      </c>
      <c r="Z893" s="1307"/>
      <c r="AA893" s="1307"/>
    </row>
    <row r="894" spans="1:27">
      <c r="A894" s="1076"/>
      <c r="B894" s="1076"/>
      <c r="C894" s="1075"/>
      <c r="D894" s="1069"/>
      <c r="E894" s="1070"/>
      <c r="F894" s="1071"/>
      <c r="G894" s="1067"/>
      <c r="H894" s="1059"/>
      <c r="I894" s="286"/>
      <c r="R894" s="350"/>
      <c r="S894" s="211"/>
      <c r="T894" s="211"/>
      <c r="U894" s="211"/>
      <c r="V894" s="352"/>
    </row>
    <row r="895" spans="1:27">
      <c r="A895" s="1067"/>
      <c r="B895" s="1067"/>
      <c r="C895" s="1073"/>
      <c r="D895" s="1073"/>
      <c r="E895" s="1077"/>
      <c r="F895" s="1073"/>
      <c r="G895" s="1073"/>
      <c r="H895" s="1078"/>
      <c r="I895" s="286"/>
      <c r="R895" s="350"/>
      <c r="S895" s="211"/>
      <c r="T895" s="211"/>
      <c r="U895" s="211"/>
      <c r="V895" s="352"/>
    </row>
    <row r="896" spans="1:27">
      <c r="D896" s="1327"/>
      <c r="E896" s="1327"/>
      <c r="R896" s="350"/>
      <c r="S896" s="211"/>
      <c r="T896" s="211"/>
      <c r="U896" s="211"/>
      <c r="V896" s="352"/>
    </row>
    <row r="897" spans="1:27" ht="15.75" customHeight="1">
      <c r="A897" s="1330"/>
      <c r="B897" s="1330"/>
      <c r="C897" s="1330"/>
      <c r="D897" s="1330"/>
      <c r="E897" s="1330"/>
      <c r="F897" s="1330"/>
      <c r="G897" s="1330"/>
      <c r="H897" s="1330"/>
      <c r="I897" s="1330"/>
    </row>
    <row r="898" spans="1:27" ht="15" customHeight="1">
      <c r="A898" s="1331"/>
      <c r="B898" s="1331"/>
      <c r="C898" s="1331"/>
      <c r="D898" s="1331"/>
      <c r="E898" s="1331"/>
      <c r="F898" s="1331"/>
      <c r="G898" s="1331"/>
      <c r="H898" s="1331"/>
      <c r="I898" s="1331"/>
    </row>
    <row r="899" spans="1:27" ht="15" customHeight="1">
      <c r="A899" s="1054"/>
      <c r="B899" s="1055"/>
      <c r="C899" s="1056"/>
      <c r="D899" s="1056"/>
      <c r="E899" s="1057"/>
      <c r="F899" s="1058"/>
      <c r="G899" s="1058"/>
      <c r="H899" s="1059"/>
      <c r="I899" s="286"/>
    </row>
    <row r="900" spans="1:27" ht="15" customHeight="1">
      <c r="A900" s="1332"/>
      <c r="B900" s="1332"/>
      <c r="C900" s="1332"/>
      <c r="D900" s="1333"/>
      <c r="E900" s="1332"/>
      <c r="F900" s="1332"/>
      <c r="G900" s="1332"/>
      <c r="H900" s="1333"/>
      <c r="I900" s="1332"/>
    </row>
    <row r="901" spans="1:27">
      <c r="A901" s="1332"/>
      <c r="B901" s="1332"/>
      <c r="C901" s="1332"/>
      <c r="D901" s="1332"/>
      <c r="E901" s="1061"/>
      <c r="F901" s="1061"/>
      <c r="G901" s="1061"/>
      <c r="H901" s="1333"/>
      <c r="I901" s="1333"/>
    </row>
    <row r="902" spans="1:27" ht="15.75" customHeight="1" thickBot="1">
      <c r="A902" s="1062"/>
      <c r="B902" s="1055"/>
      <c r="C902" s="1060"/>
      <c r="D902" s="1063"/>
      <c r="E902" s="1063"/>
      <c r="F902" s="1064"/>
      <c r="G902" s="1058"/>
      <c r="H902" s="1065"/>
      <c r="I902" s="1332"/>
      <c r="K902" s="8" t="s">
        <v>14</v>
      </c>
      <c r="L902" s="16">
        <f>'Daily Stock'!Q526</f>
        <v>0</v>
      </c>
      <c r="R902" s="309" t="s">
        <v>204</v>
      </c>
      <c r="S902" s="310"/>
    </row>
    <row r="903" spans="1:27" ht="18.75" customHeight="1">
      <c r="A903" s="1062"/>
      <c r="B903" s="1055"/>
      <c r="C903" s="1060"/>
      <c r="D903" s="1055"/>
      <c r="E903" s="1063"/>
      <c r="F903" s="1064"/>
      <c r="G903" s="1058"/>
      <c r="H903" s="1065"/>
      <c r="I903" s="1332"/>
      <c r="K903" s="8" t="s">
        <v>112</v>
      </c>
      <c r="L903" s="16">
        <f>'Daily Stock'!Q527</f>
        <v>0</v>
      </c>
      <c r="R903" s="311" t="s">
        <v>100</v>
      </c>
      <c r="S903" s="312"/>
      <c r="T903" s="313" t="s">
        <v>9</v>
      </c>
      <c r="U903" s="313" t="s">
        <v>113</v>
      </c>
      <c r="V903" s="314" t="s">
        <v>114</v>
      </c>
    </row>
    <row r="904" spans="1:27" ht="15" customHeight="1">
      <c r="A904" s="1062"/>
      <c r="B904" s="1055"/>
      <c r="C904" s="1055"/>
      <c r="D904" s="1055"/>
      <c r="E904" s="1057"/>
      <c r="F904" s="1058"/>
      <c r="G904" s="1058"/>
      <c r="H904" s="1065"/>
      <c r="I904" s="1334"/>
      <c r="K904" s="22" t="s">
        <v>117</v>
      </c>
      <c r="L904" s="16">
        <f>'Daily Stock'!Q528</f>
        <v>0</v>
      </c>
      <c r="R904" s="317" t="s">
        <v>118</v>
      </c>
      <c r="S904" s="318">
        <v>6</v>
      </c>
      <c r="T904" s="319">
        <f>U904</f>
        <v>0</v>
      </c>
      <c r="U904" s="320">
        <f>H904</f>
        <v>0</v>
      </c>
      <c r="V904" s="321" t="s">
        <v>119</v>
      </c>
    </row>
    <row r="905" spans="1:27" ht="15" customHeight="1">
      <c r="A905" s="1062"/>
      <c r="B905" s="1055"/>
      <c r="C905" s="1055"/>
      <c r="D905" s="1055"/>
      <c r="E905" s="1057"/>
      <c r="F905" s="1058"/>
      <c r="G905" s="1058"/>
      <c r="H905" s="1065"/>
      <c r="I905" s="1334"/>
      <c r="K905" s="22" t="s">
        <v>17</v>
      </c>
      <c r="L905" s="16">
        <f>'Daily Stock'!Q529</f>
        <v>0</v>
      </c>
      <c r="R905" s="317"/>
      <c r="S905" s="322"/>
      <c r="T905" s="323"/>
      <c r="U905" s="320">
        <v>0</v>
      </c>
      <c r="V905" s="324"/>
    </row>
    <row r="906" spans="1:27" ht="15" customHeight="1">
      <c r="A906" s="1062"/>
      <c r="B906" s="1055"/>
      <c r="C906" s="1055"/>
      <c r="D906" s="1055"/>
      <c r="E906" s="1057"/>
      <c r="F906" s="1058"/>
      <c r="G906" s="1058"/>
      <c r="H906" s="1065"/>
      <c r="I906" s="1334"/>
      <c r="K906" s="22" t="s">
        <v>18</v>
      </c>
      <c r="L906" s="16">
        <f>'Daily Stock'!Q530</f>
        <v>0</v>
      </c>
      <c r="R906" s="317"/>
      <c r="S906" s="236" t="s">
        <v>121</v>
      </c>
      <c r="T906" s="320">
        <v>0</v>
      </c>
      <c r="U906" s="320">
        <v>0</v>
      </c>
      <c r="V906" s="325"/>
    </row>
    <row r="907" spans="1:27" ht="15" customHeight="1">
      <c r="A907" s="1062"/>
      <c r="B907" s="1055"/>
      <c r="C907" s="1055"/>
      <c r="D907" s="1055"/>
      <c r="E907" s="1057"/>
      <c r="F907" s="1058"/>
      <c r="G907" s="1058"/>
      <c r="H907" s="1065"/>
      <c r="I907" s="1335"/>
      <c r="K907" s="22" t="s">
        <v>19</v>
      </c>
      <c r="L907" s="16">
        <f>'Daily Stock'!Q531</f>
        <v>0</v>
      </c>
      <c r="R907" s="326" t="s">
        <v>123</v>
      </c>
      <c r="S907" s="318">
        <v>6</v>
      </c>
      <c r="T907" s="319">
        <f>U907</f>
        <v>0</v>
      </c>
      <c r="U907" s="319">
        <f>H908</f>
        <v>0</v>
      </c>
      <c r="V907" s="321" t="s">
        <v>119</v>
      </c>
    </row>
    <row r="908" spans="1:27" ht="15" customHeight="1">
      <c r="A908" s="1062"/>
      <c r="B908" s="1055"/>
      <c r="C908" s="1055"/>
      <c r="D908" s="1055"/>
      <c r="E908" s="1057"/>
      <c r="F908" s="1058"/>
      <c r="G908" s="1058"/>
      <c r="H908" s="1065"/>
      <c r="I908" s="1335"/>
      <c r="K908" s="22" t="s">
        <v>20</v>
      </c>
      <c r="L908" s="16">
        <f>'Daily Stock'!Q532</f>
        <v>0</v>
      </c>
      <c r="R908" s="327"/>
      <c r="S908" s="328"/>
      <c r="T908" s="329"/>
      <c r="U908" s="329"/>
      <c r="V908" s="324"/>
      <c r="X908" s="979"/>
      <c r="Y908" s="979"/>
      <c r="Z908" s="979"/>
      <c r="AA908" s="979"/>
    </row>
    <row r="909" spans="1:27" ht="15" customHeight="1" thickBot="1">
      <c r="A909" s="1062"/>
      <c r="B909" s="1055"/>
      <c r="C909" s="1055"/>
      <c r="D909" s="1055"/>
      <c r="E909" s="1057"/>
      <c r="F909" s="1058"/>
      <c r="G909" s="1058"/>
      <c r="H909" s="1065"/>
      <c r="I909" s="1335"/>
      <c r="K909" s="22" t="s">
        <v>124</v>
      </c>
      <c r="L909" s="16">
        <f>'Daily Stock'!Q533</f>
        <v>0</v>
      </c>
      <c r="R909" s="327"/>
      <c r="S909" s="318">
        <v>4</v>
      </c>
      <c r="T909" s="319">
        <f>U909</f>
        <v>0</v>
      </c>
      <c r="U909" s="319">
        <f>G910</f>
        <v>0</v>
      </c>
      <c r="V909" s="321" t="s">
        <v>119</v>
      </c>
      <c r="X909" s="1304" t="s">
        <v>205</v>
      </c>
      <c r="Y909" s="1304"/>
      <c r="Z909" s="1304"/>
      <c r="AA909" s="1304"/>
    </row>
    <row r="910" spans="1:27" ht="15" customHeight="1">
      <c r="A910" s="1062"/>
      <c r="B910" s="1055"/>
      <c r="C910" s="1055"/>
      <c r="D910" s="1055"/>
      <c r="E910" s="1057"/>
      <c r="F910" s="1058"/>
      <c r="G910" s="1058"/>
      <c r="H910" s="1065"/>
      <c r="I910" s="1335"/>
      <c r="K910" s="22" t="s">
        <v>22</v>
      </c>
      <c r="L910" s="16">
        <f>'Daily Stock'!Q534</f>
        <v>0</v>
      </c>
      <c r="R910" s="327"/>
      <c r="S910" s="328"/>
      <c r="T910" s="329"/>
      <c r="U910" s="329"/>
      <c r="V910" s="324"/>
      <c r="X910" s="363" t="s">
        <v>125</v>
      </c>
      <c r="Y910" s="364" t="s">
        <v>126</v>
      </c>
      <c r="Z910" s="364" t="s">
        <v>127</v>
      </c>
      <c r="AA910" s="365" t="s">
        <v>128</v>
      </c>
    </row>
    <row r="911" spans="1:27" ht="15" customHeight="1">
      <c r="A911" s="1062"/>
      <c r="B911" s="1055"/>
      <c r="C911" s="1055"/>
      <c r="D911" s="1055"/>
      <c r="E911" s="1057"/>
      <c r="F911" s="1058"/>
      <c r="G911" s="1058"/>
      <c r="H911" s="1065"/>
      <c r="I911" s="1335"/>
      <c r="K911" s="22" t="s">
        <v>23</v>
      </c>
      <c r="L911" s="16">
        <f>'Daily Stock'!Q535</f>
        <v>0</v>
      </c>
      <c r="R911" s="327"/>
      <c r="S911" s="318">
        <v>3</v>
      </c>
      <c r="T911" s="319">
        <f>U911</f>
        <v>0</v>
      </c>
      <c r="U911" s="319">
        <f>G907</f>
        <v>0</v>
      </c>
      <c r="V911" s="321" t="s">
        <v>119</v>
      </c>
      <c r="X911" s="366" t="s">
        <v>129</v>
      </c>
      <c r="Y911" s="367">
        <f>I904</f>
        <v>0</v>
      </c>
      <c r="Z911" s="367">
        <f>I907</f>
        <v>0</v>
      </c>
      <c r="AA911" s="368">
        <f>I914</f>
        <v>0</v>
      </c>
    </row>
    <row r="912" spans="1:27" ht="15.75" customHeight="1" thickBot="1">
      <c r="A912" s="1062"/>
      <c r="B912" s="1055"/>
      <c r="C912" s="1055"/>
      <c r="D912" s="1055"/>
      <c r="E912" s="1057"/>
      <c r="F912" s="1058"/>
      <c r="G912" s="1058"/>
      <c r="H912" s="1065"/>
      <c r="I912" s="1066"/>
      <c r="K912" s="25" t="s">
        <v>24</v>
      </c>
      <c r="L912" s="16">
        <f>'Daily Stock'!Q536</f>
        <v>0</v>
      </c>
      <c r="R912" s="327"/>
      <c r="S912" s="328"/>
      <c r="T912" s="329"/>
      <c r="U912" s="329"/>
      <c r="V912" s="324"/>
      <c r="X912" s="366" t="s">
        <v>132</v>
      </c>
      <c r="Y912" s="206"/>
      <c r="Z912" s="367">
        <f>G913+G912</f>
        <v>0</v>
      </c>
      <c r="AA912" s="368">
        <f>G918+G917+G919+G904</f>
        <v>0</v>
      </c>
    </row>
    <row r="913" spans="1:27" ht="15" customHeight="1">
      <c r="A913" s="1062"/>
      <c r="B913" s="1055"/>
      <c r="C913" s="1055"/>
      <c r="D913" s="1055"/>
      <c r="E913" s="1057"/>
      <c r="F913" s="1058"/>
      <c r="G913" s="1058"/>
      <c r="H913" s="1065"/>
      <c r="I913" s="1066"/>
      <c r="R913" s="327"/>
      <c r="S913" s="318">
        <v>5</v>
      </c>
      <c r="T913" s="319">
        <f>U913</f>
        <v>0</v>
      </c>
      <c r="U913" s="319">
        <f>G909</f>
        <v>0</v>
      </c>
      <c r="V913" s="321" t="s">
        <v>119</v>
      </c>
      <c r="X913" s="366"/>
      <c r="Y913" s="206"/>
      <c r="Z913" s="206"/>
      <c r="AA913" s="368"/>
    </row>
    <row r="914" spans="1:27" ht="15" customHeight="1">
      <c r="A914" s="1062"/>
      <c r="B914" s="1055"/>
      <c r="C914" s="1055"/>
      <c r="D914" s="1055"/>
      <c r="E914" s="1057"/>
      <c r="F914" s="1058"/>
      <c r="G914" s="1058"/>
      <c r="H914" s="401"/>
      <c r="I914" s="1336"/>
      <c r="K914" s="338">
        <f>'Monthly Prod'!B31</f>
        <v>0</v>
      </c>
      <c r="L914" s="338">
        <f>'Monthly Prod'!C31</f>
        <v>0</v>
      </c>
      <c r="M914" s="338">
        <f>'Monthly Prod'!D31</f>
        <v>0</v>
      </c>
      <c r="N914" s="338">
        <f>'Monthly Prod'!E31</f>
        <v>0</v>
      </c>
      <c r="O914" s="338">
        <f>'Monthly Prod'!F31</f>
        <v>0</v>
      </c>
      <c r="P914" s="338">
        <f>'Monthly Prod'!H31</f>
        <v>0</v>
      </c>
      <c r="Q914" t="s">
        <v>134</v>
      </c>
      <c r="R914" s="339"/>
      <c r="S914" s="340" t="s">
        <v>121</v>
      </c>
      <c r="T914" s="319">
        <f>U914</f>
        <v>0</v>
      </c>
      <c r="U914" s="319">
        <f>G911</f>
        <v>0</v>
      </c>
      <c r="V914" s="321" t="s">
        <v>119</v>
      </c>
      <c r="X914" s="380" t="s">
        <v>135</v>
      </c>
      <c r="Y914" s="381">
        <f>SUM(Y911:Y913)</f>
        <v>0</v>
      </c>
      <c r="Z914" s="381">
        <f>SUM(Z911:Z913)</f>
        <v>0</v>
      </c>
      <c r="AA914" s="381">
        <f>SUM(AA911:AA913)</f>
        <v>0</v>
      </c>
    </row>
    <row r="915" spans="1:27" ht="15" customHeight="1">
      <c r="A915" s="1062"/>
      <c r="B915" s="1055"/>
      <c r="C915" s="1055"/>
      <c r="D915" s="1055"/>
      <c r="E915" s="1057"/>
      <c r="F915" s="1058"/>
      <c r="G915" s="1058"/>
      <c r="H915" s="1065"/>
      <c r="I915" s="1336"/>
      <c r="K915" s="286" t="s">
        <v>136</v>
      </c>
      <c r="L915" s="286" t="s">
        <v>137</v>
      </c>
      <c r="M915" s="277" t="s">
        <v>4</v>
      </c>
      <c r="N915" s="277" t="s">
        <v>138</v>
      </c>
      <c r="O915" s="286" t="s">
        <v>139</v>
      </c>
      <c r="P915" s="286" t="s">
        <v>140</v>
      </c>
      <c r="R915" s="326" t="s">
        <v>141</v>
      </c>
      <c r="S915" s="236">
        <v>6</v>
      </c>
      <c r="T915" s="320">
        <v>0</v>
      </c>
      <c r="U915" s="320">
        <v>0</v>
      </c>
      <c r="V915" s="325"/>
    </row>
    <row r="916" spans="1:27" ht="15" customHeight="1">
      <c r="A916" s="1062"/>
      <c r="B916" s="1055"/>
      <c r="C916" s="1055"/>
      <c r="D916" s="1055"/>
      <c r="E916" s="1057"/>
      <c r="F916" s="1058"/>
      <c r="G916" s="1058"/>
      <c r="H916" s="1065"/>
      <c r="I916" s="1336"/>
      <c r="K916" s="282">
        <f ca="1">SUM('Monthly Prod'!B3:B31)</f>
        <v>0</v>
      </c>
      <c r="L916" s="282">
        <f ca="1">SUM('Monthly Prod'!C3:C31)</f>
        <v>0</v>
      </c>
      <c r="M916" s="282">
        <f ca="1">SUM('Monthly Prod'!D3:D31)</f>
        <v>0</v>
      </c>
      <c r="N916" s="282">
        <f ca="1">SUM('Monthly Prod'!E3:E31)</f>
        <v>0</v>
      </c>
      <c r="O916" s="282">
        <f ca="1">SUM('Monthly Prod'!F3:F31)</f>
        <v>0</v>
      </c>
      <c r="P916" s="282">
        <f ca="1">SUM('Monthly Prod'!H3:H31)</f>
        <v>0</v>
      </c>
      <c r="Q916" t="s">
        <v>142</v>
      </c>
      <c r="R916" s="327"/>
      <c r="S916" s="341">
        <v>4.8</v>
      </c>
      <c r="T916" s="342"/>
      <c r="U916" s="342"/>
      <c r="V916" s="343"/>
      <c r="X916" s="370" t="s">
        <v>143</v>
      </c>
      <c r="Y916" s="371"/>
      <c r="Z916" s="371" t="s">
        <v>127</v>
      </c>
      <c r="AA916" s="372" t="s">
        <v>128</v>
      </c>
    </row>
    <row r="917" spans="1:27" ht="15" customHeight="1">
      <c r="A917" s="1062"/>
      <c r="B917" s="1055"/>
      <c r="C917" s="1055"/>
      <c r="D917" s="1055"/>
      <c r="E917" s="1057"/>
      <c r="F917" s="1058"/>
      <c r="G917" s="1058"/>
      <c r="H917" s="1065"/>
      <c r="I917" s="1336"/>
      <c r="R917" s="327"/>
      <c r="S917" s="318">
        <v>4</v>
      </c>
      <c r="T917" s="319">
        <f>U917</f>
        <v>0</v>
      </c>
      <c r="U917" s="319">
        <f>G915</f>
        <v>0</v>
      </c>
      <c r="V917" s="321" t="s">
        <v>119</v>
      </c>
      <c r="X917" s="366"/>
      <c r="Y917" s="206" t="s">
        <v>145</v>
      </c>
      <c r="Z917" s="282">
        <f>400+10-69.71-140.17-34.22-65.36-35.99-34.37</f>
        <v>30.180000000000042</v>
      </c>
      <c r="AA917" s="373" t="s">
        <v>146</v>
      </c>
    </row>
    <row r="918" spans="1:27" ht="15" customHeight="1">
      <c r="A918" s="1062"/>
      <c r="B918" s="1055"/>
      <c r="C918" s="1055"/>
      <c r="D918" s="1055"/>
      <c r="E918" s="1057"/>
      <c r="F918" s="1058"/>
      <c r="G918" s="1058"/>
      <c r="H918" s="1065"/>
      <c r="I918" s="1336"/>
      <c r="R918" s="327"/>
      <c r="S918" s="328"/>
      <c r="T918" s="329"/>
      <c r="U918" s="329"/>
      <c r="V918" s="324"/>
      <c r="X918" s="374"/>
      <c r="Y918" s="206" t="s">
        <v>148</v>
      </c>
      <c r="Z918" s="282">
        <v>30.79</v>
      </c>
      <c r="AA918" s="369"/>
    </row>
    <row r="919" spans="1:27" ht="15" customHeight="1">
      <c r="A919" s="1062"/>
      <c r="B919" s="1055"/>
      <c r="C919" s="1055"/>
      <c r="D919" s="1055"/>
      <c r="E919" s="1057"/>
      <c r="F919" s="1058"/>
      <c r="G919" s="1058"/>
      <c r="H919" s="1065"/>
      <c r="I919" s="1055"/>
      <c r="J919" s="295">
        <f>838.19/1.2</f>
        <v>698.49166666666679</v>
      </c>
      <c r="R919" s="327"/>
      <c r="S919" s="318">
        <v>3</v>
      </c>
      <c r="T919" s="319">
        <f>U919</f>
        <v>0</v>
      </c>
      <c r="U919" s="319">
        <f>G914</f>
        <v>0</v>
      </c>
      <c r="V919" s="321" t="s">
        <v>119</v>
      </c>
      <c r="X919" s="374"/>
      <c r="Y919" s="206" t="s">
        <v>133</v>
      </c>
      <c r="Z919" s="282">
        <v>0</v>
      </c>
      <c r="AA919" s="369">
        <f>320-74.38-79.4</f>
        <v>166.22</v>
      </c>
    </row>
    <row r="920" spans="1:27" ht="15" customHeight="1">
      <c r="A920" s="1337"/>
      <c r="B920" s="1337"/>
      <c r="C920" s="1337"/>
      <c r="D920" s="1337"/>
      <c r="E920" s="1337"/>
      <c r="F920" s="1337"/>
      <c r="G920" s="1067"/>
      <c r="H920" s="1067"/>
      <c r="I920" s="1068"/>
      <c r="R920" s="327"/>
      <c r="S920" s="328"/>
      <c r="T920" s="329"/>
      <c r="U920" s="329"/>
      <c r="V920" s="324"/>
      <c r="X920" s="366"/>
      <c r="Y920" s="206" t="s">
        <v>150</v>
      </c>
      <c r="Z920" s="282"/>
      <c r="AA920" s="368">
        <f>1000-80.75-140.64-301.61-34.93-80.59-34.73</f>
        <v>326.75</v>
      </c>
    </row>
    <row r="921" spans="1:27" ht="15" customHeight="1" thickBot="1">
      <c r="A921" s="1320"/>
      <c r="B921" s="1320"/>
      <c r="C921" s="1320"/>
      <c r="D921" s="1320"/>
      <c r="E921" s="1321"/>
      <c r="F921" s="1322"/>
      <c r="G921" s="1323"/>
      <c r="H921" s="1321"/>
      <c r="I921" s="1320"/>
      <c r="R921" s="327"/>
      <c r="S921" s="236">
        <v>5</v>
      </c>
      <c r="T921" s="320">
        <f>U921</f>
        <v>0</v>
      </c>
      <c r="U921" s="320">
        <f>G916</f>
        <v>0</v>
      </c>
      <c r="V921" s="325" t="s">
        <v>119</v>
      </c>
      <c r="X921" s="375"/>
      <c r="Y921" s="245" t="s">
        <v>158</v>
      </c>
      <c r="Z921" s="376"/>
      <c r="AA921" s="377">
        <f>400.91+500-370.26-99.63-69.08-80.1-109.37-159.53-29.74</f>
        <v>-16.799999999999859</v>
      </c>
    </row>
    <row r="922" spans="1:27" ht="15" customHeight="1">
      <c r="A922" s="1320"/>
      <c r="B922" s="1320"/>
      <c r="C922" s="1320"/>
      <c r="D922" s="1320"/>
      <c r="E922" s="1320"/>
      <c r="F922" s="1320"/>
      <c r="G922" s="1320"/>
      <c r="H922" s="1320"/>
      <c r="I922" s="1320"/>
      <c r="R922" s="327"/>
      <c r="S922" s="236">
        <v>4.8</v>
      </c>
      <c r="T922" s="320">
        <v>0</v>
      </c>
      <c r="U922" s="320">
        <v>0</v>
      </c>
      <c r="V922" s="325" t="s">
        <v>119</v>
      </c>
      <c r="X922" s="1305" t="s">
        <v>159</v>
      </c>
      <c r="Y922" s="1305"/>
      <c r="Z922" s="1305" t="s">
        <v>160</v>
      </c>
      <c r="AA922" s="1305"/>
    </row>
    <row r="923" spans="1:27" ht="15" customHeight="1">
      <c r="A923" s="1072"/>
      <c r="B923" s="1072"/>
      <c r="C923" s="1072"/>
      <c r="D923" s="1072"/>
      <c r="E923" s="1072"/>
      <c r="F923" s="1072"/>
      <c r="G923" s="1073"/>
      <c r="H923" s="1074"/>
      <c r="I923" s="1075"/>
      <c r="R923" s="339"/>
      <c r="S923" s="236" t="s">
        <v>121</v>
      </c>
      <c r="T923" s="320">
        <v>0</v>
      </c>
      <c r="U923" s="320">
        <v>0</v>
      </c>
      <c r="V923" s="325" t="s">
        <v>119</v>
      </c>
      <c r="X923" s="1306" t="s">
        <v>161</v>
      </c>
      <c r="Y923" s="1306"/>
      <c r="Z923" s="1306"/>
      <c r="AA923" s="1306"/>
    </row>
    <row r="924" spans="1:27" ht="15" customHeight="1">
      <c r="A924" s="1056"/>
      <c r="B924" s="1055"/>
      <c r="C924" s="1056"/>
      <c r="D924" s="1325"/>
      <c r="E924" s="1325"/>
      <c r="F924" s="1325"/>
      <c r="G924" s="1058"/>
      <c r="H924" s="1059"/>
      <c r="I924" s="286"/>
      <c r="R924" s="339"/>
      <c r="S924" s="236">
        <v>5</v>
      </c>
      <c r="T924" s="320">
        <v>0</v>
      </c>
      <c r="U924" s="320">
        <v>0</v>
      </c>
      <c r="V924" s="325"/>
      <c r="X924" s="383" t="s">
        <v>150</v>
      </c>
      <c r="Y924" s="384">
        <f>523+34.93+80.59+34.73</f>
        <v>673.25</v>
      </c>
      <c r="Z924" s="1307"/>
      <c r="AA924" s="1307"/>
    </row>
    <row r="925" spans="1:27" ht="15" customHeight="1">
      <c r="A925" s="1326"/>
      <c r="B925" s="1326"/>
      <c r="C925" s="1326"/>
      <c r="D925" s="1326"/>
      <c r="E925" s="1326"/>
      <c r="F925" s="1326"/>
      <c r="G925" s="1326"/>
      <c r="H925" s="1059"/>
      <c r="I925" s="286"/>
      <c r="R925" s="350"/>
      <c r="S925" s="211"/>
      <c r="T925" s="351">
        <f>SUM(T904:T924)</f>
        <v>0</v>
      </c>
      <c r="U925" s="351">
        <f>SUM(U904:U924)</f>
        <v>0</v>
      </c>
      <c r="V925" s="352"/>
      <c r="X925" s="385" t="s">
        <v>158</v>
      </c>
      <c r="Y925" s="384">
        <f>668.9+49.82+34.5+34.58</f>
        <v>787.80000000000007</v>
      </c>
      <c r="Z925" s="1307"/>
      <c r="AA925" s="1307"/>
    </row>
    <row r="926" spans="1:27">
      <c r="A926" s="1076"/>
      <c r="B926" s="1076"/>
      <c r="C926" s="1075"/>
      <c r="D926" s="1069"/>
      <c r="E926" s="1070"/>
      <c r="F926" s="1071"/>
      <c r="G926" s="1067"/>
      <c r="H926" s="1059"/>
      <c r="I926" s="286"/>
      <c r="R926" s="350"/>
      <c r="S926" s="211"/>
      <c r="T926" s="211"/>
      <c r="U926" s="211"/>
      <c r="V926" s="352"/>
    </row>
    <row r="927" spans="1:27" ht="15" customHeight="1">
      <c r="A927" s="1067"/>
      <c r="B927" s="1067"/>
      <c r="C927" s="1073"/>
      <c r="D927" s="1073"/>
      <c r="E927" s="1077"/>
      <c r="F927" s="1073"/>
      <c r="G927" s="1073"/>
      <c r="H927" s="1078"/>
      <c r="I927" s="286"/>
      <c r="R927" s="350"/>
      <c r="S927" s="211"/>
      <c r="T927" s="211"/>
      <c r="U927" s="211"/>
      <c r="V927" s="352"/>
    </row>
    <row r="928" spans="1:27" ht="15" customHeight="1">
      <c r="D928" s="1327"/>
      <c r="E928" s="1327"/>
      <c r="R928" s="350"/>
      <c r="S928" s="211"/>
      <c r="T928" s="211"/>
      <c r="U928" s="211"/>
      <c r="V928" s="352"/>
    </row>
    <row r="929" spans="1:27" ht="15.75" customHeight="1">
      <c r="A929" s="1330"/>
      <c r="B929" s="1330"/>
      <c r="C929" s="1330"/>
      <c r="D929" s="1330"/>
      <c r="E929" s="1330"/>
      <c r="F929" s="1330"/>
      <c r="G929" s="1330"/>
      <c r="H929" s="1330"/>
      <c r="I929" s="1330"/>
    </row>
    <row r="930" spans="1:27" ht="15" customHeight="1">
      <c r="A930" s="1331"/>
      <c r="B930" s="1331"/>
      <c r="C930" s="1331"/>
      <c r="D930" s="1331"/>
      <c r="E930" s="1331"/>
      <c r="F930" s="1331"/>
      <c r="G930" s="1331"/>
      <c r="H930" s="1331"/>
      <c r="I930" s="1331"/>
    </row>
    <row r="931" spans="1:27" ht="15" customHeight="1">
      <c r="A931" s="1054"/>
      <c r="B931" s="1055"/>
      <c r="C931" s="1056"/>
      <c r="D931" s="1056"/>
      <c r="E931" s="1057"/>
      <c r="F931" s="1058"/>
      <c r="G931" s="1058"/>
      <c r="H931" s="1059"/>
      <c r="I931" s="286"/>
    </row>
    <row r="932" spans="1:27" ht="15" customHeight="1">
      <c r="A932" s="1332"/>
      <c r="B932" s="1332"/>
      <c r="C932" s="1332"/>
      <c r="D932" s="1333"/>
      <c r="E932" s="1332"/>
      <c r="F932" s="1332"/>
      <c r="G932" s="1332"/>
      <c r="H932" s="1333"/>
      <c r="I932" s="1332"/>
    </row>
    <row r="933" spans="1:27">
      <c r="A933" s="1332"/>
      <c r="B933" s="1332"/>
      <c r="C933" s="1332"/>
      <c r="D933" s="1332"/>
      <c r="E933" s="1061"/>
      <c r="F933" s="1061"/>
      <c r="G933" s="1061"/>
      <c r="H933" s="1333"/>
      <c r="I933" s="1333"/>
    </row>
    <row r="934" spans="1:27" ht="15.75" customHeight="1" thickBot="1">
      <c r="A934" s="1062"/>
      <c r="B934" s="1055"/>
      <c r="C934" s="1060"/>
      <c r="D934" s="1063"/>
      <c r="E934" s="1063"/>
      <c r="F934" s="1064"/>
      <c r="G934" s="1058"/>
      <c r="H934" s="1065"/>
      <c r="I934" s="1332"/>
      <c r="K934" s="8" t="s">
        <v>14</v>
      </c>
      <c r="L934" s="16">
        <f>'Daily Stock'!Q544</f>
        <v>0</v>
      </c>
      <c r="R934" s="309" t="s">
        <v>206</v>
      </c>
      <c r="S934" s="310"/>
    </row>
    <row r="935" spans="1:27" ht="18.75" customHeight="1">
      <c r="A935" s="1062"/>
      <c r="B935" s="1055"/>
      <c r="C935" s="1060"/>
      <c r="D935" s="1055"/>
      <c r="E935" s="1063"/>
      <c r="F935" s="1064"/>
      <c r="G935" s="1058"/>
      <c r="H935" s="1065"/>
      <c r="I935" s="1332"/>
      <c r="K935" s="8" t="s">
        <v>112</v>
      </c>
      <c r="L935" s="16">
        <f>'Daily Stock'!Q545</f>
        <v>0</v>
      </c>
      <c r="R935" s="311" t="s">
        <v>100</v>
      </c>
      <c r="S935" s="312"/>
      <c r="T935" s="313" t="s">
        <v>9</v>
      </c>
      <c r="U935" s="313" t="s">
        <v>113</v>
      </c>
      <c r="V935" s="314" t="s">
        <v>114</v>
      </c>
    </row>
    <row r="936" spans="1:27" ht="15" customHeight="1">
      <c r="A936" s="1062"/>
      <c r="B936" s="1055"/>
      <c r="C936" s="1055"/>
      <c r="D936" s="1055"/>
      <c r="E936" s="1057"/>
      <c r="F936" s="1058"/>
      <c r="G936" s="1058"/>
      <c r="H936" s="1065"/>
      <c r="I936" s="1334"/>
      <c r="K936" s="22" t="s">
        <v>117</v>
      </c>
      <c r="L936" s="16">
        <f>'Daily Stock'!Q546</f>
        <v>0</v>
      </c>
      <c r="R936" s="317" t="s">
        <v>118</v>
      </c>
      <c r="S936" s="318">
        <v>6</v>
      </c>
      <c r="T936" s="319">
        <f>U936</f>
        <v>0</v>
      </c>
      <c r="U936" s="320">
        <f>H936</f>
        <v>0</v>
      </c>
      <c r="V936" s="321" t="s">
        <v>119</v>
      </c>
    </row>
    <row r="937" spans="1:27" ht="15" customHeight="1">
      <c r="A937" s="1062"/>
      <c r="B937" s="1055"/>
      <c r="C937" s="1055"/>
      <c r="D937" s="1055"/>
      <c r="E937" s="1057"/>
      <c r="F937" s="1058"/>
      <c r="G937" s="1058"/>
      <c r="H937" s="1065"/>
      <c r="I937" s="1334"/>
      <c r="K937" s="22" t="s">
        <v>17</v>
      </c>
      <c r="L937" s="16">
        <f>'Daily Stock'!Q547</f>
        <v>0</v>
      </c>
      <c r="R937" s="317"/>
      <c r="S937" s="322"/>
      <c r="T937" s="323"/>
      <c r="U937" s="320">
        <v>0</v>
      </c>
      <c r="V937" s="324"/>
    </row>
    <row r="938" spans="1:27" ht="15" customHeight="1">
      <c r="A938" s="1062"/>
      <c r="B938" s="1055"/>
      <c r="C938" s="1055"/>
      <c r="D938" s="1055"/>
      <c r="E938" s="1057"/>
      <c r="F938" s="1058"/>
      <c r="G938" s="1058"/>
      <c r="H938" s="1065"/>
      <c r="I938" s="1334"/>
      <c r="K938" s="22" t="s">
        <v>18</v>
      </c>
      <c r="L938" s="16">
        <f>'Daily Stock'!Q548</f>
        <v>0</v>
      </c>
      <c r="R938" s="317"/>
      <c r="S938" s="236" t="s">
        <v>121</v>
      </c>
      <c r="T938" s="320">
        <v>0</v>
      </c>
      <c r="U938" s="320">
        <v>0</v>
      </c>
      <c r="V938" s="325"/>
    </row>
    <row r="939" spans="1:27" ht="15" customHeight="1">
      <c r="A939" s="1062"/>
      <c r="B939" s="1055"/>
      <c r="C939" s="1055"/>
      <c r="D939" s="1055"/>
      <c r="E939" s="1057"/>
      <c r="F939" s="1058"/>
      <c r="G939" s="1058"/>
      <c r="H939" s="1065"/>
      <c r="I939" s="1335"/>
      <c r="K939" s="22" t="s">
        <v>19</v>
      </c>
      <c r="L939" s="16">
        <f>'Daily Stock'!Q549</f>
        <v>0</v>
      </c>
      <c r="R939" s="326" t="s">
        <v>123</v>
      </c>
      <c r="S939" s="318">
        <v>6</v>
      </c>
      <c r="T939" s="319">
        <f>U939</f>
        <v>0</v>
      </c>
      <c r="U939" s="319">
        <f>H940</f>
        <v>0</v>
      </c>
      <c r="V939" s="321" t="s">
        <v>119</v>
      </c>
    </row>
    <row r="940" spans="1:27" ht="15" customHeight="1">
      <c r="A940" s="1062"/>
      <c r="B940" s="1055"/>
      <c r="C940" s="1055"/>
      <c r="D940" s="1055"/>
      <c r="E940" s="1057"/>
      <c r="F940" s="1058"/>
      <c r="G940" s="1058"/>
      <c r="H940" s="1065"/>
      <c r="I940" s="1335"/>
      <c r="K940" s="22" t="s">
        <v>20</v>
      </c>
      <c r="L940" s="16">
        <f>'Daily Stock'!Q550</f>
        <v>0</v>
      </c>
      <c r="R940" s="327"/>
      <c r="S940" s="328"/>
      <c r="T940" s="329"/>
      <c r="U940" s="329"/>
      <c r="V940" s="324"/>
    </row>
    <row r="941" spans="1:27" ht="15" customHeight="1" thickBot="1">
      <c r="A941" s="1062"/>
      <c r="B941" s="1055"/>
      <c r="C941" s="1055"/>
      <c r="D941" s="1055"/>
      <c r="E941" s="1057"/>
      <c r="F941" s="1058"/>
      <c r="G941" s="1058"/>
      <c r="H941" s="1065"/>
      <c r="I941" s="1335"/>
      <c r="K941" s="22" t="s">
        <v>124</v>
      </c>
      <c r="L941" s="16">
        <f>'Daily Stock'!Q551</f>
        <v>0</v>
      </c>
      <c r="R941" s="327"/>
      <c r="S941" s="318">
        <v>4</v>
      </c>
      <c r="T941" s="319">
        <f>U941</f>
        <v>0</v>
      </c>
      <c r="U941" s="319">
        <f>G942</f>
        <v>0</v>
      </c>
      <c r="V941" s="321" t="s">
        <v>119</v>
      </c>
      <c r="X941" s="1304" t="s">
        <v>110</v>
      </c>
      <c r="Y941" s="1304"/>
      <c r="Z941" s="1304"/>
      <c r="AA941" s="1304"/>
    </row>
    <row r="942" spans="1:27" ht="15" customHeight="1">
      <c r="A942" s="1062"/>
      <c r="B942" s="1055"/>
      <c r="C942" s="1055"/>
      <c r="D942" s="1055"/>
      <c r="E942" s="1057"/>
      <c r="F942" s="1058"/>
      <c r="G942" s="1058"/>
      <c r="H942" s="1065"/>
      <c r="I942" s="1335"/>
      <c r="K942" s="22" t="s">
        <v>22</v>
      </c>
      <c r="L942" s="16">
        <f>'Daily Stock'!Q552</f>
        <v>0</v>
      </c>
      <c r="R942" s="327"/>
      <c r="S942" s="328"/>
      <c r="T942" s="329"/>
      <c r="U942" s="329"/>
      <c r="V942" s="324"/>
      <c r="X942" s="363" t="s">
        <v>125</v>
      </c>
      <c r="Y942" s="364" t="s">
        <v>126</v>
      </c>
      <c r="Z942" s="364" t="s">
        <v>127</v>
      </c>
      <c r="AA942" s="365" t="s">
        <v>128</v>
      </c>
    </row>
    <row r="943" spans="1:27" ht="15" customHeight="1">
      <c r="A943" s="1062"/>
      <c r="B943" s="1055"/>
      <c r="C943" s="1055"/>
      <c r="D943" s="1055"/>
      <c r="E943" s="1057"/>
      <c r="F943" s="1058"/>
      <c r="G943" s="1058"/>
      <c r="H943" s="1065"/>
      <c r="I943" s="1335"/>
      <c r="K943" s="22" t="s">
        <v>23</v>
      </c>
      <c r="L943" s="16">
        <f>'Daily Stock'!Q553</f>
        <v>0</v>
      </c>
      <c r="R943" s="327"/>
      <c r="S943" s="318">
        <v>3</v>
      </c>
      <c r="T943" s="319">
        <f>U943</f>
        <v>0</v>
      </c>
      <c r="U943" s="319">
        <f>G939</f>
        <v>0</v>
      </c>
      <c r="V943" s="321" t="s">
        <v>119</v>
      </c>
      <c r="X943" s="366" t="s">
        <v>129</v>
      </c>
      <c r="Y943" s="367">
        <f>I936</f>
        <v>0</v>
      </c>
      <c r="Z943" s="367">
        <f>I939</f>
        <v>0</v>
      </c>
      <c r="AA943" s="368">
        <f>I946</f>
        <v>0</v>
      </c>
    </row>
    <row r="944" spans="1:27" ht="15.75" customHeight="1" thickBot="1">
      <c r="A944" s="1062"/>
      <c r="B944" s="1055"/>
      <c r="C944" s="1055"/>
      <c r="D944" s="1055"/>
      <c r="E944" s="1057"/>
      <c r="F944" s="1058"/>
      <c r="G944" s="1058"/>
      <c r="H944" s="1065"/>
      <c r="I944" s="1066"/>
      <c r="K944" s="25" t="s">
        <v>24</v>
      </c>
      <c r="L944" s="16">
        <f>'Daily Stock'!Q554</f>
        <v>0</v>
      </c>
      <c r="R944" s="327"/>
      <c r="S944" s="328"/>
      <c r="T944" s="329"/>
      <c r="U944" s="329"/>
      <c r="V944" s="324"/>
      <c r="X944" s="366" t="s">
        <v>132</v>
      </c>
      <c r="Y944" s="206"/>
      <c r="Z944" s="367">
        <f>G945+G944</f>
        <v>0</v>
      </c>
      <c r="AA944" s="368">
        <f>G950+G949+G951+G936</f>
        <v>0</v>
      </c>
    </row>
    <row r="945" spans="1:27" ht="15" customHeight="1">
      <c r="A945" s="1062"/>
      <c r="B945" s="1055"/>
      <c r="C945" s="1055"/>
      <c r="D945" s="1055"/>
      <c r="E945" s="1057"/>
      <c r="F945" s="1058"/>
      <c r="G945" s="1058"/>
      <c r="H945" s="1065"/>
      <c r="I945" s="1066"/>
      <c r="R945" s="327"/>
      <c r="S945" s="318">
        <v>5</v>
      </c>
      <c r="T945" s="319">
        <f>U945</f>
        <v>0</v>
      </c>
      <c r="U945" s="319">
        <f>G941</f>
        <v>0</v>
      </c>
      <c r="V945" s="321" t="s">
        <v>119</v>
      </c>
      <c r="X945" s="366"/>
      <c r="Y945" s="206"/>
      <c r="Z945" s="206"/>
      <c r="AA945" s="368"/>
    </row>
    <row r="946" spans="1:27" ht="15" customHeight="1">
      <c r="A946" s="1062"/>
      <c r="B946" s="1055"/>
      <c r="C946" s="1055"/>
      <c r="D946" s="1055"/>
      <c r="E946" s="1057"/>
      <c r="F946" s="1058"/>
      <c r="G946" s="1058"/>
      <c r="H946" s="401"/>
      <c r="I946" s="1336"/>
      <c r="K946" s="338">
        <f>'Monthly Prod'!B32</f>
        <v>0</v>
      </c>
      <c r="L946" s="338">
        <f>'Monthly Prod'!C32</f>
        <v>0</v>
      </c>
      <c r="M946" s="338">
        <f>'Monthly Prod'!D32</f>
        <v>0</v>
      </c>
      <c r="N946" s="338">
        <f>'Monthly Prod'!E32</f>
        <v>0</v>
      </c>
      <c r="O946" s="338">
        <f>'Monthly Prod'!F32</f>
        <v>0</v>
      </c>
      <c r="P946" s="338">
        <f>'Monthly Prod'!H32</f>
        <v>0</v>
      </c>
      <c r="Q946" t="s">
        <v>134</v>
      </c>
      <c r="R946" s="339"/>
      <c r="S946" s="340" t="s">
        <v>121</v>
      </c>
      <c r="T946" s="319">
        <f>U946</f>
        <v>0</v>
      </c>
      <c r="U946" s="319">
        <f>G943</f>
        <v>0</v>
      </c>
      <c r="V946" s="321" t="s">
        <v>119</v>
      </c>
      <c r="X946" s="380" t="s">
        <v>135</v>
      </c>
      <c r="Y946" s="381">
        <f>SUM(Y943:Y945)</f>
        <v>0</v>
      </c>
      <c r="Z946" s="381">
        <f>SUM(Z943:Z945)</f>
        <v>0</v>
      </c>
      <c r="AA946" s="381">
        <f>SUM(AA943:AA945)</f>
        <v>0</v>
      </c>
    </row>
    <row r="947" spans="1:27" ht="15" customHeight="1">
      <c r="A947" s="1062"/>
      <c r="B947" s="1055"/>
      <c r="C947" s="1055"/>
      <c r="D947" s="1055"/>
      <c r="E947" s="1057"/>
      <c r="F947" s="1058"/>
      <c r="G947" s="1058"/>
      <c r="H947" s="1065"/>
      <c r="I947" s="1336"/>
      <c r="K947" s="286" t="s">
        <v>136</v>
      </c>
      <c r="L947" s="286" t="s">
        <v>137</v>
      </c>
      <c r="M947" s="277" t="s">
        <v>4</v>
      </c>
      <c r="N947" s="277" t="s">
        <v>138</v>
      </c>
      <c r="O947" s="286" t="s">
        <v>139</v>
      </c>
      <c r="P947" s="286" t="s">
        <v>140</v>
      </c>
      <c r="R947" s="326" t="s">
        <v>141</v>
      </c>
      <c r="S947" s="236">
        <v>6</v>
      </c>
      <c r="T947" s="320">
        <v>0</v>
      </c>
      <c r="U947" s="320">
        <v>0</v>
      </c>
      <c r="V947" s="325"/>
    </row>
    <row r="948" spans="1:27" ht="15" customHeight="1">
      <c r="A948" s="1062"/>
      <c r="B948" s="1055"/>
      <c r="C948" s="1055"/>
      <c r="D948" s="1055"/>
      <c r="E948" s="1057"/>
      <c r="F948" s="1058"/>
      <c r="G948" s="1058"/>
      <c r="H948" s="1065"/>
      <c r="I948" s="1336"/>
      <c r="K948" s="282">
        <f ca="1">SUM('Monthly Prod'!B3:B32)</f>
        <v>0</v>
      </c>
      <c r="L948" s="282">
        <f ca="1">SUM('Monthly Prod'!C3:C32)</f>
        <v>0</v>
      </c>
      <c r="M948" s="282">
        <f ca="1">SUM('Monthly Prod'!D3:D32)</f>
        <v>0</v>
      </c>
      <c r="N948" s="282">
        <f ca="1">SUM('Monthly Prod'!E3:E32)</f>
        <v>0</v>
      </c>
      <c r="O948" s="282">
        <f ca="1">SUM('Monthly Prod'!F3:F32)</f>
        <v>0</v>
      </c>
      <c r="P948" s="282">
        <f ca="1">SUM('Monthly Prod'!H3:H32)</f>
        <v>0</v>
      </c>
      <c r="Q948" t="s">
        <v>142</v>
      </c>
      <c r="R948" s="327"/>
      <c r="S948" s="341">
        <v>4.8</v>
      </c>
      <c r="T948" s="342"/>
      <c r="U948" s="342"/>
      <c r="V948" s="343"/>
      <c r="X948" s="370" t="s">
        <v>143</v>
      </c>
      <c r="Y948" s="371"/>
      <c r="Z948" s="371" t="s">
        <v>127</v>
      </c>
      <c r="AA948" s="372" t="s">
        <v>128</v>
      </c>
    </row>
    <row r="949" spans="1:27" ht="15" customHeight="1">
      <c r="A949" s="1062"/>
      <c r="B949" s="1055"/>
      <c r="C949" s="1055"/>
      <c r="D949" s="1055"/>
      <c r="E949" s="1057"/>
      <c r="F949" s="1058"/>
      <c r="G949" s="1058"/>
      <c r="H949" s="1065"/>
      <c r="I949" s="1336"/>
      <c r="R949" s="327"/>
      <c r="S949" s="318">
        <v>4</v>
      </c>
      <c r="T949" s="319">
        <f>U949</f>
        <v>0</v>
      </c>
      <c r="U949" s="319">
        <f>G947</f>
        <v>0</v>
      </c>
      <c r="V949" s="321" t="s">
        <v>119</v>
      </c>
      <c r="X949" s="366"/>
      <c r="Y949" s="206" t="s">
        <v>145</v>
      </c>
      <c r="Z949" s="282">
        <f>400+10-69.71-140.17-34.22-65.36-35.99-34.37</f>
        <v>30.180000000000042</v>
      </c>
      <c r="AA949" s="373" t="s">
        <v>146</v>
      </c>
    </row>
    <row r="950" spans="1:27" ht="15" customHeight="1">
      <c r="A950" s="1062"/>
      <c r="B950" s="1055"/>
      <c r="C950" s="1055"/>
      <c r="D950" s="1055"/>
      <c r="E950" s="1057"/>
      <c r="F950" s="1058"/>
      <c r="G950" s="1058"/>
      <c r="H950" s="1065"/>
      <c r="I950" s="1336"/>
      <c r="R950" s="327"/>
      <c r="S950" s="328"/>
      <c r="T950" s="329"/>
      <c r="U950" s="329"/>
      <c r="V950" s="324"/>
      <c r="X950" s="374"/>
      <c r="Y950" s="206" t="s">
        <v>148</v>
      </c>
      <c r="Z950" s="282">
        <v>30.79</v>
      </c>
      <c r="AA950" s="369"/>
    </row>
    <row r="951" spans="1:27" ht="15" customHeight="1">
      <c r="A951" s="1062"/>
      <c r="B951" s="1055"/>
      <c r="C951" s="1055"/>
      <c r="D951" s="1055"/>
      <c r="E951" s="1057"/>
      <c r="F951" s="1058"/>
      <c r="G951" s="1058"/>
      <c r="H951" s="1065"/>
      <c r="I951" s="1055"/>
      <c r="R951" s="327"/>
      <c r="S951" s="318">
        <v>3</v>
      </c>
      <c r="T951" s="319">
        <f>U951</f>
        <v>0</v>
      </c>
      <c r="U951" s="319">
        <f>G946</f>
        <v>0</v>
      </c>
      <c r="V951" s="321" t="s">
        <v>119</v>
      </c>
      <c r="X951" s="374"/>
      <c r="Y951" s="206" t="s">
        <v>133</v>
      </c>
      <c r="Z951" s="282">
        <v>0</v>
      </c>
      <c r="AA951" s="369">
        <f>320-74.38-79.4</f>
        <v>166.22</v>
      </c>
    </row>
    <row r="952" spans="1:27" ht="15" customHeight="1">
      <c r="A952" s="1337"/>
      <c r="B952" s="1337"/>
      <c r="C952" s="1337"/>
      <c r="D952" s="1337"/>
      <c r="E952" s="1337"/>
      <c r="F952" s="1337"/>
      <c r="G952" s="1067"/>
      <c r="H952" s="1067"/>
      <c r="I952" s="1068"/>
      <c r="R952" s="327"/>
      <c r="S952" s="328"/>
      <c r="T952" s="329"/>
      <c r="U952" s="329"/>
      <c r="V952" s="324"/>
      <c r="X952" s="366"/>
      <c r="Y952" s="206" t="s">
        <v>150</v>
      </c>
      <c r="Z952" s="282"/>
      <c r="AA952" s="368">
        <f>1000-80.75-140.64-301.61-34.93-80.59-34.73</f>
        <v>326.75</v>
      </c>
    </row>
    <row r="953" spans="1:27" ht="15" customHeight="1" thickBot="1">
      <c r="A953" s="1320"/>
      <c r="B953" s="1320"/>
      <c r="C953" s="1320"/>
      <c r="D953" s="1320"/>
      <c r="E953" s="1321"/>
      <c r="F953" s="1322"/>
      <c r="G953" s="1323"/>
      <c r="H953" s="1321"/>
      <c r="I953" s="1320"/>
      <c r="R953" s="327"/>
      <c r="S953" s="236">
        <v>5</v>
      </c>
      <c r="T953" s="320">
        <f>U953</f>
        <v>0</v>
      </c>
      <c r="U953" s="320">
        <f>G948</f>
        <v>0</v>
      </c>
      <c r="V953" s="325" t="s">
        <v>119</v>
      </c>
      <c r="X953" s="375"/>
      <c r="Y953" s="245" t="s">
        <v>158</v>
      </c>
      <c r="Z953" s="376"/>
      <c r="AA953" s="377">
        <f>400.91+500-370.26-99.63-69.08-80.1-109.37-159.53-29.74</f>
        <v>-16.799999999999859</v>
      </c>
    </row>
    <row r="954" spans="1:27" ht="15" customHeight="1">
      <c r="A954" s="1320"/>
      <c r="B954" s="1320"/>
      <c r="C954" s="1320"/>
      <c r="D954" s="1320"/>
      <c r="E954" s="1320"/>
      <c r="F954" s="1320"/>
      <c r="G954" s="1320"/>
      <c r="H954" s="1320"/>
      <c r="I954" s="1320"/>
      <c r="R954" s="327"/>
      <c r="S954" s="236">
        <v>4.8</v>
      </c>
      <c r="T954" s="320">
        <v>0</v>
      </c>
      <c r="U954" s="320">
        <v>0</v>
      </c>
      <c r="V954" s="325" t="s">
        <v>119</v>
      </c>
      <c r="X954" s="1305" t="s">
        <v>159</v>
      </c>
      <c r="Y954" s="1305"/>
      <c r="Z954" s="1305" t="s">
        <v>160</v>
      </c>
      <c r="AA954" s="1305"/>
    </row>
    <row r="955" spans="1:27" ht="15" customHeight="1">
      <c r="A955" s="1072"/>
      <c r="B955" s="1072"/>
      <c r="C955" s="1072"/>
      <c r="D955" s="1072"/>
      <c r="E955" s="1072"/>
      <c r="F955" s="1072"/>
      <c r="G955" s="1073"/>
      <c r="H955" s="1074"/>
      <c r="I955" s="1075"/>
      <c r="R955" s="339"/>
      <c r="S955" s="236" t="s">
        <v>121</v>
      </c>
      <c r="T955" s="320">
        <v>0</v>
      </c>
      <c r="U955" s="320">
        <v>0</v>
      </c>
      <c r="V955" s="325" t="s">
        <v>119</v>
      </c>
      <c r="X955" s="1306" t="s">
        <v>161</v>
      </c>
      <c r="Y955" s="1306"/>
      <c r="Z955" s="1306"/>
      <c r="AA955" s="1306"/>
    </row>
    <row r="956" spans="1:27" ht="15" customHeight="1">
      <c r="A956" s="1056"/>
      <c r="B956" s="1055"/>
      <c r="C956" s="1056"/>
      <c r="D956" s="1325"/>
      <c r="E956" s="1325"/>
      <c r="F956" s="1325"/>
      <c r="G956" s="1058"/>
      <c r="H956" s="1059"/>
      <c r="I956" s="286"/>
      <c r="R956" s="339"/>
      <c r="S956" s="236">
        <v>5</v>
      </c>
      <c r="T956" s="320">
        <v>0</v>
      </c>
      <c r="U956" s="320">
        <v>0</v>
      </c>
      <c r="V956" s="325"/>
      <c r="X956" s="383" t="s">
        <v>150</v>
      </c>
      <c r="Y956" s="384">
        <f>523+34.93+80.59+34.73</f>
        <v>673.25</v>
      </c>
      <c r="Z956" s="1307"/>
      <c r="AA956" s="1307"/>
    </row>
    <row r="957" spans="1:27" ht="15" customHeight="1">
      <c r="A957" s="1326"/>
      <c r="B957" s="1326"/>
      <c r="C957" s="1326"/>
      <c r="D957" s="1326"/>
      <c r="E957" s="1326"/>
      <c r="F957" s="1326"/>
      <c r="G957" s="1326"/>
      <c r="H957" s="1059"/>
      <c r="I957" s="286"/>
      <c r="R957" s="350"/>
      <c r="S957" s="211"/>
      <c r="T957" s="351">
        <f>SUM(T936:T956)</f>
        <v>0</v>
      </c>
      <c r="U957" s="351">
        <f>SUM(U936:U956)</f>
        <v>0</v>
      </c>
      <c r="V957" s="352"/>
      <c r="X957" s="385" t="s">
        <v>158</v>
      </c>
      <c r="Y957" s="384">
        <f>668.9+49.82+34.5+34.58</f>
        <v>787.80000000000007</v>
      </c>
      <c r="Z957" s="1307"/>
      <c r="AA957" s="1307"/>
    </row>
    <row r="958" spans="1:27">
      <c r="A958" s="1076"/>
      <c r="B958" s="1076"/>
      <c r="C958" s="1075"/>
      <c r="D958" s="1069"/>
      <c r="E958" s="1070"/>
      <c r="F958" s="1071"/>
      <c r="G958" s="1067"/>
      <c r="H958" s="1059"/>
      <c r="I958" s="286"/>
      <c r="R958" s="350"/>
      <c r="S958" s="211"/>
      <c r="T958" s="211"/>
      <c r="U958" s="211"/>
      <c r="V958" s="352"/>
    </row>
    <row r="959" spans="1:27" ht="15" customHeight="1">
      <c r="A959" s="1067"/>
      <c r="B959" s="1067"/>
      <c r="C959" s="1073"/>
      <c r="D959" s="1073"/>
      <c r="E959" s="1077"/>
      <c r="F959" s="1073"/>
      <c r="G959" s="1073"/>
      <c r="H959" s="1078"/>
      <c r="I959" s="286"/>
      <c r="R959" s="350"/>
      <c r="S959" s="211"/>
      <c r="T959" s="211"/>
      <c r="U959" s="211"/>
      <c r="V959" s="352"/>
    </row>
    <row r="960" spans="1:27" ht="15" customHeight="1">
      <c r="D960" s="1327"/>
      <c r="E960" s="1327"/>
      <c r="R960" s="350"/>
      <c r="S960" s="211"/>
      <c r="T960" s="211"/>
      <c r="U960" s="211"/>
      <c r="V960" s="352"/>
    </row>
    <row r="961" spans="1:22" ht="15.75">
      <c r="A961" s="1328"/>
      <c r="B961" s="1328"/>
      <c r="C961" s="1328"/>
      <c r="D961" s="1328"/>
      <c r="E961" s="1328"/>
      <c r="F961" s="1328"/>
      <c r="G961" s="1328"/>
      <c r="H961" s="1328"/>
      <c r="I961" s="1328"/>
    </row>
    <row r="962" spans="1:22">
      <c r="A962" s="1329"/>
      <c r="B962" s="1329"/>
      <c r="C962" s="1329"/>
      <c r="D962" s="1329"/>
      <c r="E962" s="1329"/>
      <c r="F962" s="1329"/>
      <c r="G962" s="1329"/>
      <c r="H962" s="1329"/>
      <c r="I962" s="1329"/>
    </row>
    <row r="963" spans="1:22">
      <c r="A963" s="389"/>
      <c r="B963" s="390"/>
      <c r="C963" s="391"/>
      <c r="D963" s="391"/>
      <c r="E963" s="392"/>
      <c r="F963" s="393"/>
      <c r="G963" s="393"/>
      <c r="H963" s="394"/>
      <c r="I963" s="395"/>
    </row>
    <row r="964" spans="1:22">
      <c r="A964" s="1311"/>
      <c r="B964" s="1311"/>
      <c r="C964" s="1311"/>
      <c r="D964" s="1324"/>
      <c r="E964" s="1311"/>
      <c r="F964" s="1311"/>
      <c r="G964" s="1311"/>
      <c r="H964" s="1324"/>
      <c r="I964" s="1311"/>
    </row>
    <row r="965" spans="1:22" ht="15" customHeight="1">
      <c r="A965" s="1311"/>
      <c r="B965" s="1311"/>
      <c r="C965" s="1311"/>
      <c r="D965" s="1324"/>
      <c r="E965" s="397"/>
      <c r="F965" s="397"/>
      <c r="G965" s="397"/>
      <c r="H965" s="1324"/>
      <c r="I965" s="1311"/>
    </row>
    <row r="966" spans="1:22" ht="15.75" thickBot="1">
      <c r="A966" s="398"/>
      <c r="B966" s="390"/>
      <c r="C966" s="396"/>
      <c r="D966" s="399"/>
      <c r="E966" s="399"/>
      <c r="F966" s="400"/>
      <c r="G966" s="393"/>
      <c r="H966" s="401"/>
      <c r="I966" s="1311"/>
      <c r="K966" s="8" t="s">
        <v>14</v>
      </c>
      <c r="L966" s="16">
        <f>'Daily Stock'!Q562</f>
        <v>0</v>
      </c>
      <c r="R966" s="309" t="s">
        <v>207</v>
      </c>
      <c r="S966" s="310"/>
    </row>
    <row r="967" spans="1:22" ht="18.75">
      <c r="A967" s="398"/>
      <c r="B967" s="390"/>
      <c r="C967" s="396"/>
      <c r="D967" s="390"/>
      <c r="E967" s="399"/>
      <c r="F967" s="400"/>
      <c r="G967" s="393"/>
      <c r="H967" s="401"/>
      <c r="I967" s="1311"/>
      <c r="K967" s="8" t="s">
        <v>112</v>
      </c>
      <c r="L967" s="16">
        <f>'Daily Stock'!Q563</f>
        <v>0</v>
      </c>
      <c r="R967" s="311" t="s">
        <v>100</v>
      </c>
      <c r="S967" s="312"/>
      <c r="T967" s="313" t="s">
        <v>9</v>
      </c>
      <c r="U967" s="313" t="s">
        <v>113</v>
      </c>
      <c r="V967" s="314" t="s">
        <v>114</v>
      </c>
    </row>
    <row r="968" spans="1:22">
      <c r="A968" s="398"/>
      <c r="B968" s="390"/>
      <c r="C968" s="390"/>
      <c r="D968" s="390"/>
      <c r="E968" s="392"/>
      <c r="F968" s="393"/>
      <c r="G968" s="393"/>
      <c r="H968" s="401"/>
      <c r="I968" s="1312"/>
      <c r="K968" s="22" t="s">
        <v>117</v>
      </c>
      <c r="L968" s="16">
        <f>'Daily Stock'!Q564</f>
        <v>0</v>
      </c>
      <c r="R968" s="317" t="s">
        <v>118</v>
      </c>
      <c r="S968" s="318">
        <v>6</v>
      </c>
      <c r="T968" s="319">
        <f>U968</f>
        <v>0</v>
      </c>
      <c r="U968" s="320">
        <f>H968</f>
        <v>0</v>
      </c>
      <c r="V968" s="321" t="s">
        <v>119</v>
      </c>
    </row>
    <row r="969" spans="1:22">
      <c r="A969" s="398"/>
      <c r="B969" s="390"/>
      <c r="C969" s="390"/>
      <c r="D969" s="390"/>
      <c r="E969" s="392"/>
      <c r="F969" s="393"/>
      <c r="G969" s="393"/>
      <c r="H969" s="401"/>
      <c r="I969" s="1312"/>
      <c r="K969" s="22" t="s">
        <v>17</v>
      </c>
      <c r="L969" s="16">
        <f>'Daily Stock'!Q565</f>
        <v>0</v>
      </c>
      <c r="R969" s="317"/>
      <c r="S969" s="322"/>
      <c r="T969" s="323"/>
      <c r="U969" s="320">
        <v>0</v>
      </c>
      <c r="V969" s="324"/>
    </row>
    <row r="970" spans="1:22">
      <c r="A970" s="398"/>
      <c r="B970" s="390"/>
      <c r="C970" s="390"/>
      <c r="D970" s="390"/>
      <c r="E970" s="392"/>
      <c r="F970" s="393"/>
      <c r="G970" s="393"/>
      <c r="H970" s="401"/>
      <c r="I970" s="1312"/>
      <c r="K970" s="22" t="s">
        <v>18</v>
      </c>
      <c r="L970" s="16">
        <f>'Daily Stock'!Q566</f>
        <v>0</v>
      </c>
      <c r="R970" s="317"/>
      <c r="S970" s="236" t="s">
        <v>121</v>
      </c>
      <c r="T970" s="320">
        <v>0</v>
      </c>
      <c r="U970" s="320">
        <v>0</v>
      </c>
      <c r="V970" s="325"/>
    </row>
    <row r="971" spans="1:22">
      <c r="A971" s="398"/>
      <c r="B971" s="390"/>
      <c r="C971" s="390"/>
      <c r="D971" s="390"/>
      <c r="E971" s="392"/>
      <c r="F971" s="393"/>
      <c r="G971" s="393"/>
      <c r="H971" s="401"/>
      <c r="I971" s="1313"/>
      <c r="K971" s="22" t="s">
        <v>19</v>
      </c>
      <c r="L971" s="16">
        <f>'Daily Stock'!Q567</f>
        <v>0</v>
      </c>
      <c r="R971" s="326" t="s">
        <v>123</v>
      </c>
      <c r="S971" s="318">
        <v>6</v>
      </c>
      <c r="T971" s="319">
        <f>U971</f>
        <v>0</v>
      </c>
      <c r="U971" s="319">
        <f>H972</f>
        <v>0</v>
      </c>
      <c r="V971" s="321" t="s">
        <v>119</v>
      </c>
    </row>
    <row r="972" spans="1:22">
      <c r="A972" s="398"/>
      <c r="B972" s="390"/>
      <c r="C972" s="390"/>
      <c r="D972" s="390"/>
      <c r="E972" s="392"/>
      <c r="F972" s="393"/>
      <c r="G972" s="393"/>
      <c r="H972" s="401"/>
      <c r="I972" s="1313"/>
      <c r="K972" s="22" t="s">
        <v>20</v>
      </c>
      <c r="L972" s="16">
        <f>'Daily Stock'!Q568</f>
        <v>0</v>
      </c>
      <c r="R972" s="327"/>
      <c r="S972" s="328"/>
      <c r="T972" s="329"/>
      <c r="U972" s="329"/>
      <c r="V972" s="324"/>
    </row>
    <row r="973" spans="1:22">
      <c r="A973" s="398"/>
      <c r="B973" s="390"/>
      <c r="C973" s="390"/>
      <c r="D973" s="390"/>
      <c r="E973" s="392"/>
      <c r="F973" s="393"/>
      <c r="G973" s="393"/>
      <c r="H973" s="401"/>
      <c r="I973" s="1313"/>
      <c r="K973" s="22" t="s">
        <v>124</v>
      </c>
      <c r="L973" s="16">
        <f>'Daily Stock'!Q569</f>
        <v>0</v>
      </c>
      <c r="R973" s="327"/>
      <c r="S973" s="318">
        <v>4</v>
      </c>
      <c r="T973" s="319">
        <f>U973</f>
        <v>0</v>
      </c>
      <c r="U973" s="319">
        <f>G974</f>
        <v>0</v>
      </c>
      <c r="V973" s="321" t="s">
        <v>119</v>
      </c>
    </row>
    <row r="974" spans="1:22">
      <c r="A974" s="398"/>
      <c r="B974" s="390"/>
      <c r="C974" s="390"/>
      <c r="D974" s="390"/>
      <c r="E974" s="392"/>
      <c r="F974" s="393"/>
      <c r="G974" s="393"/>
      <c r="H974" s="401"/>
      <c r="I974" s="1313"/>
      <c r="K974" s="22" t="s">
        <v>22</v>
      </c>
      <c r="L974" s="16">
        <f>'Daily Stock'!Q570</f>
        <v>0</v>
      </c>
      <c r="R974" s="327"/>
      <c r="S974" s="328"/>
      <c r="T974" s="329"/>
      <c r="U974" s="329"/>
      <c r="V974" s="324"/>
    </row>
    <row r="975" spans="1:22">
      <c r="A975" s="398"/>
      <c r="B975" s="390"/>
      <c r="C975" s="390"/>
      <c r="D975" s="390"/>
      <c r="E975" s="392"/>
      <c r="F975" s="393"/>
      <c r="G975" s="393"/>
      <c r="H975" s="401"/>
      <c r="I975" s="1313"/>
      <c r="K975" s="22" t="s">
        <v>23</v>
      </c>
      <c r="L975" s="16">
        <f>'Daily Stock'!Q571</f>
        <v>0</v>
      </c>
      <c r="R975" s="327"/>
      <c r="S975" s="318">
        <v>3</v>
      </c>
      <c r="T975" s="319">
        <f>U975</f>
        <v>0</v>
      </c>
      <c r="U975" s="319">
        <f>G971</f>
        <v>0</v>
      </c>
      <c r="V975" s="321" t="s">
        <v>119</v>
      </c>
    </row>
    <row r="976" spans="1:22" ht="15.75" thickBot="1">
      <c r="A976" s="398"/>
      <c r="B976" s="390"/>
      <c r="C976" s="390"/>
      <c r="D976" s="390"/>
      <c r="E976" s="392"/>
      <c r="F976" s="393"/>
      <c r="G976" s="393"/>
      <c r="H976" s="401"/>
      <c r="I976" s="402"/>
      <c r="K976" s="25" t="s">
        <v>24</v>
      </c>
      <c r="L976" s="16">
        <f>'Daily Stock'!Q572</f>
        <v>0</v>
      </c>
      <c r="R976" s="327"/>
      <c r="S976" s="328"/>
      <c r="T976" s="329"/>
      <c r="U976" s="329"/>
      <c r="V976" s="324"/>
    </row>
    <row r="977" spans="1:22">
      <c r="A977" s="398"/>
      <c r="B977" s="390"/>
      <c r="C977" s="390"/>
      <c r="D977" s="390"/>
      <c r="E977" s="392"/>
      <c r="F977" s="393"/>
      <c r="G977" s="393"/>
      <c r="H977" s="401"/>
      <c r="I977" s="402"/>
      <c r="R977" s="327"/>
      <c r="S977" s="318">
        <v>5</v>
      </c>
      <c r="T977" s="319">
        <f>U977</f>
        <v>0</v>
      </c>
      <c r="U977" s="319">
        <f>G973</f>
        <v>0</v>
      </c>
      <c r="V977" s="321" t="s">
        <v>119</v>
      </c>
    </row>
    <row r="978" spans="1:22">
      <c r="A978" s="398"/>
      <c r="B978" s="390"/>
      <c r="C978" s="390"/>
      <c r="D978" s="390"/>
      <c r="E978" s="392"/>
      <c r="F978" s="393"/>
      <c r="G978" s="393"/>
      <c r="H978" s="401"/>
      <c r="I978" s="1314"/>
      <c r="K978" s="338">
        <f>'Monthly Prod'!B33</f>
        <v>0</v>
      </c>
      <c r="L978" s="338">
        <f>'Monthly Prod'!C33</f>
        <v>0</v>
      </c>
      <c r="M978" s="338">
        <f>'Monthly Prod'!D33</f>
        <v>0</v>
      </c>
      <c r="N978" s="338">
        <f>'Monthly Prod'!E33</f>
        <v>0</v>
      </c>
      <c r="O978" s="338">
        <f>'Monthly Prod'!F33</f>
        <v>0</v>
      </c>
      <c r="P978" s="338">
        <f>'Monthly Prod'!H33</f>
        <v>0</v>
      </c>
      <c r="Q978" t="s">
        <v>134</v>
      </c>
      <c r="R978" s="339"/>
      <c r="S978" s="340" t="s">
        <v>121</v>
      </c>
      <c r="T978" s="319">
        <f>U978</f>
        <v>0</v>
      </c>
      <c r="U978" s="319">
        <f>G975</f>
        <v>0</v>
      </c>
      <c r="V978" s="321" t="s">
        <v>119</v>
      </c>
    </row>
    <row r="979" spans="1:22">
      <c r="A979" s="398"/>
      <c r="B979" s="390"/>
      <c r="C979" s="390"/>
      <c r="D979" s="390"/>
      <c r="E979" s="392"/>
      <c r="F979" s="393"/>
      <c r="G979" s="393"/>
      <c r="H979" s="401"/>
      <c r="I979" s="1314"/>
      <c r="K979" s="286" t="s">
        <v>136</v>
      </c>
      <c r="L979" s="286" t="s">
        <v>137</v>
      </c>
      <c r="M979" s="277" t="s">
        <v>4</v>
      </c>
      <c r="N979" s="277" t="s">
        <v>138</v>
      </c>
      <c r="O979" s="286" t="s">
        <v>139</v>
      </c>
      <c r="P979" s="286" t="s">
        <v>140</v>
      </c>
      <c r="R979" s="326" t="s">
        <v>141</v>
      </c>
      <c r="S979" s="236">
        <v>6</v>
      </c>
      <c r="T979" s="320">
        <v>0</v>
      </c>
      <c r="U979" s="320">
        <v>0</v>
      </c>
      <c r="V979" s="325"/>
    </row>
    <row r="980" spans="1:22">
      <c r="A980" s="398"/>
      <c r="B980" s="390"/>
      <c r="C980" s="390"/>
      <c r="D980" s="390"/>
      <c r="E980" s="392"/>
      <c r="F980" s="393"/>
      <c r="G980" s="393"/>
      <c r="H980" s="401"/>
      <c r="I980" s="1314"/>
      <c r="K980" s="282">
        <f ca="1">SUM('Monthly Prod'!B3:B34)</f>
        <v>0</v>
      </c>
      <c r="L980" s="282">
        <f ca="1">SUM('Monthly Prod'!C3:C34)</f>
        <v>0</v>
      </c>
      <c r="M980" s="282">
        <f ca="1">SUM('Monthly Prod'!D3:D34)</f>
        <v>0</v>
      </c>
      <c r="N980" s="282">
        <f ca="1">SUM('Monthly Prod'!E3:E34)</f>
        <v>0</v>
      </c>
      <c r="O980" s="282">
        <f ca="1">SUM('Monthly Prod'!F3:F34)</f>
        <v>0</v>
      </c>
      <c r="P980" s="282">
        <f ca="1">SUM('Monthly Prod'!H3:H34)</f>
        <v>0</v>
      </c>
      <c r="Q980" t="s">
        <v>142</v>
      </c>
      <c r="R980" s="327"/>
      <c r="S980" s="341">
        <v>4.8</v>
      </c>
      <c r="T980" s="342"/>
      <c r="U980" s="342"/>
      <c r="V980" s="343"/>
    </row>
    <row r="981" spans="1:22">
      <c r="A981" s="398"/>
      <c r="B981" s="390"/>
      <c r="C981" s="390"/>
      <c r="D981" s="390"/>
      <c r="E981" s="392"/>
      <c r="F981" s="393"/>
      <c r="G981" s="393"/>
      <c r="H981" s="401"/>
      <c r="I981" s="1314"/>
      <c r="R981" s="327"/>
      <c r="S981" s="318">
        <v>4</v>
      </c>
      <c r="T981" s="319">
        <f>U981</f>
        <v>0</v>
      </c>
      <c r="U981" s="319">
        <f>G979</f>
        <v>0</v>
      </c>
      <c r="V981" s="321" t="s">
        <v>119</v>
      </c>
    </row>
    <row r="982" spans="1:22">
      <c r="A982" s="398"/>
      <c r="B982" s="390"/>
      <c r="C982" s="390"/>
      <c r="D982" s="390"/>
      <c r="E982" s="392"/>
      <c r="F982" s="393"/>
      <c r="G982" s="393"/>
      <c r="H982" s="401"/>
      <c r="I982" s="1314"/>
      <c r="R982" s="327"/>
      <c r="S982" s="328"/>
      <c r="T982" s="329"/>
      <c r="U982" s="329"/>
      <c r="V982" s="324"/>
    </row>
    <row r="983" spans="1:22">
      <c r="A983" s="398"/>
      <c r="B983" s="390"/>
      <c r="C983" s="402"/>
      <c r="D983" s="402"/>
      <c r="E983" s="392"/>
      <c r="F983" s="393"/>
      <c r="G983" s="393"/>
      <c r="H983" s="401"/>
      <c r="I983" s="390"/>
      <c r="R983" s="327"/>
      <c r="S983" s="318">
        <v>3</v>
      </c>
      <c r="T983" s="319">
        <f>U983</f>
        <v>0</v>
      </c>
      <c r="U983" s="319">
        <f>G978</f>
        <v>0</v>
      </c>
      <c r="V983" s="321" t="s">
        <v>119</v>
      </c>
    </row>
    <row r="984" spans="1:22">
      <c r="A984" s="1315"/>
      <c r="B984" s="1315"/>
      <c r="C984" s="1315"/>
      <c r="D984" s="1315"/>
      <c r="E984" s="1315"/>
      <c r="F984" s="1315"/>
      <c r="G984" s="403"/>
      <c r="H984" s="403"/>
      <c r="I984" s="403"/>
      <c r="R984" s="327"/>
      <c r="S984" s="328"/>
      <c r="T984" s="329"/>
      <c r="U984" s="329"/>
      <c r="V984" s="324"/>
    </row>
    <row r="985" spans="1:22" ht="15" customHeight="1">
      <c r="A985" s="1316"/>
      <c r="B985" s="1316"/>
      <c r="C985" s="1316"/>
      <c r="D985" s="1316"/>
      <c r="E985" s="1317"/>
      <c r="F985" s="1318"/>
      <c r="G985" s="1319"/>
      <c r="H985" s="1317"/>
      <c r="I985" s="1316"/>
      <c r="R985" s="327"/>
      <c r="S985" s="236">
        <v>5</v>
      </c>
      <c r="T985" s="320">
        <f>U985</f>
        <v>0</v>
      </c>
      <c r="U985" s="320">
        <f>G980</f>
        <v>0</v>
      </c>
      <c r="V985" s="325" t="s">
        <v>119</v>
      </c>
    </row>
    <row r="986" spans="1:22">
      <c r="A986" s="1316"/>
      <c r="B986" s="1316"/>
      <c r="C986" s="1316"/>
      <c r="D986" s="1316"/>
      <c r="E986" s="1317"/>
      <c r="F986" s="1318"/>
      <c r="G986" s="1319"/>
      <c r="H986" s="1317"/>
      <c r="I986" s="1316"/>
      <c r="R986" s="327"/>
      <c r="S986" s="236">
        <v>4.8</v>
      </c>
      <c r="T986" s="320">
        <v>0</v>
      </c>
      <c r="U986" s="320">
        <v>0</v>
      </c>
      <c r="V986" s="325" t="s">
        <v>119</v>
      </c>
    </row>
    <row r="987" spans="1:22">
      <c r="A987" s="407"/>
      <c r="B987" s="407"/>
      <c r="C987" s="407"/>
      <c r="D987" s="407"/>
      <c r="E987" s="407"/>
      <c r="F987" s="407"/>
      <c r="G987" s="408"/>
      <c r="H987" s="409"/>
      <c r="I987" s="410"/>
      <c r="R987" s="339"/>
      <c r="S987" s="236" t="s">
        <v>121</v>
      </c>
      <c r="T987" s="320">
        <v>0</v>
      </c>
      <c r="U987" s="320">
        <v>0</v>
      </c>
      <c r="V987" s="325" t="s">
        <v>119</v>
      </c>
    </row>
    <row r="988" spans="1:22">
      <c r="A988" s="391"/>
      <c r="B988" s="390"/>
      <c r="C988" s="391"/>
      <c r="D988" s="1308"/>
      <c r="E988" s="1308"/>
      <c r="F988" s="1308"/>
      <c r="G988" s="393"/>
      <c r="H988" s="394"/>
      <c r="I988" s="395"/>
      <c r="R988" s="339"/>
      <c r="S988" s="236">
        <v>5</v>
      </c>
      <c r="T988" s="320">
        <v>0</v>
      </c>
      <c r="U988" s="320">
        <v>0</v>
      </c>
      <c r="V988" s="325"/>
    </row>
    <row r="989" spans="1:22">
      <c r="A989" s="1309"/>
      <c r="B989" s="1309"/>
      <c r="C989" s="1309"/>
      <c r="D989" s="1309"/>
      <c r="E989" s="1309"/>
      <c r="F989" s="1309"/>
      <c r="G989" s="1309"/>
      <c r="H989" s="394"/>
      <c r="I989" s="395"/>
      <c r="R989" s="350"/>
      <c r="S989" s="211"/>
      <c r="T989" s="351">
        <f>SUM(T968:T988)</f>
        <v>0</v>
      </c>
      <c r="U989" s="351">
        <f>SUM(U968:U988)</f>
        <v>0</v>
      </c>
      <c r="V989" s="352"/>
    </row>
    <row r="990" spans="1:22" ht="15" customHeight="1">
      <c r="A990" s="411"/>
      <c r="B990" s="411"/>
      <c r="C990" s="410"/>
      <c r="D990" s="404"/>
      <c r="E990" s="405"/>
      <c r="F990" s="406"/>
      <c r="G990" s="403"/>
      <c r="H990" s="394"/>
      <c r="I990" s="395"/>
      <c r="R990" s="350"/>
      <c r="S990" s="211"/>
      <c r="T990" s="211"/>
      <c r="U990" s="211"/>
      <c r="V990" s="352"/>
    </row>
    <row r="991" spans="1:22">
      <c r="A991" s="403"/>
      <c r="B991" s="403"/>
      <c r="C991" s="408"/>
      <c r="D991" s="408"/>
      <c r="E991" s="412"/>
      <c r="F991" s="408"/>
      <c r="G991" s="408"/>
      <c r="H991" s="413"/>
      <c r="I991" s="395"/>
      <c r="R991" s="350"/>
      <c r="S991" s="211"/>
      <c r="T991" s="211"/>
      <c r="U991" s="211"/>
      <c r="V991" s="352"/>
    </row>
    <row r="992" spans="1:22">
      <c r="A992" s="180"/>
      <c r="B992" s="180"/>
      <c r="C992" s="180"/>
      <c r="D992" s="1310"/>
      <c r="E992" s="1310"/>
      <c r="F992" s="180"/>
      <c r="G992" s="180"/>
      <c r="H992" s="180"/>
      <c r="I992" s="180"/>
      <c r="R992" s="350"/>
      <c r="S992" s="211"/>
      <c r="T992" s="211"/>
      <c r="U992" s="211"/>
      <c r="V992" s="352"/>
    </row>
  </sheetData>
  <mergeCells count="906">
    <mergeCell ref="X941:AA941"/>
    <mergeCell ref="X954:Y954"/>
    <mergeCell ref="Z954:AA954"/>
    <mergeCell ref="X955:AA955"/>
    <mergeCell ref="Z956:AA956"/>
    <mergeCell ref="Z957:AA957"/>
    <mergeCell ref="X877:AA877"/>
    <mergeCell ref="X890:Y890"/>
    <mergeCell ref="Z890:AA890"/>
    <mergeCell ref="X891:AA891"/>
    <mergeCell ref="Z892:AA892"/>
    <mergeCell ref="Z893:AA893"/>
    <mergeCell ref="Z925:AA925"/>
    <mergeCell ref="Z924:AA924"/>
    <mergeCell ref="X909:AA909"/>
    <mergeCell ref="X922:Y922"/>
    <mergeCell ref="Z922:AA922"/>
    <mergeCell ref="X923:AA923"/>
    <mergeCell ref="A1:I1"/>
    <mergeCell ref="A2:I2"/>
    <mergeCell ref="A4:A5"/>
    <mergeCell ref="B4:B5"/>
    <mergeCell ref="C4:C5"/>
    <mergeCell ref="D4:D5"/>
    <mergeCell ref="E4:G4"/>
    <mergeCell ref="H4:H5"/>
    <mergeCell ref="I4:I5"/>
    <mergeCell ref="I6:I7"/>
    <mergeCell ref="I8:I10"/>
    <mergeCell ref="I11:I15"/>
    <mergeCell ref="I18:I22"/>
    <mergeCell ref="A24:F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D28:F28"/>
    <mergeCell ref="A29:G29"/>
    <mergeCell ref="D32:E32"/>
    <mergeCell ref="A33:I33"/>
    <mergeCell ref="A34:I34"/>
    <mergeCell ref="A36:A37"/>
    <mergeCell ref="B36:B37"/>
    <mergeCell ref="C36:C37"/>
    <mergeCell ref="D36:D37"/>
    <mergeCell ref="E36:G36"/>
    <mergeCell ref="H36:H37"/>
    <mergeCell ref="I36:I37"/>
    <mergeCell ref="I38:I39"/>
    <mergeCell ref="I40:I42"/>
    <mergeCell ref="I43:I47"/>
    <mergeCell ref="I50:I54"/>
    <mergeCell ref="A56:F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D60:F60"/>
    <mergeCell ref="A61:G61"/>
    <mergeCell ref="D64:E64"/>
    <mergeCell ref="A65:I65"/>
    <mergeCell ref="A66:I66"/>
    <mergeCell ref="A68:A69"/>
    <mergeCell ref="B68:B69"/>
    <mergeCell ref="C68:C69"/>
    <mergeCell ref="D68:D69"/>
    <mergeCell ref="E68:G68"/>
    <mergeCell ref="H68:H69"/>
    <mergeCell ref="I68:I69"/>
    <mergeCell ref="I70:I71"/>
    <mergeCell ref="I72:I74"/>
    <mergeCell ref="I75:I79"/>
    <mergeCell ref="I82:I86"/>
    <mergeCell ref="A88:F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D92:F92"/>
    <mergeCell ref="A93:G93"/>
    <mergeCell ref="D96:E96"/>
    <mergeCell ref="A97:I97"/>
    <mergeCell ref="A98:I98"/>
    <mergeCell ref="A100:A101"/>
    <mergeCell ref="B100:B101"/>
    <mergeCell ref="C100:C101"/>
    <mergeCell ref="D100:D101"/>
    <mergeCell ref="E100:G100"/>
    <mergeCell ref="H100:H101"/>
    <mergeCell ref="I100:I101"/>
    <mergeCell ref="I102:I103"/>
    <mergeCell ref="I104:I106"/>
    <mergeCell ref="I107:I111"/>
    <mergeCell ref="I114:I118"/>
    <mergeCell ref="A120:F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D124:F124"/>
    <mergeCell ref="A125:G125"/>
    <mergeCell ref="D128:E128"/>
    <mergeCell ref="A129:I129"/>
    <mergeCell ref="A130:I130"/>
    <mergeCell ref="A132:A133"/>
    <mergeCell ref="B132:B133"/>
    <mergeCell ref="C132:C133"/>
    <mergeCell ref="D132:D133"/>
    <mergeCell ref="E132:G132"/>
    <mergeCell ref="H132:H133"/>
    <mergeCell ref="I132:I133"/>
    <mergeCell ref="I134:I135"/>
    <mergeCell ref="I136:I138"/>
    <mergeCell ref="I139:I143"/>
    <mergeCell ref="I146:I150"/>
    <mergeCell ref="A152:F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D156:F156"/>
    <mergeCell ref="A157:G157"/>
    <mergeCell ref="D160:E160"/>
    <mergeCell ref="A161:I161"/>
    <mergeCell ref="A162:I162"/>
    <mergeCell ref="A164:A165"/>
    <mergeCell ref="B164:B165"/>
    <mergeCell ref="C164:C165"/>
    <mergeCell ref="D164:D165"/>
    <mergeCell ref="E164:G164"/>
    <mergeCell ref="H164:H165"/>
    <mergeCell ref="I164:I165"/>
    <mergeCell ref="I166:I167"/>
    <mergeCell ref="I168:I170"/>
    <mergeCell ref="I171:I175"/>
    <mergeCell ref="I178:I182"/>
    <mergeCell ref="A184:F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D188:F188"/>
    <mergeCell ref="A189:G189"/>
    <mergeCell ref="D192:E192"/>
    <mergeCell ref="A193:I193"/>
    <mergeCell ref="A194:I194"/>
    <mergeCell ref="A196:A197"/>
    <mergeCell ref="B196:B197"/>
    <mergeCell ref="C196:C197"/>
    <mergeCell ref="D196:D197"/>
    <mergeCell ref="E196:G196"/>
    <mergeCell ref="H196:H197"/>
    <mergeCell ref="I196:I197"/>
    <mergeCell ref="I198:I199"/>
    <mergeCell ref="I200:I202"/>
    <mergeCell ref="I203:I207"/>
    <mergeCell ref="X205:AA205"/>
    <mergeCell ref="I210:I214"/>
    <mergeCell ref="A216:F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D220:F220"/>
    <mergeCell ref="A221:G221"/>
    <mergeCell ref="D224:E224"/>
    <mergeCell ref="A225:I225"/>
    <mergeCell ref="A226:I226"/>
    <mergeCell ref="A228:A229"/>
    <mergeCell ref="B228:B229"/>
    <mergeCell ref="C228:C229"/>
    <mergeCell ref="D228:D229"/>
    <mergeCell ref="E228:G228"/>
    <mergeCell ref="H228:H229"/>
    <mergeCell ref="I228:I229"/>
    <mergeCell ref="I230:I231"/>
    <mergeCell ref="I232:I234"/>
    <mergeCell ref="I235:I239"/>
    <mergeCell ref="X237:AA237"/>
    <mergeCell ref="I242:I246"/>
    <mergeCell ref="A248:F248"/>
    <mergeCell ref="A249:A250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D252:F252"/>
    <mergeCell ref="A253:G253"/>
    <mergeCell ref="D256:E256"/>
    <mergeCell ref="A257:I257"/>
    <mergeCell ref="A258:I258"/>
    <mergeCell ref="A260:A261"/>
    <mergeCell ref="B260:B261"/>
    <mergeCell ref="C260:C261"/>
    <mergeCell ref="D260:D261"/>
    <mergeCell ref="E260:G260"/>
    <mergeCell ref="H260:H261"/>
    <mergeCell ref="I260:I261"/>
    <mergeCell ref="I262:I263"/>
    <mergeCell ref="I264:I266"/>
    <mergeCell ref="I267:I271"/>
    <mergeCell ref="X269:AA269"/>
    <mergeCell ref="I274:I278"/>
    <mergeCell ref="A280:F280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D284:F284"/>
    <mergeCell ref="A285:G285"/>
    <mergeCell ref="D288:E288"/>
    <mergeCell ref="A289:I289"/>
    <mergeCell ref="A290:I290"/>
    <mergeCell ref="A292:A293"/>
    <mergeCell ref="B292:B293"/>
    <mergeCell ref="C292:C293"/>
    <mergeCell ref="D292:D293"/>
    <mergeCell ref="E292:G292"/>
    <mergeCell ref="H292:H293"/>
    <mergeCell ref="I292:I293"/>
    <mergeCell ref="I294:I295"/>
    <mergeCell ref="I296:I298"/>
    <mergeCell ref="I299:I303"/>
    <mergeCell ref="X301:AA301"/>
    <mergeCell ref="I306:I310"/>
    <mergeCell ref="A312:F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D316:F316"/>
    <mergeCell ref="A317:G317"/>
    <mergeCell ref="D320:E320"/>
    <mergeCell ref="A321:I321"/>
    <mergeCell ref="A322:I322"/>
    <mergeCell ref="A324:A325"/>
    <mergeCell ref="B324:B325"/>
    <mergeCell ref="C324:C325"/>
    <mergeCell ref="D324:D325"/>
    <mergeCell ref="E324:G324"/>
    <mergeCell ref="H324:H325"/>
    <mergeCell ref="I324:I325"/>
    <mergeCell ref="I326:I327"/>
    <mergeCell ref="I328:I330"/>
    <mergeCell ref="I331:I335"/>
    <mergeCell ref="X333:AA333"/>
    <mergeCell ref="I338:I342"/>
    <mergeCell ref="A344:F344"/>
    <mergeCell ref="A345:A346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D348:F348"/>
    <mergeCell ref="A349:G349"/>
    <mergeCell ref="D352:E352"/>
    <mergeCell ref="A353:I353"/>
    <mergeCell ref="A354:I354"/>
    <mergeCell ref="A356:A357"/>
    <mergeCell ref="B356:B357"/>
    <mergeCell ref="C356:C357"/>
    <mergeCell ref="D356:D357"/>
    <mergeCell ref="E356:G356"/>
    <mergeCell ref="H356:H357"/>
    <mergeCell ref="I356:I357"/>
    <mergeCell ref="I358:I359"/>
    <mergeCell ref="I360:I362"/>
    <mergeCell ref="I363:I367"/>
    <mergeCell ref="X365:AA365"/>
    <mergeCell ref="I370:I374"/>
    <mergeCell ref="A376:F376"/>
    <mergeCell ref="A377:A378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D380:F380"/>
    <mergeCell ref="A381:G381"/>
    <mergeCell ref="D384:E384"/>
    <mergeCell ref="A385:I385"/>
    <mergeCell ref="A386:I386"/>
    <mergeCell ref="A388:A389"/>
    <mergeCell ref="B388:B389"/>
    <mergeCell ref="C388:C389"/>
    <mergeCell ref="D388:D389"/>
    <mergeCell ref="E388:G388"/>
    <mergeCell ref="H388:H389"/>
    <mergeCell ref="I388:I389"/>
    <mergeCell ref="I390:I391"/>
    <mergeCell ref="I392:I394"/>
    <mergeCell ref="I395:I399"/>
    <mergeCell ref="X397:AA397"/>
    <mergeCell ref="I402:I406"/>
    <mergeCell ref="A408:F408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D412:F412"/>
    <mergeCell ref="A413:G413"/>
    <mergeCell ref="D416:E416"/>
    <mergeCell ref="A417:I417"/>
    <mergeCell ref="A418:I418"/>
    <mergeCell ref="A420:A421"/>
    <mergeCell ref="B420:B421"/>
    <mergeCell ref="C420:C421"/>
    <mergeCell ref="D420:D421"/>
    <mergeCell ref="E420:G420"/>
    <mergeCell ref="H420:H421"/>
    <mergeCell ref="I420:I421"/>
    <mergeCell ref="I422:I423"/>
    <mergeCell ref="I424:I426"/>
    <mergeCell ref="I427:I431"/>
    <mergeCell ref="X429:AA429"/>
    <mergeCell ref="I434:I438"/>
    <mergeCell ref="A440:F440"/>
    <mergeCell ref="A441:A442"/>
    <mergeCell ref="B441:B442"/>
    <mergeCell ref="C441:C442"/>
    <mergeCell ref="D441:D442"/>
    <mergeCell ref="E441:E442"/>
    <mergeCell ref="F441:F442"/>
    <mergeCell ref="G441:G442"/>
    <mergeCell ref="H441:H442"/>
    <mergeCell ref="I441:I442"/>
    <mergeCell ref="D444:F444"/>
    <mergeCell ref="A445:G445"/>
    <mergeCell ref="D448:E448"/>
    <mergeCell ref="A449:I449"/>
    <mergeCell ref="A450:I450"/>
    <mergeCell ref="A452:A453"/>
    <mergeCell ref="B452:B453"/>
    <mergeCell ref="C452:C453"/>
    <mergeCell ref="D452:D453"/>
    <mergeCell ref="E452:G452"/>
    <mergeCell ref="H452:H453"/>
    <mergeCell ref="I452:I453"/>
    <mergeCell ref="I454:I455"/>
    <mergeCell ref="I456:I458"/>
    <mergeCell ref="I459:I463"/>
    <mergeCell ref="X461:AA461"/>
    <mergeCell ref="I466:I470"/>
    <mergeCell ref="A472:F472"/>
    <mergeCell ref="A473:A474"/>
    <mergeCell ref="B473:B474"/>
    <mergeCell ref="C473:C474"/>
    <mergeCell ref="D473:D474"/>
    <mergeCell ref="E473:E474"/>
    <mergeCell ref="F473:F474"/>
    <mergeCell ref="G473:G474"/>
    <mergeCell ref="H473:H474"/>
    <mergeCell ref="I473:I474"/>
    <mergeCell ref="D476:F476"/>
    <mergeCell ref="A477:G477"/>
    <mergeCell ref="D480:E480"/>
    <mergeCell ref="A481:I481"/>
    <mergeCell ref="A482:I482"/>
    <mergeCell ref="A484:A485"/>
    <mergeCell ref="B484:B485"/>
    <mergeCell ref="C484:C485"/>
    <mergeCell ref="D484:D485"/>
    <mergeCell ref="E484:G484"/>
    <mergeCell ref="H484:H485"/>
    <mergeCell ref="I484:I485"/>
    <mergeCell ref="I486:I487"/>
    <mergeCell ref="I488:I490"/>
    <mergeCell ref="I491:I495"/>
    <mergeCell ref="X493:AA493"/>
    <mergeCell ref="I498:I502"/>
    <mergeCell ref="A504:F504"/>
    <mergeCell ref="A505:A506"/>
    <mergeCell ref="B505:B506"/>
    <mergeCell ref="C505:C506"/>
    <mergeCell ref="D505:D506"/>
    <mergeCell ref="E505:E506"/>
    <mergeCell ref="F505:F506"/>
    <mergeCell ref="G505:G506"/>
    <mergeCell ref="H505:H506"/>
    <mergeCell ref="I505:I506"/>
    <mergeCell ref="D508:F508"/>
    <mergeCell ref="A509:G509"/>
    <mergeCell ref="D512:E512"/>
    <mergeCell ref="A513:I513"/>
    <mergeCell ref="A514:I514"/>
    <mergeCell ref="A516:A517"/>
    <mergeCell ref="B516:B517"/>
    <mergeCell ref="C516:C517"/>
    <mergeCell ref="D516:D517"/>
    <mergeCell ref="E516:G516"/>
    <mergeCell ref="H516:H517"/>
    <mergeCell ref="I516:I517"/>
    <mergeCell ref="I518:I519"/>
    <mergeCell ref="I520:I522"/>
    <mergeCell ref="I523:I527"/>
    <mergeCell ref="X525:AA525"/>
    <mergeCell ref="I530:I534"/>
    <mergeCell ref="A536:F536"/>
    <mergeCell ref="A537:A538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D540:F540"/>
    <mergeCell ref="A541:G541"/>
    <mergeCell ref="D544:E544"/>
    <mergeCell ref="A545:I545"/>
    <mergeCell ref="A546:I546"/>
    <mergeCell ref="A548:A549"/>
    <mergeCell ref="B548:B549"/>
    <mergeCell ref="C548:C549"/>
    <mergeCell ref="D548:D549"/>
    <mergeCell ref="E548:G548"/>
    <mergeCell ref="H548:H549"/>
    <mergeCell ref="I548:I549"/>
    <mergeCell ref="I550:I551"/>
    <mergeCell ref="I552:I554"/>
    <mergeCell ref="I555:I559"/>
    <mergeCell ref="X557:AA557"/>
    <mergeCell ref="I562:I566"/>
    <mergeCell ref="A568:F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D572:F572"/>
    <mergeCell ref="A573:G573"/>
    <mergeCell ref="D576:E576"/>
    <mergeCell ref="A577:I577"/>
    <mergeCell ref="A578:I578"/>
    <mergeCell ref="A580:A581"/>
    <mergeCell ref="B580:B581"/>
    <mergeCell ref="C580:C581"/>
    <mergeCell ref="D580:D581"/>
    <mergeCell ref="E580:G580"/>
    <mergeCell ref="H580:H581"/>
    <mergeCell ref="I580:I581"/>
    <mergeCell ref="I582:I583"/>
    <mergeCell ref="I584:I586"/>
    <mergeCell ref="I587:I591"/>
    <mergeCell ref="X589:AA589"/>
    <mergeCell ref="I594:I598"/>
    <mergeCell ref="A600:F600"/>
    <mergeCell ref="A601:A602"/>
    <mergeCell ref="B601:B602"/>
    <mergeCell ref="C601:C602"/>
    <mergeCell ref="D601:D602"/>
    <mergeCell ref="E601:E602"/>
    <mergeCell ref="F601:F602"/>
    <mergeCell ref="G601:G602"/>
    <mergeCell ref="H601:H602"/>
    <mergeCell ref="I601:I602"/>
    <mergeCell ref="D604:F604"/>
    <mergeCell ref="A605:G605"/>
    <mergeCell ref="D608:E608"/>
    <mergeCell ref="A609:I609"/>
    <mergeCell ref="A610:I610"/>
    <mergeCell ref="A612:A613"/>
    <mergeCell ref="B612:B613"/>
    <mergeCell ref="C612:C613"/>
    <mergeCell ref="D612:D613"/>
    <mergeCell ref="E612:G612"/>
    <mergeCell ref="H612:H613"/>
    <mergeCell ref="I612:I613"/>
    <mergeCell ref="I614:I615"/>
    <mergeCell ref="I616:I618"/>
    <mergeCell ref="I619:I623"/>
    <mergeCell ref="X621:AA621"/>
    <mergeCell ref="I626:I630"/>
    <mergeCell ref="A632:F632"/>
    <mergeCell ref="A633:A634"/>
    <mergeCell ref="B633:B634"/>
    <mergeCell ref="C633:C634"/>
    <mergeCell ref="D633:D634"/>
    <mergeCell ref="E633:E634"/>
    <mergeCell ref="F633:F634"/>
    <mergeCell ref="G633:G634"/>
    <mergeCell ref="H633:H634"/>
    <mergeCell ref="I633:I634"/>
    <mergeCell ref="D636:F636"/>
    <mergeCell ref="A637:G637"/>
    <mergeCell ref="D640:E640"/>
    <mergeCell ref="A641:I641"/>
    <mergeCell ref="A642:I642"/>
    <mergeCell ref="A644:A645"/>
    <mergeCell ref="B644:B645"/>
    <mergeCell ref="C644:C645"/>
    <mergeCell ref="D644:D645"/>
    <mergeCell ref="E644:G644"/>
    <mergeCell ref="H644:H645"/>
    <mergeCell ref="I644:I645"/>
    <mergeCell ref="I646:I647"/>
    <mergeCell ref="I648:I650"/>
    <mergeCell ref="I651:I655"/>
    <mergeCell ref="X653:AA653"/>
    <mergeCell ref="I658:I662"/>
    <mergeCell ref="A664:F664"/>
    <mergeCell ref="A665:A666"/>
    <mergeCell ref="B665:B666"/>
    <mergeCell ref="C665:C666"/>
    <mergeCell ref="D665:D666"/>
    <mergeCell ref="E665:E666"/>
    <mergeCell ref="F665:F666"/>
    <mergeCell ref="G665:G666"/>
    <mergeCell ref="H665:H666"/>
    <mergeCell ref="I665:I666"/>
    <mergeCell ref="X667:Y667"/>
    <mergeCell ref="Z667:AA667"/>
    <mergeCell ref="D668:F668"/>
    <mergeCell ref="X668:AA668"/>
    <mergeCell ref="A669:G669"/>
    <mergeCell ref="Z669:AA669"/>
    <mergeCell ref="D672:E672"/>
    <mergeCell ref="A673:I673"/>
    <mergeCell ref="A674:I674"/>
    <mergeCell ref="A676:A677"/>
    <mergeCell ref="B676:B677"/>
    <mergeCell ref="C676:C677"/>
    <mergeCell ref="D676:D677"/>
    <mergeCell ref="E676:G676"/>
    <mergeCell ref="H676:H677"/>
    <mergeCell ref="I676:I677"/>
    <mergeCell ref="I678:I679"/>
    <mergeCell ref="I680:I682"/>
    <mergeCell ref="I683:I687"/>
    <mergeCell ref="X685:AA685"/>
    <mergeCell ref="I690:I694"/>
    <mergeCell ref="A696:F696"/>
    <mergeCell ref="A697:A698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X699:Y699"/>
    <mergeCell ref="Z699:AA699"/>
    <mergeCell ref="D700:F700"/>
    <mergeCell ref="X700:AA700"/>
    <mergeCell ref="A701:G701"/>
    <mergeCell ref="Z701:AA701"/>
    <mergeCell ref="Z702:AA702"/>
    <mergeCell ref="D704:E704"/>
    <mergeCell ref="A705:I705"/>
    <mergeCell ref="A706:I706"/>
    <mergeCell ref="A708:A709"/>
    <mergeCell ref="B708:B709"/>
    <mergeCell ref="C708:C709"/>
    <mergeCell ref="D708:D709"/>
    <mergeCell ref="E708:G708"/>
    <mergeCell ref="H708:H709"/>
    <mergeCell ref="I708:I709"/>
    <mergeCell ref="I710:I711"/>
    <mergeCell ref="I712:I714"/>
    <mergeCell ref="I715:I719"/>
    <mergeCell ref="X717:AA717"/>
    <mergeCell ref="I722:I726"/>
    <mergeCell ref="A728:F728"/>
    <mergeCell ref="A729:A730"/>
    <mergeCell ref="B729:B730"/>
    <mergeCell ref="C729:C730"/>
    <mergeCell ref="D729:D730"/>
    <mergeCell ref="E729:E730"/>
    <mergeCell ref="F729:F730"/>
    <mergeCell ref="G729:G730"/>
    <mergeCell ref="H729:H730"/>
    <mergeCell ref="I729:I730"/>
    <mergeCell ref="X731:Y731"/>
    <mergeCell ref="Z731:AA731"/>
    <mergeCell ref="D732:F732"/>
    <mergeCell ref="X732:AA732"/>
    <mergeCell ref="A733:G733"/>
    <mergeCell ref="Z733:AA733"/>
    <mergeCell ref="Z734:AA734"/>
    <mergeCell ref="D736:E736"/>
    <mergeCell ref="A737:I737"/>
    <mergeCell ref="A738:I738"/>
    <mergeCell ref="A740:A741"/>
    <mergeCell ref="B740:B741"/>
    <mergeCell ref="C740:C741"/>
    <mergeCell ref="D740:D741"/>
    <mergeCell ref="E740:G740"/>
    <mergeCell ref="H740:H741"/>
    <mergeCell ref="I740:I741"/>
    <mergeCell ref="I742:I743"/>
    <mergeCell ref="I744:I746"/>
    <mergeCell ref="I747:I751"/>
    <mergeCell ref="X749:AA749"/>
    <mergeCell ref="I754:I758"/>
    <mergeCell ref="A760:F760"/>
    <mergeCell ref="A761:A762"/>
    <mergeCell ref="B761:B762"/>
    <mergeCell ref="C761:C762"/>
    <mergeCell ref="D761:D762"/>
    <mergeCell ref="E761:E762"/>
    <mergeCell ref="F761:F762"/>
    <mergeCell ref="G761:G762"/>
    <mergeCell ref="H761:H762"/>
    <mergeCell ref="I761:I762"/>
    <mergeCell ref="X763:Y763"/>
    <mergeCell ref="Z763:AA763"/>
    <mergeCell ref="D764:F764"/>
    <mergeCell ref="X764:AA764"/>
    <mergeCell ref="A765:G765"/>
    <mergeCell ref="Z765:AA765"/>
    <mergeCell ref="Z766:AA766"/>
    <mergeCell ref="D768:E768"/>
    <mergeCell ref="A769:I769"/>
    <mergeCell ref="A770:I770"/>
    <mergeCell ref="A772:A773"/>
    <mergeCell ref="B772:B773"/>
    <mergeCell ref="C772:C773"/>
    <mergeCell ref="D772:D773"/>
    <mergeCell ref="E772:G772"/>
    <mergeCell ref="H772:H773"/>
    <mergeCell ref="I772:I773"/>
    <mergeCell ref="I774:I775"/>
    <mergeCell ref="I776:I778"/>
    <mergeCell ref="I779:I783"/>
    <mergeCell ref="X781:AA781"/>
    <mergeCell ref="I786:I790"/>
    <mergeCell ref="A792:F792"/>
    <mergeCell ref="A793:A794"/>
    <mergeCell ref="B793:B794"/>
    <mergeCell ref="C793:C794"/>
    <mergeCell ref="D793:D794"/>
    <mergeCell ref="E793:E794"/>
    <mergeCell ref="F793:F794"/>
    <mergeCell ref="G793:G794"/>
    <mergeCell ref="H793:H794"/>
    <mergeCell ref="I793:I794"/>
    <mergeCell ref="X794:Y794"/>
    <mergeCell ref="Z794:AA794"/>
    <mergeCell ref="X795:AA795"/>
    <mergeCell ref="D796:F796"/>
    <mergeCell ref="Z796:AA796"/>
    <mergeCell ref="A797:G797"/>
    <mergeCell ref="Z797:AA797"/>
    <mergeCell ref="Z798:AA798"/>
    <mergeCell ref="D800:E800"/>
    <mergeCell ref="A801:I801"/>
    <mergeCell ref="A802:I802"/>
    <mergeCell ref="A804:A805"/>
    <mergeCell ref="B804:B805"/>
    <mergeCell ref="C804:C805"/>
    <mergeCell ref="D804:D805"/>
    <mergeCell ref="E804:G804"/>
    <mergeCell ref="H804:H805"/>
    <mergeCell ref="I804:I805"/>
    <mergeCell ref="I806:I807"/>
    <mergeCell ref="I808:I810"/>
    <mergeCell ref="I811:I815"/>
    <mergeCell ref="X813:AA813"/>
    <mergeCell ref="I818:I822"/>
    <mergeCell ref="A824:F824"/>
    <mergeCell ref="A825:A826"/>
    <mergeCell ref="B825:B826"/>
    <mergeCell ref="C825:C826"/>
    <mergeCell ref="D825:D826"/>
    <mergeCell ref="E825:E826"/>
    <mergeCell ref="F825:F826"/>
    <mergeCell ref="G825:G826"/>
    <mergeCell ref="H825:H826"/>
    <mergeCell ref="I825:I826"/>
    <mergeCell ref="X826:Y826"/>
    <mergeCell ref="Z826:AA826"/>
    <mergeCell ref="X827:AA827"/>
    <mergeCell ref="D828:F828"/>
    <mergeCell ref="Z828:AA828"/>
    <mergeCell ref="A829:G829"/>
    <mergeCell ref="Z829:AA829"/>
    <mergeCell ref="Z830:AA830"/>
    <mergeCell ref="D832:E832"/>
    <mergeCell ref="A833:I833"/>
    <mergeCell ref="A834:I834"/>
    <mergeCell ref="A836:A837"/>
    <mergeCell ref="B836:B837"/>
    <mergeCell ref="C836:C837"/>
    <mergeCell ref="D836:D837"/>
    <mergeCell ref="E836:G836"/>
    <mergeCell ref="H836:H837"/>
    <mergeCell ref="I836:I837"/>
    <mergeCell ref="I838:I839"/>
    <mergeCell ref="I840:I842"/>
    <mergeCell ref="I843:I847"/>
    <mergeCell ref="X845:AA845"/>
    <mergeCell ref="I850:I854"/>
    <mergeCell ref="A856:F856"/>
    <mergeCell ref="A857:A858"/>
    <mergeCell ref="B857:B858"/>
    <mergeCell ref="C857:C858"/>
    <mergeCell ref="D857:D858"/>
    <mergeCell ref="E857:E858"/>
    <mergeCell ref="F857:F858"/>
    <mergeCell ref="G857:G858"/>
    <mergeCell ref="H857:H858"/>
    <mergeCell ref="I857:I858"/>
    <mergeCell ref="X858:Y858"/>
    <mergeCell ref="Z858:AA858"/>
    <mergeCell ref="X859:AA859"/>
    <mergeCell ref="D860:F860"/>
    <mergeCell ref="Z860:AA860"/>
    <mergeCell ref="A861:G861"/>
    <mergeCell ref="Z861:AA861"/>
    <mergeCell ref="Z862:AA862"/>
    <mergeCell ref="D864:E864"/>
    <mergeCell ref="A865:I865"/>
    <mergeCell ref="A866:I866"/>
    <mergeCell ref="A868:A869"/>
    <mergeCell ref="B868:B869"/>
    <mergeCell ref="C868:C869"/>
    <mergeCell ref="D868:D869"/>
    <mergeCell ref="E868:G868"/>
    <mergeCell ref="H868:H869"/>
    <mergeCell ref="I868:I869"/>
    <mergeCell ref="I870:I871"/>
    <mergeCell ref="I872:I874"/>
    <mergeCell ref="I875:I879"/>
    <mergeCell ref="I882:I886"/>
    <mergeCell ref="A888:F888"/>
    <mergeCell ref="A889:A890"/>
    <mergeCell ref="B889:B890"/>
    <mergeCell ref="C889:C890"/>
    <mergeCell ref="D889:D890"/>
    <mergeCell ref="E889:E890"/>
    <mergeCell ref="F889:F890"/>
    <mergeCell ref="G889:G890"/>
    <mergeCell ref="H889:H890"/>
    <mergeCell ref="I889:I890"/>
    <mergeCell ref="D892:F892"/>
    <mergeCell ref="A893:G893"/>
    <mergeCell ref="D896:E896"/>
    <mergeCell ref="A897:I897"/>
    <mergeCell ref="A898:I898"/>
    <mergeCell ref="A900:A901"/>
    <mergeCell ref="B900:B901"/>
    <mergeCell ref="C900:C901"/>
    <mergeCell ref="D900:D901"/>
    <mergeCell ref="E900:G900"/>
    <mergeCell ref="H900:H901"/>
    <mergeCell ref="I900:I901"/>
    <mergeCell ref="I934:I935"/>
    <mergeCell ref="I936:I938"/>
    <mergeCell ref="I939:I943"/>
    <mergeCell ref="I946:I950"/>
    <mergeCell ref="A952:F952"/>
    <mergeCell ref="A953:A954"/>
    <mergeCell ref="B953:B954"/>
    <mergeCell ref="I902:I903"/>
    <mergeCell ref="I904:I906"/>
    <mergeCell ref="I907:I911"/>
    <mergeCell ref="I914:I918"/>
    <mergeCell ref="A920:F920"/>
    <mergeCell ref="A921:A922"/>
    <mergeCell ref="B921:B922"/>
    <mergeCell ref="C921:C922"/>
    <mergeCell ref="D921:D922"/>
    <mergeCell ref="E921:E922"/>
    <mergeCell ref="F921:F922"/>
    <mergeCell ref="G921:G922"/>
    <mergeCell ref="H921:H922"/>
    <mergeCell ref="I921:I922"/>
    <mergeCell ref="D924:F924"/>
    <mergeCell ref="A925:G925"/>
    <mergeCell ref="D928:E928"/>
    <mergeCell ref="A929:I929"/>
    <mergeCell ref="A930:I930"/>
    <mergeCell ref="A932:A933"/>
    <mergeCell ref="B932:B933"/>
    <mergeCell ref="C932:C933"/>
    <mergeCell ref="D932:D933"/>
    <mergeCell ref="E932:G932"/>
    <mergeCell ref="H932:H933"/>
    <mergeCell ref="I932:I933"/>
    <mergeCell ref="C953:C954"/>
    <mergeCell ref="D953:D954"/>
    <mergeCell ref="E953:E954"/>
    <mergeCell ref="F953:F954"/>
    <mergeCell ref="G953:G954"/>
    <mergeCell ref="H953:H954"/>
    <mergeCell ref="I953:I954"/>
    <mergeCell ref="A964:A965"/>
    <mergeCell ref="B964:B965"/>
    <mergeCell ref="C964:C965"/>
    <mergeCell ref="D964:D965"/>
    <mergeCell ref="E964:G964"/>
    <mergeCell ref="H964:H965"/>
    <mergeCell ref="I964:I965"/>
    <mergeCell ref="D956:F956"/>
    <mergeCell ref="A957:G957"/>
    <mergeCell ref="D960:E960"/>
    <mergeCell ref="A961:I961"/>
    <mergeCell ref="A962:I962"/>
    <mergeCell ref="D988:F988"/>
    <mergeCell ref="A989:G989"/>
    <mergeCell ref="D992:E992"/>
    <mergeCell ref="I966:I967"/>
    <mergeCell ref="I968:I970"/>
    <mergeCell ref="I971:I975"/>
    <mergeCell ref="I978:I982"/>
    <mergeCell ref="A984:F984"/>
    <mergeCell ref="A985:A986"/>
    <mergeCell ref="B985:B986"/>
    <mergeCell ref="C985:C986"/>
    <mergeCell ref="D985:D986"/>
    <mergeCell ref="E985:E986"/>
    <mergeCell ref="F985:F986"/>
    <mergeCell ref="G985:G986"/>
    <mergeCell ref="H985:H986"/>
    <mergeCell ref="I985:I986"/>
    <mergeCell ref="X45:AA45"/>
    <mergeCell ref="X58:Y58"/>
    <mergeCell ref="Z58:AA58"/>
    <mergeCell ref="X59:AA59"/>
    <mergeCell ref="Z60:AA60"/>
    <mergeCell ref="Z61:AA61"/>
    <mergeCell ref="X13:AA13"/>
    <mergeCell ref="X26:Y26"/>
    <mergeCell ref="Z26:AA26"/>
    <mergeCell ref="X27:AA27"/>
    <mergeCell ref="Z28:AA28"/>
    <mergeCell ref="Z29:AA29"/>
    <mergeCell ref="X109:AA109"/>
    <mergeCell ref="X122:Y122"/>
    <mergeCell ref="Z122:AA122"/>
    <mergeCell ref="X123:AA123"/>
    <mergeCell ref="Z124:AA124"/>
    <mergeCell ref="Z125:AA125"/>
    <mergeCell ref="X77:AA77"/>
    <mergeCell ref="X90:Y90"/>
    <mergeCell ref="Z90:AA90"/>
    <mergeCell ref="X91:AA91"/>
    <mergeCell ref="Z92:AA92"/>
    <mergeCell ref="Z93:AA93"/>
  </mergeCells>
  <pageMargins left="0.70833333333333304" right="0.70833333333333304" top="0.74791666666666701" bottom="0.74791666666666701" header="0.511811023622047" footer="0.511811023622047"/>
  <pageSetup paperSize="9" orientation="portrait" horizontalDpi="300" verticalDpi="300" r:id="rId1"/>
  <ignoredErrors>
    <ignoredError sqref="G1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X24"/>
  <sheetViews>
    <sheetView zoomScaleNormal="100" workbookViewId="0">
      <selection activeCell="D4" sqref="D4"/>
    </sheetView>
  </sheetViews>
  <sheetFormatPr defaultColWidth="8.85546875" defaultRowHeight="15" customHeight="1"/>
  <cols>
    <col min="1" max="2" width="8.85546875" style="2"/>
    <col min="3" max="3" width="14.42578125" style="2" customWidth="1"/>
    <col min="4" max="4" width="9.28515625" style="33" customWidth="1"/>
    <col min="5" max="5" width="10.7109375" style="33" customWidth="1"/>
    <col min="6" max="6" width="12" style="2" customWidth="1"/>
    <col min="7" max="7" width="13.5703125" style="2" customWidth="1"/>
    <col min="8" max="8" width="14.28515625" style="33" bestFit="1" customWidth="1"/>
    <col min="9" max="9" width="9.7109375" style="33" bestFit="1" customWidth="1"/>
    <col min="10" max="10" width="9.5703125" style="33" bestFit="1" customWidth="1"/>
    <col min="11" max="16" width="5.5703125" style="2" customWidth="1"/>
    <col min="17" max="18" width="6.5703125" style="2" customWidth="1"/>
    <col min="19" max="20" width="7.5703125" style="2" customWidth="1"/>
    <col min="21" max="21" width="5.7109375" style="2" customWidth="1"/>
    <col min="22" max="22" width="7.5703125" style="2" customWidth="1"/>
    <col min="23" max="23" width="6" style="2" customWidth="1"/>
    <col min="24" max="24" width="7.5703125" style="2" customWidth="1"/>
    <col min="25" max="16384" width="8.85546875" style="2"/>
  </cols>
  <sheetData>
    <row r="1" spans="2:24" ht="19.5" customHeight="1" thickBot="1">
      <c r="B1" s="1373">
        <f ca="1">NOW()</f>
        <v>46309.518609027778</v>
      </c>
      <c r="C1" s="1374"/>
      <c r="D1" s="1374"/>
      <c r="E1" s="1374"/>
      <c r="F1" s="1374"/>
      <c r="G1" s="1374"/>
      <c r="H1" s="1374"/>
      <c r="I1" s="1374"/>
      <c r="J1" s="1375"/>
      <c r="S1" s="414"/>
      <c r="T1" s="414"/>
      <c r="U1" s="414"/>
      <c r="V1" s="414"/>
      <c r="W1" s="414"/>
      <c r="X1" s="414"/>
    </row>
    <row r="2" spans="2:24" ht="15.75" customHeight="1" thickBot="1">
      <c r="B2" s="1376" t="s">
        <v>208</v>
      </c>
      <c r="C2" s="1377"/>
      <c r="D2" s="1377"/>
      <c r="E2" s="1377"/>
      <c r="F2" s="1377"/>
      <c r="G2" s="1377"/>
      <c r="H2" s="1377"/>
      <c r="I2" s="1377"/>
      <c r="J2" s="1378"/>
      <c r="S2" s="181"/>
      <c r="T2" s="181"/>
      <c r="U2" s="181"/>
      <c r="V2" s="181"/>
      <c r="W2" s="181"/>
      <c r="X2" s="181"/>
    </row>
    <row r="3" spans="2:24" ht="15.75" customHeight="1" thickBot="1">
      <c r="B3" s="958" t="s">
        <v>209</v>
      </c>
      <c r="C3" s="959" t="s">
        <v>210</v>
      </c>
      <c r="D3" s="959" t="s">
        <v>211</v>
      </c>
      <c r="E3" s="959" t="s">
        <v>144</v>
      </c>
      <c r="F3" s="959" t="s">
        <v>212</v>
      </c>
      <c r="G3" s="959" t="s">
        <v>133</v>
      </c>
      <c r="H3" s="959" t="s">
        <v>130</v>
      </c>
      <c r="I3" s="960" t="s">
        <v>115</v>
      </c>
      <c r="J3" s="960" t="s">
        <v>149</v>
      </c>
    </row>
    <row r="4" spans="2:24" ht="15.75" customHeight="1" thickBot="1">
      <c r="B4" s="961">
        <v>110</v>
      </c>
      <c r="C4" s="963" t="s">
        <v>213</v>
      </c>
      <c r="D4" s="964">
        <v>6.9109999999999996</v>
      </c>
      <c r="E4" s="963"/>
      <c r="F4" s="963"/>
      <c r="G4" s="963"/>
      <c r="H4" s="963"/>
      <c r="I4" s="965"/>
      <c r="J4" s="966">
        <f>SUM(D4:H4)</f>
        <v>6.9109999999999996</v>
      </c>
    </row>
    <row r="5" spans="2:24" ht="15.75" customHeight="1" thickBot="1">
      <c r="B5" s="1379">
        <v>130</v>
      </c>
      <c r="C5" s="415" t="s">
        <v>213</v>
      </c>
      <c r="D5" s="956">
        <f t="shared" ref="D5:I5" ca="1" si="0">D7-D6</f>
        <v>0</v>
      </c>
      <c r="E5" s="956">
        <f t="shared" ca="1" si="0"/>
        <v>0</v>
      </c>
      <c r="F5" s="956">
        <f t="shared" ca="1" si="0"/>
        <v>0</v>
      </c>
      <c r="G5" s="956">
        <f t="shared" ca="1" si="0"/>
        <v>0</v>
      </c>
      <c r="H5" s="956">
        <f t="shared" ca="1" si="0"/>
        <v>0</v>
      </c>
      <c r="I5" s="956">
        <f t="shared" si="0"/>
        <v>0.57999999999999996</v>
      </c>
      <c r="J5" s="957">
        <f t="shared" ref="J5:J11" ca="1" si="1">SUM(D5:I5)</f>
        <v>0.57999999999999996</v>
      </c>
      <c r="S5" s="250"/>
      <c r="T5" s="250"/>
      <c r="U5" s="250"/>
      <c r="V5" s="250"/>
      <c r="W5" s="250"/>
    </row>
    <row r="6" spans="2:24" ht="15.75" customHeight="1" thickBot="1">
      <c r="B6" s="1380"/>
      <c r="C6" s="415" t="s">
        <v>214</v>
      </c>
      <c r="D6" s="975">
        <v>0</v>
      </c>
      <c r="E6" s="975">
        <v>0</v>
      </c>
      <c r="F6" s="975">
        <v>0</v>
      </c>
      <c r="G6" s="975">
        <f ca="1">G7</f>
        <v>0</v>
      </c>
      <c r="H6" s="976"/>
      <c r="I6" s="976"/>
      <c r="J6" s="977">
        <f t="shared" ca="1" si="1"/>
        <v>0</v>
      </c>
      <c r="S6" s="181"/>
      <c r="T6" s="181"/>
      <c r="U6" s="181"/>
      <c r="V6" s="160"/>
      <c r="W6" s="160"/>
    </row>
    <row r="7" spans="2:24" ht="15.75" customHeight="1" thickBot="1">
      <c r="B7" s="962"/>
      <c r="C7" s="963" t="s">
        <v>92</v>
      </c>
      <c r="D7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Format'!$R:$R,0)+17),IF(D3="MIPPL","MS BILLET",IF(D3="MAHASHIVA","MASHIVA",D3)),INDEX('Billet Stock Format'!$C:$C,MATCH("As on "&amp;TEXT($B$1,"dd.mm.yyyy"),'Billet Stock Format'!$R:$R,0)+5):INDEX('Billet Stock Format'!$C:$C,MATCH("As on "&amp;TEXT($B$1,"dd.mm.yyyy"),'Billet Stock Format'!$R:$R,0)+17),$B5&amp;"*"),0)</f>
        <v>0</v>
      </c>
      <c r="E7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Format'!$R:$R,0)+17),IF(E3="MIPPL","MS BILLET",IF(E3="MAHASHIVA","MASHIVA",E3)),INDEX('Billet Stock Format'!$C:$C,MATCH("As on "&amp;TEXT($B$1,"dd.mm.yyyy"),'Billet Stock Format'!$R:$R,0)+5):INDEX('Billet Stock Format'!$C:$C,MATCH("As on "&amp;TEXT($B$1,"dd.mm.yyyy"),'Billet Stock Format'!$R:$R,0)+17),$B5&amp;"*"),0)</f>
        <v>0</v>
      </c>
      <c r="F7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Format'!$R:$R,0)+17),IF(F3="MIPPL","MS BILLET",IF(F3="MAHASHIVA","MASHIVA",F3)),INDEX('Billet Stock Format'!$C:$C,MATCH("As on "&amp;TEXT($B$1,"dd.mm.yyyy"),'Billet Stock Format'!$R:$R,0)+5):INDEX('Billet Stock Format'!$C:$C,MATCH("As on "&amp;TEXT($B$1,"dd.mm.yyyy"),'Billet Stock Format'!$R:$R,0)+17),$B5&amp;"*"),0)</f>
        <v>0</v>
      </c>
      <c r="G7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Format'!$R:$R,0)+17),IF(G3="MIPPL","MS BILLET",IF(G3="MAHASHIVA","MASHIVA",G3)),INDEX('Billet Stock Format'!$C:$C,MATCH("As on "&amp;TEXT($B$1,"dd.mm.yyyy"),'Billet Stock Format'!$R:$R,0)+5):INDEX('Billet Stock Format'!$C:$C,MATCH("As on "&amp;TEXT($B$1,"dd.mm.yyyy"),'Billet Stock Format'!$R:$R,0)+17),$B5&amp;"*"),0)</f>
        <v>0</v>
      </c>
      <c r="H7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Format'!$R:$R,0)+17),IF(H3="MIPPL","MS BILLET",IF(H3="MAHASHIVA","MASHIVA",H3)),INDEX('Billet Stock Format'!$C:$C,MATCH("As on "&amp;TEXT($B$1,"dd.mm.yyyy"),'Billet Stock Format'!$R:$R,0)+5):INDEX('Billet Stock Format'!$C:$C,MATCH("As on "&amp;TEXT($B$1,"dd.mm.yyyy"),'Billet Stock Format'!$R:$R,0)+17),$B5&amp;"*"),0)</f>
        <v>0</v>
      </c>
      <c r="I7" s="964">
        <v>0.57999999999999996</v>
      </c>
      <c r="J7" s="966">
        <f ca="1">SUM(D7:I7)</f>
        <v>0.57999999999999996</v>
      </c>
      <c r="S7" s="181"/>
      <c r="T7" s="181"/>
      <c r="U7" s="181"/>
      <c r="V7" s="160"/>
      <c r="W7" s="160"/>
    </row>
    <row r="8" spans="2:24" ht="15.75" customHeight="1" thickBot="1">
      <c r="B8" s="978"/>
      <c r="C8" s="415"/>
      <c r="D8" s="956"/>
      <c r="E8" s="956"/>
      <c r="F8" s="956"/>
      <c r="G8" s="956"/>
      <c r="H8" s="415"/>
      <c r="I8" s="416"/>
      <c r="J8" s="957">
        <f t="shared" si="1"/>
        <v>0</v>
      </c>
    </row>
    <row r="9" spans="2:24" ht="15.75" customHeight="1" thickBot="1">
      <c r="B9" s="1379">
        <v>160</v>
      </c>
      <c r="C9" s="415" t="s">
        <v>213</v>
      </c>
      <c r="D9" s="956">
        <f ca="1">D11-D10</f>
        <v>0</v>
      </c>
      <c r="E9" s="956">
        <f ca="1">E11-E10</f>
        <v>0</v>
      </c>
      <c r="F9" s="956">
        <f ca="1">F11-F10</f>
        <v>0</v>
      </c>
      <c r="G9" s="956">
        <f ca="1">G11-G10</f>
        <v>0</v>
      </c>
      <c r="H9" s="415">
        <f ca="1">H11-H10</f>
        <v>0</v>
      </c>
      <c r="I9" s="956">
        <f>SUMIFS('Billet Stock Format'!$G$871:$G$883,'Billet Stock Format'!$B$871:$B$883,"SWADESH")</f>
        <v>0</v>
      </c>
      <c r="J9" s="957">
        <f t="shared" ca="1" si="1"/>
        <v>0</v>
      </c>
      <c r="S9" s="417"/>
      <c r="T9" s="417"/>
    </row>
    <row r="10" spans="2:24" ht="15.75" customHeight="1" thickBot="1">
      <c r="B10" s="1380"/>
      <c r="C10" s="415" t="s">
        <v>214</v>
      </c>
      <c r="D10" s="956">
        <f ca="1">IFERROR(SUMIFS(INDEX('Billet Stock Format'!$Y:$Y,MATCH("As on "&amp;TEXT($B$1,"dd.mm.yyyy"),'Billet Stock Format'!$R:$R,0)+20):INDEX('Billet Stock Format'!$Y:$Y,MATCH("As on "&amp;TEXT($B$1,"dd.mm.yyyy"),'Billet Stock Format'!$R:$R,0)+24),INDEX('Billet Stock Format'!$X:$X,MATCH("As on "&amp;TEXT($B$1,"dd.mm.yyyy"),'Billet Stock Format'!$R:$R,0)+20):INDEX('Billet Stock Format'!$X:$X,MATCH("As on "&amp;TEXT($B$1,"dd.mm.yyyy"),'Billet Stock Format'!$R:$R,0)+24),IF(D3="MAHASHIVA","Mashiva",IF(D3="SHYAM","Shyam Metalics",D3))&amp;"*"),0)</f>
        <v>0</v>
      </c>
      <c r="E10" s="975">
        <f ca="1">IFERROR(SUMIFS(INDEX('Billet Stock Format'!$Y:$Y,MATCH("As on "&amp;TEXT($B$1,"dd.mm.yyyy"),'Billet Stock Format'!$R:$R,0)+20):INDEX('Billet Stock Format'!$Y:$Y,MATCH("As on "&amp;TEXT($B$1,"dd.mm.yyyy"),'Billet Stock Format'!$R:$R,0)+24),INDEX('Billet Stock Format'!$X:$X,MATCH("As on "&amp;TEXT($B$1,"dd.mm.yyyy"),'Billet Stock Format'!$R:$R,0)+20):INDEX('Billet Stock Format'!$X:$X,MATCH("As on "&amp;TEXT($B$1,"dd.mm.yyyy"),'Billet Stock Format'!$R:$R,0)+24),IF(E3="MAHASHIVA","Mashiva",IF(E3="SHYAM","Shyam Metalics",E3))&amp;"*"),0)</f>
        <v>0</v>
      </c>
      <c r="F10" s="975">
        <f ca="1">IFERROR(SUMIFS(INDEX('Billet Stock Format'!$Y:$Y,MATCH("As on "&amp;TEXT($B$1,"dd.mm.yyyy"),'Billet Stock Format'!$R:$R,0)+20):INDEX('Billet Stock Format'!$Y:$Y,MATCH("As on "&amp;TEXT($B$1,"dd.mm.yyyy"),'Billet Stock Format'!$R:$R,0)+24),INDEX('Billet Stock Format'!$X:$X,MATCH("As on "&amp;TEXT($B$1,"dd.mm.yyyy"),'Billet Stock Format'!$R:$R,0)+20):INDEX('Billet Stock Format'!$X:$X,MATCH("As on "&amp;TEXT($B$1,"dd.mm.yyyy"),'Billet Stock Format'!$R:$R,0)+24),IF(F3="MAHASHIVA","Mashiva",IF(F3="SHYAM","Shyam Metalics",F3))&amp;"*"),0)</f>
        <v>0</v>
      </c>
      <c r="G10" s="975">
        <f ca="1">IFERROR(SUMIFS(INDEX('Billet Stock Format'!$Y:$Y,MATCH("As on "&amp;TEXT($B$1,"dd.mm.yyyy"),'Billet Stock Format'!$R:$R,0)+20):INDEX('Billet Stock Format'!$Y:$Y,MATCH("As on "&amp;TEXT($B$1,"dd.mm.yyyy"),'Billet Stock Format'!$R:$R,0)+24),INDEX('Billet Stock Format'!$X:$X,MATCH("As on "&amp;TEXT($B$1,"dd.mm.yyyy"),'Billet Stock Format'!$R:$R,0)+20):INDEX('Billet Stock Format'!$X:$X,MATCH("As on "&amp;TEXT($B$1,"dd.mm.yyyy"),'Billet Stock Format'!$R:$R,0)+24),IF(G3="MAHASHIVA","Mashiva",IF(G3="SHYAM","Shyam Metalics",G3))&amp;"*"),0)</f>
        <v>0</v>
      </c>
      <c r="H10" s="976">
        <f ca="1">IFERROR(SUMIFS(INDEX('Billet Stock Format'!$Y:$Y,MATCH("As on "&amp;TEXT($B$1,"dd.mm.yyyy"),'Billet Stock Format'!$R:$R,0)+20):INDEX('Billet Stock Format'!$Y:$Y,MATCH("As on "&amp;TEXT($B$1,"dd.mm.yyyy"),'Billet Stock Format'!$R:$R,0)+24),INDEX('Billet Stock Format'!$X:$X,MATCH("As on "&amp;TEXT($B$1,"dd.mm.yyyy"),'Billet Stock Format'!$R:$R,0)+20):INDEX('Billet Stock Format'!$X:$X,MATCH("As on "&amp;TEXT($B$1,"dd.mm.yyyy"),'Billet Stock Format'!$R:$R,0)+24),IF(H3="MAHASHIVA","Mashiva",IF(H3="SHYAM","Shyam Metalics",H3))&amp;"*"),0)</f>
        <v>0</v>
      </c>
      <c r="I10" s="976"/>
      <c r="J10" s="977">
        <f t="shared" ca="1" si="1"/>
        <v>0</v>
      </c>
      <c r="S10" s="417"/>
      <c r="T10" s="417"/>
    </row>
    <row r="11" spans="2:24" ht="15.75" customHeight="1" thickBot="1">
      <c r="B11" s="962"/>
      <c r="C11" s="963" t="s">
        <v>92</v>
      </c>
      <c r="D11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Format'!$R:$R,0)+17),IF(D3="MIPPL","MS BILLET",IF(D3="MAHASHIVA","MASHIVA",D3)),INDEX('Billet Stock Format'!$C:$C,MATCH("As on "&amp;TEXT($B$1,"dd.mm.yyyy"),'Billet Stock Format'!$R:$R,0)+5):INDEX('Billet Stock Format'!$C:$C,MATCH("As on "&amp;TEXT($B$1,"dd.mm.yyyy"),'Billet Stock Format'!$R:$R,0)+17),$B9&amp;"*"),0)</f>
        <v>0</v>
      </c>
      <c r="E11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Format'!$R:$R,0)+17),IF(E3="MIPPL","MS BILLET",IF(E3="MAHASHIVA","MASHIVA",E3)),INDEX('Billet Stock Format'!$C:$C,MATCH("As on "&amp;TEXT($B$1,"dd.mm.yyyy"),'Billet Stock Format'!$R:$R,0)+5):INDEX('Billet Stock Format'!$C:$C,MATCH("As on "&amp;TEXT($B$1,"dd.mm.yyyy"),'Billet Stock Format'!$R:$R,0)+17),$B9&amp;"*"),0)</f>
        <v>0</v>
      </c>
      <c r="F11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Format'!$R:$R,0)+17),IF(F3="MIPPL","MS BILLET",IF(F3="MAHASHIVA","MASHIVA",F3)),INDEX('Billet Stock Format'!$C:$C,MATCH("As on "&amp;TEXT($B$1,"dd.mm.yyyy"),'Billet Stock Format'!$R:$R,0)+5):INDEX('Billet Stock Format'!$C:$C,MATCH("As on "&amp;TEXT($B$1,"dd.mm.yyyy"),'Billet Stock Format'!$R:$R,0)+17),$B9&amp;"*"),0)</f>
        <v>0</v>
      </c>
      <c r="G11" s="964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Format'!$R:$R,0)+17),IF(G3="MIPPL","MS BILLET",IF(G3="MAHASHIVA","MASHIVA",G3)),INDEX('Billet Stock Format'!$C:$C,MATCH("As on "&amp;TEXT($B$1,"dd.mm.yyyy"),'Billet Stock Format'!$R:$R,0)+5):INDEX('Billet Stock Format'!$C:$C,MATCH("As on "&amp;TEXT($B$1,"dd.mm.yyyy"),'Billet Stock Format'!$R:$R,0)+17),$B9&amp;"*"),0)</f>
        <v>0</v>
      </c>
      <c r="H11" s="963">
        <f ca="1">IFERROR(SUMIFS(INDEX('Billet Stock Format'!$G:$G,MATCH("As on "&amp;TEXT($B$1,"dd.mm.yyyy"),'Billet Stock Format'!$R:$R,0)+5):INDEX('Billet Stock Format'!$G:$G,MATCH("As on "&amp;TEXT($B$1,"dd.mm.yyyy"),'Billet Stock Format'!$R:$R,0)+17),INDEX('Billet Stock Format'!$B:$B,MATCH("As on "&amp;TEXT($B$1,"dd.mm.yyyy"),'Billet Stock Format'!$R:$R,0)+5):INDEX('Billet Stock Format'!$B:$B,MATCH("As on "&amp;TEXT($B$1,"dd.mm.yyyy"),'Billet Stock Format'!$R:$R,0)+17),IF(H3="MIPPL","MS BILLET",IF(H3="MAHASHIVA","MASHIVA",H3)),INDEX('Billet Stock Format'!$C:$C,MATCH("As on "&amp;TEXT($B$1,"dd.mm.yyyy"),'Billet Stock Format'!$R:$R,0)+5):INDEX('Billet Stock Format'!$C:$C,MATCH("As on "&amp;TEXT($B$1,"dd.mm.yyyy"),'Billet Stock Format'!$R:$R,0)+17),$B9&amp;"*"),0)</f>
        <v>0</v>
      </c>
      <c r="I11" s="964">
        <f>SUMIFS('Billet Stock Format'!$G$871:$G$883,'Billet Stock Format'!$B$871:$B$883,"SWADESH")</f>
        <v>0</v>
      </c>
      <c r="J11" s="966">
        <f t="shared" ca="1" si="1"/>
        <v>0</v>
      </c>
      <c r="S11" s="418"/>
      <c r="U11" s="418"/>
      <c r="W11" s="418"/>
    </row>
    <row r="12" spans="2:24" ht="15" customHeight="1">
      <c r="D12" s="419"/>
      <c r="E12" s="419"/>
      <c r="G12" s="420"/>
      <c r="H12" s="420"/>
      <c r="I12" s="420"/>
      <c r="J12" s="420"/>
    </row>
    <row r="13" spans="2:24" ht="15" customHeight="1">
      <c r="C13" s="420"/>
      <c r="D13" s="420"/>
      <c r="E13" s="420"/>
      <c r="G13" s="420"/>
      <c r="H13" s="1095" t="s">
        <v>215</v>
      </c>
      <c r="I13" s="420"/>
      <c r="J13" s="1094">
        <f ca="1">J6+J10</f>
        <v>0</v>
      </c>
    </row>
    <row r="14" spans="2:24" ht="15" customHeight="1">
      <c r="D14" s="419"/>
      <c r="H14" s="1095" t="s">
        <v>216</v>
      </c>
      <c r="J14" s="1094">
        <f ca="1">J4+J7+J11-J13-J15</f>
        <v>7.4909999999999997</v>
      </c>
    </row>
    <row r="15" spans="2:24" ht="15" customHeight="1">
      <c r="D15" s="419"/>
      <c r="G15" s="421"/>
      <c r="H15" s="1095" t="s">
        <v>217</v>
      </c>
      <c r="I15" s="422"/>
      <c r="J15" s="1094">
        <f ca="1">D7+D11</f>
        <v>0</v>
      </c>
    </row>
    <row r="16" spans="2:24" ht="15" customHeight="1">
      <c r="D16" s="419"/>
      <c r="G16" s="421"/>
      <c r="I16" s="422"/>
      <c r="J16" s="419"/>
    </row>
    <row r="17" spans="3:10" ht="15" customHeight="1">
      <c r="D17" s="419"/>
      <c r="G17" s="420"/>
      <c r="H17" s="420" t="s">
        <v>92</v>
      </c>
      <c r="I17" s="420"/>
      <c r="J17" s="1094">
        <f ca="1">J13+J14+J15</f>
        <v>7.4909999999999997</v>
      </c>
    </row>
    <row r="18" spans="3:10" ht="15" customHeight="1">
      <c r="D18" s="419"/>
    </row>
    <row r="19" spans="3:10" ht="15" customHeight="1">
      <c r="C19" s="420"/>
      <c r="D19" s="420"/>
      <c r="E19" s="420"/>
      <c r="G19" s="414"/>
      <c r="H19" s="422"/>
      <c r="I19" s="422"/>
      <c r="J19" s="419"/>
    </row>
    <row r="20" spans="3:10" ht="15" customHeight="1">
      <c r="D20" s="21"/>
      <c r="G20" s="423"/>
      <c r="H20" s="422"/>
      <c r="I20" s="422"/>
      <c r="J20" s="419"/>
    </row>
    <row r="21" spans="3:10" ht="15" customHeight="1">
      <c r="D21" s="419"/>
      <c r="G21" s="420"/>
      <c r="H21" s="420"/>
      <c r="I21" s="420"/>
      <c r="J21" s="420"/>
    </row>
    <row r="22" spans="3:10" ht="15" customHeight="1">
      <c r="D22" s="419"/>
    </row>
    <row r="23" spans="3:10" ht="15" customHeight="1">
      <c r="D23" s="419"/>
      <c r="H23" s="424"/>
      <c r="I23" s="422"/>
    </row>
    <row r="24" spans="3:10" ht="15" customHeight="1">
      <c r="D24" s="419"/>
      <c r="J24" s="419"/>
    </row>
  </sheetData>
  <mergeCells count="4">
    <mergeCell ref="B1:J1"/>
    <mergeCell ref="B2:J2"/>
    <mergeCell ref="B5:B6"/>
    <mergeCell ref="B9:B10"/>
  </mergeCells>
  <conditionalFormatting sqref="K1:R2 K3:X11 C12:X1048576">
    <cfRule type="cellIs" dxfId="1348" priority="3" operator="equal">
      <formula>0</formula>
    </cfRule>
  </conditionalFormatting>
  <conditionalFormatting sqref="I15:J16">
    <cfRule type="cellIs" dxfId="1347" priority="4" operator="equal">
      <formula>0</formula>
    </cfRule>
  </conditionalFormatting>
  <conditionalFormatting sqref="B1:J1 B2 B3:J4 B7:J9 C6:H6 B11:J11 C10:J10 B5:H5 I5:J6">
    <cfRule type="cellIs" dxfId="1346" priority="1" operator="equal">
      <formula>0</formula>
    </cfRule>
  </conditionalFormatting>
  <pageMargins left="0.7" right="0.7" top="0.75" bottom="0.75" header="0.511811023622047" footer="0.511811023622047"/>
  <pageSetup paperSize="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240"/>
  <sheetViews>
    <sheetView zoomScaleNormal="100" workbookViewId="0">
      <selection activeCell="F20" sqref="F20:F21"/>
    </sheetView>
  </sheetViews>
  <sheetFormatPr defaultColWidth="8.7109375" defaultRowHeight="15" customHeight="1"/>
  <cols>
    <col min="1" max="1" width="32.85546875" customWidth="1"/>
    <col min="2" max="2" width="7.5703125" customWidth="1"/>
    <col min="3" max="3" width="5.85546875" customWidth="1"/>
    <col min="4" max="4" width="14.7109375" customWidth="1"/>
    <col min="5" max="5" width="22.7109375" customWidth="1"/>
    <col min="6" max="6" width="11.7109375" customWidth="1"/>
    <col min="7" max="7" width="10.5703125" customWidth="1"/>
    <col min="8" max="8" width="9.140625" style="425" customWidth="1"/>
    <col min="9" max="9" width="9.140625" customWidth="1"/>
    <col min="10" max="10" width="15.85546875" hidden="1" customWidth="1"/>
    <col min="11" max="11" width="7.5703125" hidden="1" customWidth="1"/>
    <col min="12" max="12" width="7.28515625" hidden="1" customWidth="1"/>
    <col min="13" max="13" width="7.5703125" hidden="1" customWidth="1"/>
    <col min="14" max="14" width="6.42578125" hidden="1" customWidth="1"/>
    <col min="15" max="15" width="7" hidden="1" customWidth="1"/>
    <col min="16" max="16" width="5.5703125" hidden="1" customWidth="1"/>
    <col min="17" max="17" width="7.5703125" hidden="1" customWidth="1"/>
    <col min="18" max="18" width="5.42578125" hidden="1" customWidth="1"/>
    <col min="19" max="19" width="4" hidden="1" customWidth="1"/>
    <col min="20" max="20" width="6.28515625" customWidth="1"/>
    <col min="21" max="21" width="23" customWidth="1"/>
    <col min="22" max="22" width="11.42578125" customWidth="1"/>
    <col min="23" max="23" width="10.28515625" customWidth="1"/>
    <col min="24" max="24" width="14.140625" customWidth="1"/>
    <col min="25" max="25" width="10.28515625" customWidth="1"/>
    <col min="26" max="26" width="8.28515625" customWidth="1"/>
  </cols>
  <sheetData>
    <row r="1" spans="1:25" ht="15" customHeight="1">
      <c r="A1" s="426" t="str">
        <f>J2</f>
        <v>DATE-01-10-2026</v>
      </c>
      <c r="B1" s="427"/>
      <c r="H1" s="428" t="s">
        <v>218</v>
      </c>
      <c r="I1" s="429">
        <f>IFERROR(W3/W2,0)</f>
        <v>0</v>
      </c>
      <c r="J1" s="430"/>
      <c r="K1" s="430"/>
      <c r="L1" s="430"/>
      <c r="M1" s="430"/>
      <c r="N1" s="430"/>
      <c r="O1" s="430"/>
      <c r="P1" s="430"/>
      <c r="Q1" s="430"/>
      <c r="R1" s="430"/>
      <c r="U1" s="431" t="s">
        <v>219</v>
      </c>
      <c r="V1" s="431" t="s">
        <v>220</v>
      </c>
      <c r="W1" s="432" t="s">
        <v>221</v>
      </c>
      <c r="X1" s="432" t="s">
        <v>222</v>
      </c>
      <c r="Y1" s="432" t="s">
        <v>223</v>
      </c>
    </row>
    <row r="2" spans="1:25" ht="15" customHeight="1">
      <c r="A2" s="433" t="s">
        <v>224</v>
      </c>
      <c r="B2" s="207">
        <v>12</v>
      </c>
      <c r="D2" s="434"/>
      <c r="E2" s="434"/>
      <c r="H2" s="435" t="s">
        <v>223</v>
      </c>
      <c r="I2" s="436">
        <f>IFERROR((U3+Y3)/(U2+Y2),0)</f>
        <v>0</v>
      </c>
      <c r="J2" s="437" t="s">
        <v>225</v>
      </c>
      <c r="K2" s="430"/>
      <c r="L2" s="430"/>
      <c r="M2" s="438"/>
      <c r="N2" s="438"/>
      <c r="O2" s="1386"/>
      <c r="P2" s="1386"/>
      <c r="Q2" s="1386"/>
      <c r="R2" s="1386"/>
      <c r="U2" s="432">
        <f>SUMIF(E:E, "OUT SIDE FINES", F:F)</f>
        <v>0</v>
      </c>
      <c r="V2" s="432">
        <f>SUMIF(E:E, "OUT SIDE LUMPS", F:F)</f>
        <v>0</v>
      </c>
      <c r="W2" s="432">
        <f>SUMIF(E:E, "PELLET", F:F)</f>
        <v>0</v>
      </c>
      <c r="X2" s="432">
        <f>SUMIF(E:E, "LUMPS", F:F)</f>
        <v>0</v>
      </c>
      <c r="Y2" s="432">
        <f>SUMIF(E:E, "FINES", F:F)</f>
        <v>0</v>
      </c>
    </row>
    <row r="3" spans="1:25" ht="15.75" customHeight="1" thickBot="1">
      <c r="A3" s="433" t="s">
        <v>226</v>
      </c>
      <c r="B3" s="439">
        <f ca="1">D13+D19+D31</f>
        <v>0</v>
      </c>
      <c r="H3" s="440" t="s">
        <v>222</v>
      </c>
      <c r="I3" s="441">
        <f>IFERROR((V3+X3)/(V2+X2),0)</f>
        <v>0</v>
      </c>
      <c r="J3" s="442" t="s">
        <v>1</v>
      </c>
      <c r="K3" s="443" t="s">
        <v>45</v>
      </c>
      <c r="L3" s="444" t="s">
        <v>46</v>
      </c>
      <c r="M3" s="445" t="s">
        <v>47</v>
      </c>
      <c r="N3" s="446" t="s">
        <v>48</v>
      </c>
      <c r="O3" s="447" t="s">
        <v>45</v>
      </c>
      <c r="P3" s="446" t="s">
        <v>46</v>
      </c>
      <c r="Q3" s="448" t="s">
        <v>47</v>
      </c>
      <c r="R3" s="446" t="s">
        <v>48</v>
      </c>
      <c r="U3" s="1103">
        <f>SUMIF(E:E, "OUT SIDE FINES", H:H)</f>
        <v>0</v>
      </c>
      <c r="V3" s="1103">
        <f>SUMIF(E:E, "OUT SIDE LUMPS", H:H)</f>
        <v>0</v>
      </c>
      <c r="W3" s="1103">
        <f>SUMIF(E:E, "PELLET", H:H)</f>
        <v>0</v>
      </c>
      <c r="X3" s="1103">
        <f>SUMIF(E:E, "LUMPS", H:H)</f>
        <v>0</v>
      </c>
      <c r="Y3" s="432">
        <f>SUMIF(E:E, "FINES", H:H)</f>
        <v>0</v>
      </c>
    </row>
    <row r="4" spans="1:25" ht="15.75" customHeight="1" thickBot="1">
      <c r="A4" s="449" t="s">
        <v>227</v>
      </c>
      <c r="B4" s="449"/>
      <c r="C4" s="449"/>
      <c r="D4" s="449" t="s">
        <v>228</v>
      </c>
      <c r="E4" s="449" t="s">
        <v>229</v>
      </c>
      <c r="F4" s="320"/>
      <c r="G4" s="236"/>
      <c r="J4" s="450">
        <v>160</v>
      </c>
      <c r="K4" s="451">
        <f t="array" aca="1" ref="K4" ca="1">INDIRECT("'Prod.'!P18")</f>
        <v>0</v>
      </c>
      <c r="L4" s="158">
        <f t="array" aca="1" ref="L4" ca="1">INDIRECT("'Prod.'!Q18")</f>
        <v>0</v>
      </c>
      <c r="M4" s="158">
        <f t="array" aca="1" ref="M4" ca="1">INDIRECT("'Prod.'!R18")</f>
        <v>0</v>
      </c>
      <c r="N4" s="158">
        <f t="array" aca="1" ref="N4" ca="1">INDIRECT("'Prod.'!S18")</f>
        <v>0</v>
      </c>
      <c r="O4" s="158">
        <f t="array" aca="1" ref="O4" ca="1">INDIRECT("'Prod.'!V18")</f>
        <v>0</v>
      </c>
      <c r="P4" s="158">
        <f t="array" aca="1" ref="P4" ca="1">INDIRECT("'Prod.'!W18")</f>
        <v>0</v>
      </c>
      <c r="Q4" s="158">
        <f t="array" aca="1" ref="Q4" ca="1">INDIRECT("'Prod.'!X18")</f>
        <v>0</v>
      </c>
      <c r="R4" s="158">
        <f t="array" aca="1" ref="R4" ca="1">INDIRECT("'Prod.'!Y18")</f>
        <v>0</v>
      </c>
      <c r="U4" s="1383" t="s">
        <v>230</v>
      </c>
      <c r="V4" s="1383"/>
      <c r="W4" s="1383"/>
      <c r="X4" s="1383"/>
    </row>
    <row r="5" spans="1:25" ht="15.75" customHeight="1" thickBot="1">
      <c r="A5" s="211" t="s">
        <v>231</v>
      </c>
      <c r="B5" s="452">
        <f ca="1">R10</f>
        <v>0</v>
      </c>
      <c r="C5" s="211"/>
      <c r="D5" s="351">
        <f ca="1">B5*6*0.132335</f>
        <v>0</v>
      </c>
      <c r="E5" s="302" t="s">
        <v>232</v>
      </c>
      <c r="F5" s="320"/>
      <c r="G5" s="236"/>
      <c r="J5" s="450">
        <v>110</v>
      </c>
      <c r="K5" s="451">
        <f>Prod.!J16</f>
        <v>0</v>
      </c>
      <c r="L5" s="158">
        <f>Prod.!K16</f>
        <v>0</v>
      </c>
      <c r="M5" s="158">
        <f>Prod.!L16</f>
        <v>0</v>
      </c>
      <c r="N5" s="158">
        <f>Prod.!M16</f>
        <v>0</v>
      </c>
      <c r="U5" s="1384" t="str">
        <f>A1</f>
        <v>DATE-01-10-2026</v>
      </c>
      <c r="V5" s="1384"/>
      <c r="W5" s="453" t="s">
        <v>233</v>
      </c>
      <c r="X5" s="454" t="s">
        <v>234</v>
      </c>
    </row>
    <row r="6" spans="1:25" ht="15" customHeight="1">
      <c r="A6" s="211" t="s">
        <v>235</v>
      </c>
      <c r="B6" s="452">
        <f ca="1">P10</f>
        <v>0</v>
      </c>
      <c r="C6" s="211"/>
      <c r="D6" s="351">
        <f ca="1">(B6*4*0.132335)</f>
        <v>0</v>
      </c>
      <c r="E6" s="302" t="s">
        <v>236</v>
      </c>
      <c r="F6" s="320"/>
      <c r="G6" s="236"/>
      <c r="J6" s="414"/>
      <c r="K6" s="414"/>
      <c r="L6" s="414"/>
      <c r="M6" s="414"/>
      <c r="N6" s="414"/>
      <c r="O6" s="414"/>
      <c r="P6" s="455"/>
      <c r="U6" s="231"/>
      <c r="X6" s="456"/>
    </row>
    <row r="7" spans="1:25" ht="15" customHeight="1">
      <c r="A7" s="211" t="s">
        <v>237</v>
      </c>
      <c r="B7" s="452">
        <f ca="1">Q10</f>
        <v>0</v>
      </c>
      <c r="C7" s="211"/>
      <c r="D7" s="351">
        <f ca="1">B7*5*0.132335</f>
        <v>0</v>
      </c>
      <c r="E7" s="457" t="s">
        <v>238</v>
      </c>
      <c r="F7" s="320"/>
      <c r="G7" s="236"/>
      <c r="J7" s="414"/>
      <c r="K7" s="414"/>
      <c r="L7" s="414"/>
      <c r="M7" s="414"/>
      <c r="N7" s="414"/>
      <c r="O7" s="414"/>
      <c r="U7" s="458" t="str">
        <f>E6</f>
        <v>Mag. Material</v>
      </c>
      <c r="V7" s="282">
        <f>F6</f>
        <v>0</v>
      </c>
      <c r="W7" s="459"/>
      <c r="X7" s="460"/>
    </row>
    <row r="8" spans="1:25" ht="15" customHeight="1">
      <c r="A8" s="211" t="s">
        <v>239</v>
      </c>
      <c r="B8" s="452">
        <f ca="1">O10</f>
        <v>0</v>
      </c>
      <c r="C8" s="211"/>
      <c r="D8" s="351">
        <f ca="1">B8*3*0.132335</f>
        <v>0</v>
      </c>
      <c r="E8" s="302" t="s">
        <v>222</v>
      </c>
      <c r="F8" s="320"/>
      <c r="G8" s="461"/>
      <c r="H8" s="425">
        <f>F8*G8</f>
        <v>0</v>
      </c>
      <c r="K8" s="1382"/>
      <c r="L8" s="1382"/>
      <c r="M8" s="1382"/>
      <c r="N8" s="1382"/>
      <c r="O8" s="1382"/>
      <c r="P8" s="1382"/>
      <c r="Q8" s="1382"/>
      <c r="R8" s="1382"/>
      <c r="U8" s="462" t="str">
        <f t="shared" ref="U8:W12" si="0">E8</f>
        <v>LUMPS</v>
      </c>
      <c r="V8" s="463">
        <f t="shared" si="0"/>
        <v>0</v>
      </c>
      <c r="W8" s="464">
        <f t="shared" si="0"/>
        <v>0</v>
      </c>
      <c r="X8" s="465"/>
    </row>
    <row r="9" spans="1:25" ht="15" customHeight="1">
      <c r="A9" s="211" t="s">
        <v>240</v>
      </c>
      <c r="B9" s="452">
        <f ca="1">O4</f>
        <v>0</v>
      </c>
      <c r="C9" s="211"/>
      <c r="D9" s="351">
        <f ca="1">B9*3*0.198005</f>
        <v>0</v>
      </c>
      <c r="E9" s="302" t="s">
        <v>221</v>
      </c>
      <c r="F9" s="320"/>
      <c r="G9" s="461"/>
      <c r="H9" s="425">
        <f>F9*G9</f>
        <v>0</v>
      </c>
      <c r="J9" s="302" t="s">
        <v>1</v>
      </c>
      <c r="K9" s="466" t="s">
        <v>45</v>
      </c>
      <c r="L9" s="467" t="s">
        <v>46</v>
      </c>
      <c r="M9" s="468" t="s">
        <v>47</v>
      </c>
      <c r="N9" s="467" t="s">
        <v>48</v>
      </c>
      <c r="O9" s="466" t="s">
        <v>45</v>
      </c>
      <c r="P9" s="467" t="s">
        <v>46</v>
      </c>
      <c r="Q9" s="468" t="s">
        <v>47</v>
      </c>
      <c r="R9" s="467" t="s">
        <v>48</v>
      </c>
      <c r="U9" s="374" t="str">
        <f t="shared" si="0"/>
        <v>PELLET</v>
      </c>
      <c r="V9" s="282">
        <f t="shared" si="0"/>
        <v>0</v>
      </c>
      <c r="W9" s="469">
        <f t="shared" si="0"/>
        <v>0</v>
      </c>
      <c r="X9" s="465">
        <f>IFERROR($I$1,0)</f>
        <v>0</v>
      </c>
    </row>
    <row r="10" spans="1:25" ht="15" customHeight="1">
      <c r="A10" s="211" t="s">
        <v>241</v>
      </c>
      <c r="B10" s="452">
        <f ca="1">P4</f>
        <v>0</v>
      </c>
      <c r="C10" s="211"/>
      <c r="D10" s="351">
        <f ca="1">B10*4*0.198005</f>
        <v>0</v>
      </c>
      <c r="E10" s="302" t="s">
        <v>223</v>
      </c>
      <c r="F10" s="320"/>
      <c r="G10" s="461"/>
      <c r="H10" s="425">
        <f>F10*G10</f>
        <v>0</v>
      </c>
      <c r="J10" s="470">
        <v>130</v>
      </c>
      <c r="K10" s="471">
        <f t="array" aca="1" ref="K10" ca="1">INDIRECT("'Prod.'!P17")</f>
        <v>0</v>
      </c>
      <c r="L10" s="471">
        <f t="array" aca="1" ref="L10" ca="1">INDIRECT("'Prod.'!Q17")</f>
        <v>0</v>
      </c>
      <c r="M10" s="471">
        <f t="array" aca="1" ref="M10" ca="1">INDIRECT("'Prod.'!R17")</f>
        <v>0</v>
      </c>
      <c r="N10" s="471">
        <f t="array" aca="1" ref="N10" ca="1">INDIRECT("'Prod.'!S17")</f>
        <v>0</v>
      </c>
      <c r="O10" s="471">
        <f t="array" aca="1" ref="O10" ca="1">INDIRECT("'Prod.'!V17")</f>
        <v>0</v>
      </c>
      <c r="P10" s="471">
        <f t="array" aca="1" ref="P10" ca="1">INDIRECT("'Prod.'!W17")</f>
        <v>0</v>
      </c>
      <c r="Q10" s="471">
        <f t="array" aca="1" ref="Q10" ca="1">INDIRECT("'Prod.'!X17")</f>
        <v>0</v>
      </c>
      <c r="R10" s="471">
        <f t="array" aca="1" ref="R10" ca="1">INDIRECT("'Prod.'!Y17")</f>
        <v>0</v>
      </c>
      <c r="U10" s="374" t="str">
        <f t="shared" si="0"/>
        <v>FINES</v>
      </c>
      <c r="V10" s="282">
        <f t="shared" si="0"/>
        <v>0</v>
      </c>
      <c r="W10" s="469">
        <f t="shared" si="0"/>
        <v>0</v>
      </c>
      <c r="X10" s="465">
        <f>IFERROR($I$2,0)</f>
        <v>0</v>
      </c>
    </row>
    <row r="11" spans="1:25" ht="15" customHeight="1">
      <c r="A11" s="211" t="s">
        <v>242</v>
      </c>
      <c r="B11" s="452">
        <f ca="1">Q4</f>
        <v>0</v>
      </c>
      <c r="C11" s="211"/>
      <c r="D11" s="472">
        <f ca="1">B11*5*0.198005</f>
        <v>0</v>
      </c>
      <c r="E11" s="473" t="s">
        <v>243</v>
      </c>
      <c r="F11" s="351"/>
      <c r="G11" s="474"/>
      <c r="H11" s="425">
        <f>F11*G11</f>
        <v>0</v>
      </c>
      <c r="U11" s="374" t="str">
        <f t="shared" si="0"/>
        <v>OUT SIDE FINES</v>
      </c>
      <c r="V11" s="282">
        <f t="shared" si="0"/>
        <v>0</v>
      </c>
      <c r="W11" s="469">
        <f t="shared" si="0"/>
        <v>0</v>
      </c>
      <c r="X11" s="475"/>
    </row>
    <row r="12" spans="1:25" ht="15" customHeight="1">
      <c r="A12" s="211" t="s">
        <v>244</v>
      </c>
      <c r="B12" s="452">
        <f>N5</f>
        <v>0</v>
      </c>
      <c r="C12" s="211"/>
      <c r="D12" s="472">
        <f>B12*6*0.095</f>
        <v>0</v>
      </c>
      <c r="E12" s="473" t="s">
        <v>245</v>
      </c>
      <c r="F12" s="476"/>
      <c r="G12" s="477"/>
      <c r="H12" s="425">
        <f>F12*G12</f>
        <v>0</v>
      </c>
      <c r="U12" s="374" t="str">
        <f t="shared" si="0"/>
        <v>OUT SIDE LUMPS</v>
      </c>
      <c r="V12" s="282">
        <f t="shared" si="0"/>
        <v>0</v>
      </c>
      <c r="W12" s="469">
        <f t="shared" si="0"/>
        <v>0</v>
      </c>
      <c r="X12" s="465">
        <f>IFERROR($I$3,0)</f>
        <v>0</v>
      </c>
    </row>
    <row r="13" spans="1:25" ht="15" customHeight="1">
      <c r="A13" s="211" t="s">
        <v>92</v>
      </c>
      <c r="B13" s="211"/>
      <c r="C13" s="211"/>
      <c r="D13" s="472">
        <f ca="1">SUM(D5:D12)</f>
        <v>0</v>
      </c>
      <c r="E13" s="473" t="s">
        <v>246</v>
      </c>
      <c r="F13" s="320"/>
      <c r="G13" s="478"/>
      <c r="J13" t="s">
        <v>65</v>
      </c>
      <c r="K13" s="181">
        <f>Prod.!C16</f>
        <v>0</v>
      </c>
      <c r="L13" s="181">
        <f>Prod.!D16</f>
        <v>0</v>
      </c>
      <c r="M13" s="181">
        <f>Prod.!E16</f>
        <v>0</v>
      </c>
      <c r="N13" s="160">
        <f>Prod.!F16</f>
        <v>0</v>
      </c>
      <c r="O13" s="160">
        <f>Prod.!G16</f>
        <v>0</v>
      </c>
      <c r="U13" s="374" t="str">
        <f>E13</f>
        <v>SCRAP</v>
      </c>
      <c r="V13" s="282">
        <f>F13-V16</f>
        <v>0</v>
      </c>
      <c r="W13" s="479"/>
      <c r="X13" s="456"/>
    </row>
    <row r="14" spans="1:25" ht="15" customHeight="1">
      <c r="A14" s="480" t="s">
        <v>247</v>
      </c>
      <c r="B14" s="480"/>
      <c r="C14" s="480"/>
      <c r="D14" s="449" t="s">
        <v>228</v>
      </c>
      <c r="E14" s="481" t="s">
        <v>248</v>
      </c>
      <c r="F14" s="320"/>
      <c r="G14" s="482"/>
      <c r="J14" t="s">
        <v>67</v>
      </c>
      <c r="K14" s="181">
        <f>Prod.!C17</f>
        <v>0</v>
      </c>
      <c r="L14" s="181">
        <f>Prod.!D17</f>
        <v>0</v>
      </c>
      <c r="M14" s="181">
        <f>Prod.!E17</f>
        <v>0</v>
      </c>
      <c r="N14" s="160">
        <f>Prod.!F17</f>
        <v>0</v>
      </c>
      <c r="O14" s="160">
        <f>Prod.!G17</f>
        <v>0</v>
      </c>
      <c r="T14" s="160"/>
      <c r="U14" s="374" t="str">
        <f>E14</f>
        <v>MS SCRAP</v>
      </c>
      <c r="V14" s="282">
        <f>F14</f>
        <v>0</v>
      </c>
      <c r="W14" s="479"/>
      <c r="X14" s="456"/>
    </row>
    <row r="15" spans="1:25" ht="15.75" customHeight="1" thickBot="1">
      <c r="A15" s="211" t="s">
        <v>249</v>
      </c>
      <c r="B15" s="211"/>
      <c r="C15" s="211"/>
      <c r="D15" s="351">
        <f>B15*0.199</f>
        <v>0</v>
      </c>
      <c r="E15" s="481" t="s">
        <v>250</v>
      </c>
      <c r="F15" s="320"/>
      <c r="G15" s="236"/>
      <c r="U15" s="374" t="str">
        <f>E15</f>
        <v>MS SCRAP-ROLLING MILL</v>
      </c>
      <c r="V15" s="282">
        <f>F15</f>
        <v>0</v>
      </c>
      <c r="W15" s="479"/>
      <c r="X15" s="456"/>
    </row>
    <row r="16" spans="1:25" ht="14.25" customHeight="1" thickBot="1">
      <c r="A16" s="211" t="s">
        <v>251</v>
      </c>
      <c r="B16" s="211">
        <f>K5*3+L5*4+M5*5</f>
        <v>0</v>
      </c>
      <c r="C16" s="211"/>
      <c r="D16" s="351">
        <f>B16*0.095</f>
        <v>0</v>
      </c>
      <c r="E16" s="302" t="s">
        <v>252</v>
      </c>
      <c r="F16" s="320"/>
      <c r="G16" s="236"/>
      <c r="L16" s="1381" t="s">
        <v>7</v>
      </c>
      <c r="M16" s="1381"/>
      <c r="N16" s="1381"/>
      <c r="U16" s="374" t="str">
        <f>E20</f>
        <v xml:space="preserve">C I SCRAP </v>
      </c>
      <c r="V16" s="282">
        <f>F20</f>
        <v>0</v>
      </c>
      <c r="W16" s="479"/>
      <c r="X16" s="456"/>
    </row>
    <row r="17" spans="1:24" ht="16.5" customHeight="1" thickBot="1">
      <c r="A17" s="211" t="s">
        <v>253</v>
      </c>
      <c r="B17" s="211"/>
      <c r="C17" s="211"/>
      <c r="D17" s="351">
        <f>B17*0.133</f>
        <v>0</v>
      </c>
      <c r="E17" s="302" t="s">
        <v>254</v>
      </c>
      <c r="F17" s="320"/>
      <c r="G17" s="236"/>
      <c r="K17" s="163">
        <v>160</v>
      </c>
      <c r="L17" s="1381"/>
      <c r="M17" s="1381"/>
      <c r="N17" s="1381"/>
      <c r="U17" s="483" t="s">
        <v>255</v>
      </c>
      <c r="V17" s="484">
        <f>V7+V8+V9+V10+V11+V12+V13+V14+V15+V16</f>
        <v>0</v>
      </c>
      <c r="W17" s="485"/>
      <c r="X17" s="454"/>
    </row>
    <row r="18" spans="1:24" ht="18" customHeight="1" thickBot="1">
      <c r="A18" s="211" t="s">
        <v>249</v>
      </c>
      <c r="B18" s="211"/>
      <c r="C18" s="211"/>
      <c r="D18" s="351">
        <f>B18*0.199</f>
        <v>0</v>
      </c>
      <c r="E18" s="302" t="s">
        <v>256</v>
      </c>
      <c r="F18" s="320"/>
      <c r="G18" s="236"/>
      <c r="L18" s="1381"/>
      <c r="M18" s="1381"/>
      <c r="N18" s="1381"/>
    </row>
    <row r="19" spans="1:24" ht="15" customHeight="1">
      <c r="A19" s="211" t="s">
        <v>257</v>
      </c>
      <c r="B19" s="211"/>
      <c r="C19" s="211"/>
      <c r="D19" s="472">
        <f>SUM(D15:D18)</f>
        <v>0</v>
      </c>
      <c r="E19" s="302" t="s">
        <v>258</v>
      </c>
      <c r="F19" s="320"/>
      <c r="G19" s="320"/>
      <c r="L19" s="175">
        <f>Prod.!AP13</f>
        <v>6</v>
      </c>
      <c r="M19" s="176">
        <f>Prod.!AQ13</f>
        <v>0</v>
      </c>
      <c r="N19" s="486">
        <f>Prod.!AR13</f>
        <v>0</v>
      </c>
    </row>
    <row r="20" spans="1:24" ht="15" customHeight="1">
      <c r="A20" s="480" t="s">
        <v>259</v>
      </c>
      <c r="B20" s="480"/>
      <c r="C20" s="480"/>
      <c r="D20" s="449" t="s">
        <v>228</v>
      </c>
      <c r="E20" s="302" t="s">
        <v>260</v>
      </c>
      <c r="F20" s="320"/>
      <c r="G20" s="487" t="s">
        <v>261</v>
      </c>
      <c r="L20" s="170">
        <f>Prod.!AP14</f>
        <v>5</v>
      </c>
      <c r="M20" s="171">
        <f>Prod.!AQ14</f>
        <v>0</v>
      </c>
      <c r="N20" s="100">
        <f>Prod.!AR14</f>
        <v>0</v>
      </c>
    </row>
    <row r="21" spans="1:24" ht="15" customHeight="1">
      <c r="A21" s="211" t="s">
        <v>262</v>
      </c>
      <c r="B21" s="452">
        <f ca="1">K10</f>
        <v>0</v>
      </c>
      <c r="C21" s="211"/>
      <c r="D21" s="488">
        <f ca="1">B21*3*0.132335</f>
        <v>0</v>
      </c>
      <c r="E21" s="302" t="s">
        <v>263</v>
      </c>
      <c r="F21" s="217"/>
      <c r="G21" s="282">
        <f>F6+F8+F9+F10+F11+F12+F13+F14+F15</f>
        <v>0</v>
      </c>
      <c r="L21" s="170">
        <f>Prod.!AP15</f>
        <v>4</v>
      </c>
      <c r="M21" s="171">
        <f>Prod.!AQ15</f>
        <v>0</v>
      </c>
      <c r="N21" s="100">
        <f>Prod.!AR15</f>
        <v>0</v>
      </c>
    </row>
    <row r="22" spans="1:24" ht="15.75" customHeight="1">
      <c r="A22" s="211" t="s">
        <v>264</v>
      </c>
      <c r="B22" s="452">
        <f ca="1">L10</f>
        <v>0</v>
      </c>
      <c r="C22" s="211"/>
      <c r="D22" s="488">
        <f ca="1">(B22*4*0.132335)</f>
        <v>0</v>
      </c>
      <c r="E22" s="1387" t="s">
        <v>265</v>
      </c>
      <c r="F22" s="1387"/>
      <c r="G22" s="236"/>
      <c r="L22" s="170">
        <f>Prod.!AP16</f>
        <v>3</v>
      </c>
      <c r="M22" s="172">
        <f>Prod.!AQ16</f>
        <v>0</v>
      </c>
      <c r="N22" s="100">
        <f>Prod.!AR16</f>
        <v>0</v>
      </c>
      <c r="O22" s="293" t="e">
        <f>N23/((L22*M22)+(L21*M21)+(L20*M20)+(L19*M19))</f>
        <v>#DIV/0!</v>
      </c>
    </row>
    <row r="23" spans="1:24" ht="15.75" customHeight="1">
      <c r="A23" s="211"/>
      <c r="B23" s="211"/>
      <c r="C23" s="211"/>
      <c r="D23" s="488"/>
      <c r="E23" s="207" t="s">
        <v>266</v>
      </c>
      <c r="F23" s="490">
        <f>M30</f>
        <v>0</v>
      </c>
      <c r="G23" s="320">
        <f>IFERROR(F23*6*O33,0)</f>
        <v>0</v>
      </c>
      <c r="L23" s="173"/>
      <c r="M23" s="174"/>
      <c r="N23" s="491">
        <f>Prod.!AR17</f>
        <v>0</v>
      </c>
    </row>
    <row r="24" spans="1:24" ht="15" customHeight="1">
      <c r="A24" s="211" t="s">
        <v>267</v>
      </c>
      <c r="B24" s="452">
        <f ca="1">M10</f>
        <v>0</v>
      </c>
      <c r="C24" s="211"/>
      <c r="D24" s="488">
        <f ca="1">B24*5*0.132335</f>
        <v>0</v>
      </c>
      <c r="E24" s="207" t="s">
        <v>268</v>
      </c>
      <c r="F24" s="490">
        <f>M31</f>
        <v>0</v>
      </c>
      <c r="G24" s="320">
        <f>IFERROR(F24*5*O33,0)</f>
        <v>0</v>
      </c>
    </row>
    <row r="25" spans="1:24" ht="15" customHeight="1">
      <c r="A25" s="211"/>
      <c r="B25" s="452"/>
      <c r="C25" s="211"/>
      <c r="D25" s="488"/>
      <c r="E25" s="207" t="s">
        <v>269</v>
      </c>
      <c r="F25" s="490">
        <f>M32</f>
        <v>0</v>
      </c>
      <c r="G25" s="320">
        <f>IFERROR(F25*4*O33,0)</f>
        <v>0</v>
      </c>
    </row>
    <row r="26" spans="1:24" ht="14.25" customHeight="1">
      <c r="A26" s="211"/>
      <c r="B26" s="211"/>
      <c r="C26" s="211"/>
      <c r="D26" s="488"/>
      <c r="E26" s="207" t="s">
        <v>270</v>
      </c>
      <c r="F26" s="490">
        <f>M21</f>
        <v>0</v>
      </c>
      <c r="G26" s="320">
        <f>IFERROR(F26*4*O22,0)</f>
        <v>0</v>
      </c>
    </row>
    <row r="27" spans="1:24" ht="15" customHeight="1">
      <c r="A27" s="211" t="s">
        <v>271</v>
      </c>
      <c r="B27" s="452">
        <f ca="1">N10</f>
        <v>0</v>
      </c>
      <c r="C27" s="211"/>
      <c r="D27" s="488">
        <f ca="1">B27*6*0.132335</f>
        <v>0</v>
      </c>
      <c r="E27" s="207" t="s">
        <v>272</v>
      </c>
      <c r="F27" s="492">
        <f>M22</f>
        <v>0</v>
      </c>
      <c r="G27" s="320">
        <f>IFERROR(F27*3*O22,0)</f>
        <v>0</v>
      </c>
      <c r="L27" s="1381" t="s">
        <v>7</v>
      </c>
      <c r="M27" s="1381"/>
      <c r="N27" s="1381"/>
    </row>
    <row r="28" spans="1:24" ht="15" customHeight="1">
      <c r="A28" s="211" t="s">
        <v>273</v>
      </c>
      <c r="B28" s="452">
        <f ca="1">M4</f>
        <v>0</v>
      </c>
      <c r="C28" s="211"/>
      <c r="D28" s="488">
        <f ca="1">B28*5*0.198005</f>
        <v>0</v>
      </c>
      <c r="E28" s="207" t="s">
        <v>274</v>
      </c>
      <c r="F28" s="493">
        <f>M33</f>
        <v>0</v>
      </c>
      <c r="G28" s="320">
        <f>IFERROR(F28*3*O33,0)</f>
        <v>0</v>
      </c>
      <c r="K28" s="163">
        <v>130</v>
      </c>
      <c r="L28" s="1381"/>
      <c r="M28" s="1381"/>
      <c r="N28" s="1381"/>
    </row>
    <row r="29" spans="1:24" ht="15" customHeight="1">
      <c r="A29" s="211" t="s">
        <v>275</v>
      </c>
      <c r="B29" s="452">
        <f ca="1">K4</f>
        <v>0</v>
      </c>
      <c r="C29" s="211"/>
      <c r="D29" s="488">
        <f ca="1">B29*3*0.198005</f>
        <v>0</v>
      </c>
      <c r="E29" s="207" t="s">
        <v>276</v>
      </c>
      <c r="F29" s="472">
        <f>SUM(G23:G28)</f>
        <v>0</v>
      </c>
      <c r="G29" s="282"/>
      <c r="L29" s="1381"/>
      <c r="M29" s="1381"/>
      <c r="N29" s="1381"/>
    </row>
    <row r="30" spans="1:24" ht="15" customHeight="1">
      <c r="A30" s="211" t="s">
        <v>277</v>
      </c>
      <c r="B30" s="452">
        <f ca="1">L4</f>
        <v>0</v>
      </c>
      <c r="C30" s="211"/>
      <c r="D30" s="488">
        <f ca="1">B30*4*0.198005</f>
        <v>0</v>
      </c>
      <c r="E30" s="494" t="s">
        <v>278</v>
      </c>
      <c r="F30" s="472">
        <f>F31+F32+F33+F34</f>
        <v>0</v>
      </c>
      <c r="G30" s="206"/>
      <c r="L30" s="175">
        <f>Prod.!AP5</f>
        <v>6</v>
      </c>
      <c r="M30" s="176">
        <f>Prod.!AQ5</f>
        <v>0</v>
      </c>
      <c r="N30" s="486">
        <f>Prod.!AR5</f>
        <v>0</v>
      </c>
    </row>
    <row r="31" spans="1:24" ht="15" customHeight="1">
      <c r="A31" s="211" t="s">
        <v>257</v>
      </c>
      <c r="B31" s="211"/>
      <c r="C31" s="211"/>
      <c r="D31" s="495">
        <f ca="1">SUM(D21:D30)</f>
        <v>0</v>
      </c>
      <c r="E31" s="207" t="s">
        <v>279</v>
      </c>
      <c r="F31" s="496"/>
      <c r="G31" s="206"/>
      <c r="L31" s="170">
        <f>Prod.!AP6</f>
        <v>5</v>
      </c>
      <c r="M31" s="171">
        <f>Prod.!AQ6</f>
        <v>0</v>
      </c>
      <c r="N31" s="100">
        <f>Prod.!AR6</f>
        <v>0</v>
      </c>
      <c r="O31" s="160"/>
    </row>
    <row r="32" spans="1:24" ht="15" customHeight="1">
      <c r="A32" s="497"/>
      <c r="B32" s="498"/>
      <c r="C32" s="498"/>
      <c r="D32" s="499"/>
      <c r="E32" s="207" t="s">
        <v>280</v>
      </c>
      <c r="F32" s="284"/>
      <c r="G32" s="206"/>
      <c r="L32" s="170">
        <f>Prod.!AP7</f>
        <v>4</v>
      </c>
      <c r="M32" s="171">
        <f>Prod.!AQ7</f>
        <v>0</v>
      </c>
      <c r="N32" s="100">
        <f>Prod.!AR7</f>
        <v>0</v>
      </c>
      <c r="O32" s="160"/>
    </row>
    <row r="33" spans="1:24" ht="15.75" customHeight="1">
      <c r="A33" s="497"/>
      <c r="B33" s="498"/>
      <c r="C33" s="498"/>
      <c r="D33" s="499"/>
      <c r="E33" s="207" t="s">
        <v>281</v>
      </c>
      <c r="F33" s="500"/>
      <c r="G33" s="206"/>
      <c r="L33" s="170">
        <f>Prod.!AP8</f>
        <v>3</v>
      </c>
      <c r="M33" s="172">
        <f>Prod.!AQ8</f>
        <v>0</v>
      </c>
      <c r="N33" s="100">
        <f>Prod.!AR8</f>
        <v>0</v>
      </c>
      <c r="O33" t="e">
        <f>N34/((L33*M33)+(L32*M32)+(L31*M31)+(L30*M30))</f>
        <v>#DIV/0!</v>
      </c>
    </row>
    <row r="34" spans="1:24" ht="15.75" customHeight="1">
      <c r="A34" s="501" t="s">
        <v>282</v>
      </c>
      <c r="B34" s="502"/>
      <c r="C34" s="502"/>
      <c r="D34" s="503"/>
      <c r="E34" s="207" t="s">
        <v>283</v>
      </c>
      <c r="F34" s="504"/>
      <c r="G34" s="206"/>
      <c r="L34" s="173"/>
      <c r="M34" s="174"/>
      <c r="N34" s="491">
        <f>Prod.!AR9</f>
        <v>0</v>
      </c>
      <c r="O34" s="160"/>
    </row>
    <row r="35" spans="1:24" ht="15" customHeight="1">
      <c r="A35" s="207" t="s">
        <v>284</v>
      </c>
      <c r="B35" s="207" t="s">
        <v>285</v>
      </c>
      <c r="C35" s="207" t="s">
        <v>286</v>
      </c>
      <c r="D35" s="433"/>
      <c r="E35" s="489" t="s">
        <v>287</v>
      </c>
      <c r="F35" s="472">
        <f>F37+F38+F36+F39</f>
        <v>0</v>
      </c>
      <c r="G35" s="487" t="s">
        <v>11</v>
      </c>
    </row>
    <row r="36" spans="1:24" ht="15" customHeight="1">
      <c r="A36" s="207" t="s">
        <v>72</v>
      </c>
      <c r="B36" s="505">
        <f>K13</f>
        <v>0</v>
      </c>
      <c r="C36" s="505">
        <f>K14</f>
        <v>0</v>
      </c>
      <c r="D36" s="207"/>
      <c r="E36" s="302" t="s">
        <v>288</v>
      </c>
      <c r="F36" s="320">
        <f>IF(E36="160 X 3", G36*3*0.198005,
IF(E36="160 X 4", G36*4*0.198005,
IF(E36="160 X 5", G36*5*0.198005,
IF(E36="130 X 3", G36*3*0.132335,
IF(E36="130 X 4", G36*4*0.132335,
IF(E36="130 X 5", G36*5*0.132335,
IF(E36="130 X 6", G36*6*0.132335,
0)))))))</f>
        <v>0</v>
      </c>
      <c r="G36" s="506"/>
    </row>
    <row r="37" spans="1:24" ht="15" customHeight="1">
      <c r="A37" s="207" t="s">
        <v>41</v>
      </c>
      <c r="B37" s="505">
        <f>L13</f>
        <v>0</v>
      </c>
      <c r="C37" s="505">
        <f>L14</f>
        <v>0</v>
      </c>
      <c r="D37" s="207"/>
      <c r="E37" s="302" t="s">
        <v>289</v>
      </c>
      <c r="F37" s="320">
        <f>IF(E37="160 X 3", G37*3*0.198005,
IF(E37="160 X 4", G37*4*0.198005,
IF(E37="160 X 5", G37*5*0.198005,
IF(E37="130 X 3", G37*3*0.132335,
IF(E37="130 X 4", G37*4*0.132335,
IF(E37="130 X 5", G37*5*0.132335,
IF(E37="130 X 6", G37*6*0.132335,
0)))))))</f>
        <v>0</v>
      </c>
      <c r="G37" s="506"/>
    </row>
    <row r="38" spans="1:24" ht="15" customHeight="1">
      <c r="A38" s="207" t="s">
        <v>73</v>
      </c>
      <c r="B38" s="505">
        <f>M13</f>
        <v>0</v>
      </c>
      <c r="C38" s="505">
        <f>M14</f>
        <v>0</v>
      </c>
      <c r="D38" s="207"/>
      <c r="E38" s="302" t="s">
        <v>283</v>
      </c>
      <c r="F38" s="320">
        <f>IF(E38="160 X 3", G38*3*0.198005,
IF(E38="160 X 4", G38*4*0.198005,
IF(E38="160 X 5", G38*5*0.198005,
IF(E38="130 X 3", G38*3*0.132335,
IF(E38="130 X 4", G38*4*0.132335,
IF(E38="130 X 5", G38*5*0.132335,
IF(E38="130 X 6", G38*6*0.132335,
0)))))))</f>
        <v>0</v>
      </c>
      <c r="G38" s="506"/>
    </row>
    <row r="39" spans="1:24" ht="15" customHeight="1">
      <c r="A39" s="207" t="s">
        <v>74</v>
      </c>
      <c r="B39" s="439">
        <f>N13</f>
        <v>0</v>
      </c>
      <c r="C39" s="439">
        <f>N14</f>
        <v>0</v>
      </c>
      <c r="D39" s="207"/>
      <c r="E39" s="302" t="s">
        <v>290</v>
      </c>
      <c r="F39" s="320">
        <f>IF(E39="160 X 3", G39*3*0.198005,
IF(E39="160 X 4", G39*4*0.198005,
IF(E39="160 X 5", G39*5*0.198005,
IF(E39="130 X 3", G39*3*0.132335,
IF(E39="130 X 4", G39*4*0.132335,
IF(E39="130 X 5", G39*5*0.132335,
IF(E39="130 X 6", G39*6*0.132335,
0)))))))</f>
        <v>0</v>
      </c>
      <c r="G39" s="506"/>
    </row>
    <row r="40" spans="1:24" ht="15" customHeight="1">
      <c r="A40" s="207" t="s">
        <v>44</v>
      </c>
      <c r="B40" s="439">
        <f>O13</f>
        <v>0</v>
      </c>
      <c r="C40" s="439">
        <f>O14</f>
        <v>0</v>
      </c>
      <c r="D40" s="207"/>
      <c r="E40" s="302"/>
      <c r="F40" s="320">
        <f>IF(E40="160 X 3", G40*3*0.198005,
IF(E40="160 X 4", G40*4*0.198005,
IF(E40="160 X 5", G40*5*0.198005,
IF(E40="130 X 3", G40*3*0.132335,
IF(E40="130 X 4", G40*4*0.132335,
IF(E40="130 X 5", G40*5*0.132335,
IF(E40="130 X 6", G40*6*0.132335,
0)))))))</f>
        <v>0</v>
      </c>
      <c r="G40" s="206"/>
    </row>
    <row r="41" spans="1:24" ht="15" customHeight="1">
      <c r="A41" s="1084"/>
      <c r="B41" s="515"/>
      <c r="H41" s="180"/>
    </row>
    <row r="42" spans="1:24" ht="15" customHeight="1">
      <c r="A42" s="984"/>
      <c r="B42" s="984"/>
      <c r="D42" s="434"/>
      <c r="E42" s="434"/>
      <c r="H42" s="180"/>
      <c r="J42" s="1079" t="s">
        <v>291</v>
      </c>
      <c r="K42" s="1382"/>
      <c r="L42" s="1382"/>
      <c r="M42" s="1382"/>
      <c r="N42" s="1382"/>
      <c r="O42" s="1382"/>
      <c r="P42" s="1382"/>
      <c r="Q42" s="1382"/>
      <c r="R42" s="1382"/>
    </row>
    <row r="43" spans="1:24" ht="15.75" customHeight="1" thickBot="1">
      <c r="A43" s="984"/>
      <c r="B43" s="1051"/>
      <c r="H43" s="180"/>
      <c r="J43" s="1080" t="s">
        <v>1</v>
      </c>
      <c r="K43" s="466" t="s">
        <v>45</v>
      </c>
      <c r="L43" s="467" t="s">
        <v>46</v>
      </c>
      <c r="M43" s="468" t="s">
        <v>47</v>
      </c>
      <c r="N43" s="467" t="s">
        <v>48</v>
      </c>
      <c r="O43" s="466" t="s">
        <v>45</v>
      </c>
      <c r="P43" s="467" t="s">
        <v>46</v>
      </c>
      <c r="Q43" s="468" t="s">
        <v>47</v>
      </c>
      <c r="R43" s="467" t="s">
        <v>48</v>
      </c>
    </row>
    <row r="44" spans="1:24" ht="15.75" customHeight="1" thickBot="1">
      <c r="A44" s="984"/>
      <c r="B44" s="984"/>
      <c r="C44" s="984"/>
      <c r="D44" s="984"/>
      <c r="E44" s="984"/>
      <c r="F44" s="417"/>
      <c r="G44" s="379"/>
      <c r="J44" s="1081">
        <v>160</v>
      </c>
      <c r="K44" s="158">
        <f>Prod.!P36</f>
        <v>0</v>
      </c>
      <c r="L44" s="158">
        <f>Prod.!Q36</f>
        <v>0</v>
      </c>
      <c r="M44" s="158">
        <f>Prod.!R36</f>
        <v>0</v>
      </c>
      <c r="N44" s="158">
        <f>Prod.!S36</f>
        <v>0</v>
      </c>
      <c r="O44" s="158">
        <f>Prod.!V36</f>
        <v>0</v>
      </c>
      <c r="P44" s="158">
        <f>Prod.!W36</f>
        <v>0</v>
      </c>
      <c r="Q44" s="158">
        <f>Prod.!X36</f>
        <v>0</v>
      </c>
      <c r="R44" s="158">
        <f>Prod.!Y36</f>
        <v>0</v>
      </c>
      <c r="U44" s="1383" t="s">
        <v>230</v>
      </c>
      <c r="V44" s="1383"/>
      <c r="W44" s="1383"/>
      <c r="X44" s="1383"/>
    </row>
    <row r="45" spans="1:24" ht="15.75" customHeight="1" thickBot="1">
      <c r="A45" s="515"/>
      <c r="B45" s="516"/>
      <c r="C45" s="515"/>
      <c r="D45" s="517"/>
      <c r="E45" s="286"/>
      <c r="F45" s="417"/>
      <c r="G45" s="379"/>
      <c r="J45" s="1081">
        <v>110</v>
      </c>
      <c r="K45" s="158">
        <f>Prod.!J34</f>
        <v>0</v>
      </c>
      <c r="L45" s="158">
        <f>Prod.!K34</f>
        <v>0</v>
      </c>
      <c r="M45" s="158">
        <f>Prod.!L34</f>
        <v>0</v>
      </c>
      <c r="N45" s="158">
        <f>Prod.!M34</f>
        <v>0</v>
      </c>
      <c r="U45" s="1384">
        <f>A41</f>
        <v>0</v>
      </c>
      <c r="V45" s="1384"/>
      <c r="W45" s="453" t="s">
        <v>233</v>
      </c>
      <c r="X45" s="454" t="s">
        <v>234</v>
      </c>
    </row>
    <row r="46" spans="1:24" ht="15" customHeight="1">
      <c r="A46" s="515"/>
      <c r="B46" s="516"/>
      <c r="C46" s="515"/>
      <c r="D46" s="517"/>
      <c r="E46" s="286"/>
      <c r="F46" s="417"/>
      <c r="G46" s="379"/>
      <c r="J46" s="1385"/>
      <c r="K46" s="1385"/>
      <c r="L46" s="1385"/>
      <c r="M46" s="1385"/>
      <c r="N46" s="1385"/>
      <c r="O46" s="1385"/>
      <c r="P46" s="455"/>
      <c r="U46" s="231"/>
      <c r="X46" s="456"/>
    </row>
    <row r="47" spans="1:24" ht="15" customHeight="1">
      <c r="A47" s="515"/>
      <c r="B47" s="516"/>
      <c r="C47" s="515"/>
      <c r="D47" s="517"/>
      <c r="E47" s="929"/>
      <c r="F47" s="417"/>
      <c r="G47" s="379"/>
      <c r="J47" s="181"/>
      <c r="K47" s="508"/>
      <c r="L47" s="181"/>
      <c r="M47" s="508"/>
      <c r="N47" s="181"/>
      <c r="O47" s="508"/>
      <c r="U47" s="458">
        <f>E46</f>
        <v>0</v>
      </c>
      <c r="V47" s="282">
        <f>F46</f>
        <v>0</v>
      </c>
      <c r="W47" s="459"/>
      <c r="X47" s="460"/>
    </row>
    <row r="48" spans="1:24" ht="15" customHeight="1">
      <c r="A48" s="515"/>
      <c r="B48" s="516"/>
      <c r="C48" s="515"/>
      <c r="D48" s="517"/>
      <c r="E48" s="286"/>
      <c r="F48" s="417"/>
      <c r="G48" s="1048"/>
      <c r="K48" s="1382"/>
      <c r="L48" s="1382"/>
      <c r="M48" s="1382"/>
      <c r="N48" s="1382"/>
      <c r="O48" s="1382"/>
      <c r="P48" s="1382"/>
      <c r="Q48" s="1382"/>
      <c r="R48" s="1382"/>
      <c r="U48" s="462">
        <f t="shared" ref="U48:U52" si="1">E48</f>
        <v>0</v>
      </c>
      <c r="V48" s="463">
        <f t="shared" ref="V48:V52" si="2">F48</f>
        <v>0</v>
      </c>
      <c r="W48" s="464">
        <f t="shared" ref="W48:W52" si="3">G48</f>
        <v>0</v>
      </c>
      <c r="X48" s="465"/>
    </row>
    <row r="49" spans="1:24" ht="15" customHeight="1">
      <c r="A49" s="515"/>
      <c r="B49" s="516"/>
      <c r="C49" s="515"/>
      <c r="D49" s="517"/>
      <c r="E49" s="286"/>
      <c r="F49" s="417"/>
      <c r="G49" s="1048"/>
      <c r="J49" s="1080" t="s">
        <v>1</v>
      </c>
      <c r="K49" s="466" t="s">
        <v>45</v>
      </c>
      <c r="L49" s="467" t="s">
        <v>46</v>
      </c>
      <c r="M49" s="468" t="s">
        <v>47</v>
      </c>
      <c r="N49" s="467" t="s">
        <v>48</v>
      </c>
      <c r="O49" s="466" t="s">
        <v>45</v>
      </c>
      <c r="P49" s="467" t="s">
        <v>46</v>
      </c>
      <c r="Q49" s="468" t="s">
        <v>47</v>
      </c>
      <c r="R49" s="467" t="s">
        <v>48</v>
      </c>
      <c r="U49" s="374">
        <f t="shared" si="1"/>
        <v>0</v>
      </c>
      <c r="V49" s="282">
        <f t="shared" si="2"/>
        <v>0</v>
      </c>
      <c r="W49" s="469">
        <f t="shared" si="3"/>
        <v>0</v>
      </c>
      <c r="X49" s="465">
        <f>$I$1</f>
        <v>0</v>
      </c>
    </row>
    <row r="50" spans="1:24" ht="15" customHeight="1">
      <c r="A50" s="515"/>
      <c r="B50" s="516"/>
      <c r="C50" s="515"/>
      <c r="D50" s="517"/>
      <c r="E50" s="286"/>
      <c r="F50" s="417"/>
      <c r="G50" s="1048"/>
      <c r="J50" s="1081">
        <v>130</v>
      </c>
      <c r="K50" s="471">
        <f>Prod.!P35</f>
        <v>0</v>
      </c>
      <c r="L50" s="471">
        <f>Prod.!Q35</f>
        <v>0</v>
      </c>
      <c r="M50" s="471">
        <f>Prod.!R35</f>
        <v>0</v>
      </c>
      <c r="N50" s="471">
        <f>Prod.!S35</f>
        <v>0</v>
      </c>
      <c r="O50" s="471">
        <f>Prod.!V35</f>
        <v>0</v>
      </c>
      <c r="P50" s="471">
        <f>Prod.!W35</f>
        <v>0</v>
      </c>
      <c r="Q50" s="471">
        <f>Prod.!X35</f>
        <v>0</v>
      </c>
      <c r="R50" s="471">
        <f>Prod.!Y35</f>
        <v>0</v>
      </c>
      <c r="U50" s="374">
        <f t="shared" si="1"/>
        <v>0</v>
      </c>
      <c r="V50" s="282">
        <f t="shared" si="2"/>
        <v>0</v>
      </c>
      <c r="W50" s="469">
        <f t="shared" si="3"/>
        <v>0</v>
      </c>
      <c r="X50" s="465">
        <f>IFERROR($I$2,0)</f>
        <v>0</v>
      </c>
    </row>
    <row r="51" spans="1:24" ht="15" customHeight="1">
      <c r="A51" s="515"/>
      <c r="B51" s="516"/>
      <c r="C51" s="515"/>
      <c r="D51" s="517"/>
      <c r="E51" s="1085"/>
      <c r="F51" s="517"/>
      <c r="G51" s="1086"/>
      <c r="U51" s="374">
        <f t="shared" si="1"/>
        <v>0</v>
      </c>
      <c r="V51" s="282">
        <f t="shared" si="2"/>
        <v>0</v>
      </c>
      <c r="W51" s="469">
        <f t="shared" si="3"/>
        <v>0</v>
      </c>
      <c r="X51" s="475"/>
    </row>
    <row r="52" spans="1:24" ht="15" customHeight="1">
      <c r="A52" s="515"/>
      <c r="B52" s="516"/>
      <c r="C52" s="515"/>
      <c r="D52" s="517"/>
      <c r="E52" s="1085"/>
      <c r="F52" s="1087"/>
      <c r="G52" s="1088"/>
      <c r="U52" s="374">
        <f t="shared" si="1"/>
        <v>0</v>
      </c>
      <c r="V52" s="282">
        <f t="shared" si="2"/>
        <v>0</v>
      </c>
      <c r="W52" s="469">
        <f t="shared" si="3"/>
        <v>0</v>
      </c>
      <c r="X52" s="520">
        <f>IFERROR($I$3,0)</f>
        <v>0</v>
      </c>
    </row>
    <row r="53" spans="1:24" ht="15" customHeight="1">
      <c r="A53" s="515"/>
      <c r="B53" s="515"/>
      <c r="C53" s="515"/>
      <c r="D53" s="517"/>
      <c r="E53" s="1085"/>
      <c r="F53" s="417"/>
      <c r="G53" s="1089"/>
      <c r="J53" t="s">
        <v>65</v>
      </c>
      <c r="K53" s="181">
        <f>Prod.!C34</f>
        <v>0</v>
      </c>
      <c r="L53" s="181">
        <f>Prod.!D34</f>
        <v>0</v>
      </c>
      <c r="M53" s="181">
        <f>Prod.!E34</f>
        <v>0</v>
      </c>
      <c r="N53" s="160">
        <f>Prod.!F34</f>
        <v>0</v>
      </c>
      <c r="O53" s="160">
        <f>Prod.!G34</f>
        <v>0</v>
      </c>
      <c r="U53" s="374">
        <f>E53</f>
        <v>0</v>
      </c>
      <c r="V53" s="282">
        <f>F53-V56</f>
        <v>0</v>
      </c>
      <c r="W53" s="479"/>
      <c r="X53" s="456"/>
    </row>
    <row r="54" spans="1:24" ht="15" customHeight="1">
      <c r="A54" s="515"/>
      <c r="B54" s="515"/>
      <c r="C54" s="515"/>
      <c r="D54" s="984"/>
      <c r="E54" s="286"/>
      <c r="F54" s="417"/>
      <c r="G54" s="1090"/>
      <c r="J54" t="s">
        <v>67</v>
      </c>
      <c r="K54" s="181">
        <f>Prod.!C35</f>
        <v>0</v>
      </c>
      <c r="L54" s="181">
        <f>Prod.!D35</f>
        <v>0</v>
      </c>
      <c r="M54" s="181">
        <f>Prod.!E35</f>
        <v>0</v>
      </c>
      <c r="N54" s="160">
        <f>Prod.!F35</f>
        <v>0</v>
      </c>
      <c r="O54" s="160">
        <f>Prod.!G35</f>
        <v>0</v>
      </c>
      <c r="T54" s="160"/>
      <c r="U54" s="374">
        <f>E54</f>
        <v>0</v>
      </c>
      <c r="V54" s="282">
        <f>F54</f>
        <v>0</v>
      </c>
      <c r="W54" s="479"/>
      <c r="X54" s="456"/>
    </row>
    <row r="55" spans="1:24" ht="15.75" customHeight="1" thickBot="1">
      <c r="A55" s="515"/>
      <c r="B55" s="515"/>
      <c r="C55" s="515"/>
      <c r="D55" s="517"/>
      <c r="E55" s="286"/>
      <c r="F55" s="417"/>
      <c r="G55" s="379"/>
      <c r="U55" s="374">
        <f>E55</f>
        <v>0</v>
      </c>
      <c r="V55" s="282">
        <f>F55</f>
        <v>0</v>
      </c>
      <c r="W55" s="479"/>
      <c r="X55" s="456"/>
    </row>
    <row r="56" spans="1:24" ht="14.25" customHeight="1" thickBot="1">
      <c r="A56" s="515"/>
      <c r="B56" s="515"/>
      <c r="C56" s="515"/>
      <c r="D56" s="517"/>
      <c r="E56" s="286"/>
      <c r="F56" s="417"/>
      <c r="G56" s="379"/>
      <c r="L56" s="1381" t="s">
        <v>7</v>
      </c>
      <c r="M56" s="1381"/>
      <c r="N56" s="1381"/>
      <c r="U56" s="374">
        <f>E60</f>
        <v>0</v>
      </c>
      <c r="V56" s="282">
        <f>F60</f>
        <v>0</v>
      </c>
      <c r="W56" s="479"/>
      <c r="X56" s="456"/>
    </row>
    <row r="57" spans="1:24" ht="19.5" customHeight="1" thickBot="1">
      <c r="A57" s="515"/>
      <c r="B57" s="515"/>
      <c r="C57" s="515"/>
      <c r="D57" s="517"/>
      <c r="E57" s="286"/>
      <c r="F57" s="417"/>
      <c r="G57" s="379"/>
      <c r="K57" s="163">
        <v>160</v>
      </c>
      <c r="L57" s="1381"/>
      <c r="M57" s="1381"/>
      <c r="N57" s="1381"/>
      <c r="U57" s="483" t="s">
        <v>255</v>
      </c>
      <c r="V57" s="484">
        <f>V47+V48+V49+V50+V51+V52+V53+V54+V55+V56</f>
        <v>0</v>
      </c>
      <c r="W57" s="485"/>
      <c r="X57" s="454"/>
    </row>
    <row r="58" spans="1:24" ht="18" customHeight="1" thickBot="1">
      <c r="A58" s="515"/>
      <c r="B58" s="515"/>
      <c r="C58" s="515"/>
      <c r="D58" s="517"/>
      <c r="E58" s="286"/>
      <c r="F58" s="417"/>
      <c r="G58" s="379"/>
      <c r="L58" s="1381"/>
      <c r="M58" s="1381"/>
      <c r="N58" s="1381"/>
    </row>
    <row r="59" spans="1:24" ht="15" customHeight="1">
      <c r="A59" s="515"/>
      <c r="B59" s="515"/>
      <c r="C59" s="515"/>
      <c r="D59" s="517"/>
      <c r="E59" s="286"/>
      <c r="F59" s="417"/>
      <c r="G59" s="417"/>
      <c r="L59" s="175">
        <f>Prod.!AP31</f>
        <v>6</v>
      </c>
      <c r="M59" s="176">
        <f>Prod.!AQ31</f>
        <v>0</v>
      </c>
      <c r="N59" s="486">
        <f>Prod.!AR31</f>
        <v>0</v>
      </c>
    </row>
    <row r="60" spans="1:24" ht="15" customHeight="1">
      <c r="A60" s="515"/>
      <c r="B60" s="515"/>
      <c r="C60" s="515"/>
      <c r="D60" s="984"/>
      <c r="E60" s="286"/>
      <c r="F60" s="417"/>
      <c r="G60" s="1091"/>
      <c r="L60" s="170">
        <f>Prod.!AP32</f>
        <v>5</v>
      </c>
      <c r="M60" s="171">
        <f>Prod.!AQ32</f>
        <v>0</v>
      </c>
      <c r="N60" s="100">
        <f>Prod.!AR32</f>
        <v>0</v>
      </c>
    </row>
    <row r="61" spans="1:24" ht="15" customHeight="1">
      <c r="A61" s="515"/>
      <c r="B61" s="516"/>
      <c r="C61" s="515"/>
      <c r="D61" s="517"/>
      <c r="E61" s="286"/>
      <c r="F61" s="277"/>
      <c r="G61" s="160"/>
      <c r="L61" s="170">
        <f>Prod.!AP33</f>
        <v>4</v>
      </c>
      <c r="M61" s="171">
        <f>Prod.!AQ33</f>
        <v>0</v>
      </c>
      <c r="N61" s="100">
        <f>Prod.!AR33</f>
        <v>0</v>
      </c>
    </row>
    <row r="62" spans="1:24" ht="15.75" customHeight="1" thickBot="1">
      <c r="A62" s="515"/>
      <c r="B62" s="516"/>
      <c r="C62" s="515"/>
      <c r="D62" s="517"/>
      <c r="E62" s="1287"/>
      <c r="F62" s="1287"/>
      <c r="G62" s="379"/>
      <c r="L62" s="170">
        <f>Prod.!AP34</f>
        <v>3</v>
      </c>
      <c r="M62" s="171">
        <f>Prod.!AQ34</f>
        <v>0</v>
      </c>
      <c r="N62" s="100">
        <f>Prod.!AR34</f>
        <v>0</v>
      </c>
      <c r="O62" s="293" t="e">
        <f>N63/((L62*M62)+(L61*M61)+(L60*M60)+(L59*M59))</f>
        <v>#DIV/0!</v>
      </c>
    </row>
    <row r="63" spans="1:24" ht="15.75" customHeight="1" thickBot="1">
      <c r="A63" s="515"/>
      <c r="B63" s="515"/>
      <c r="C63" s="515"/>
      <c r="D63" s="517"/>
      <c r="E63" s="984"/>
      <c r="F63" s="1044"/>
      <c r="G63" s="417"/>
      <c r="L63" s="173"/>
      <c r="M63" s="174"/>
      <c r="N63" s="491">
        <f>Prod.!AR35</f>
        <v>0</v>
      </c>
    </row>
    <row r="64" spans="1:24" ht="15" customHeight="1">
      <c r="A64" s="515"/>
      <c r="B64" s="516"/>
      <c r="C64" s="515"/>
      <c r="D64" s="517"/>
      <c r="E64" s="984"/>
      <c r="F64" s="1044"/>
      <c r="G64" s="417"/>
    </row>
    <row r="65" spans="1:15" ht="15" customHeight="1">
      <c r="A65" s="515"/>
      <c r="B65" s="516"/>
      <c r="C65" s="515"/>
      <c r="D65" s="517"/>
      <c r="E65" s="984"/>
      <c r="F65" s="1044"/>
      <c r="G65" s="417"/>
    </row>
    <row r="66" spans="1:15" ht="14.25" customHeight="1" thickBot="1">
      <c r="A66" s="515"/>
      <c r="B66" s="515"/>
      <c r="C66" s="515"/>
      <c r="D66" s="517"/>
      <c r="E66" s="984"/>
      <c r="F66" s="1044"/>
      <c r="G66" s="417"/>
    </row>
    <row r="67" spans="1:15" ht="15" customHeight="1" thickBot="1">
      <c r="A67" s="515"/>
      <c r="B67" s="516"/>
      <c r="C67" s="515"/>
      <c r="D67" s="517"/>
      <c r="E67" s="984"/>
      <c r="F67" s="172"/>
      <c r="G67" s="417"/>
      <c r="L67" s="1381" t="s">
        <v>7</v>
      </c>
      <c r="M67" s="1381"/>
      <c r="N67" s="1381"/>
    </row>
    <row r="68" spans="1:15" ht="15" customHeight="1" thickBot="1">
      <c r="A68" s="515"/>
      <c r="B68" s="516"/>
      <c r="C68" s="515"/>
      <c r="D68" s="517"/>
      <c r="E68" s="984"/>
      <c r="F68" s="493"/>
      <c r="G68" s="417"/>
      <c r="K68" s="163">
        <v>130</v>
      </c>
      <c r="L68" s="1381"/>
      <c r="M68" s="1381"/>
      <c r="N68" s="1381"/>
    </row>
    <row r="69" spans="1:15" ht="15" customHeight="1" thickBot="1">
      <c r="A69" s="515"/>
      <c r="B69" s="516"/>
      <c r="C69" s="515"/>
      <c r="D69" s="517"/>
      <c r="E69" s="984"/>
      <c r="F69" s="517"/>
      <c r="G69" s="160"/>
      <c r="L69" s="1381"/>
      <c r="M69" s="1381"/>
      <c r="N69" s="1381"/>
    </row>
    <row r="70" spans="1:15" ht="15" customHeight="1">
      <c r="A70" s="515"/>
      <c r="B70" s="516"/>
      <c r="C70" s="515"/>
      <c r="D70" s="517"/>
      <c r="E70" s="984"/>
      <c r="F70" s="517"/>
      <c r="L70" s="175">
        <f>Prod.!AP23</f>
        <v>6</v>
      </c>
      <c r="M70" s="176">
        <f>Prod.!AQ23</f>
        <v>0</v>
      </c>
      <c r="N70" s="486">
        <f>Prod.!AR23</f>
        <v>0</v>
      </c>
    </row>
    <row r="71" spans="1:15" ht="15" customHeight="1">
      <c r="A71" s="515"/>
      <c r="B71" s="515"/>
      <c r="C71" s="515"/>
      <c r="D71" s="517"/>
      <c r="E71" s="984"/>
      <c r="F71" s="254"/>
      <c r="L71" s="170">
        <f>Prod.!AP24</f>
        <v>5</v>
      </c>
      <c r="M71" s="171">
        <f>Prod.!AQ24</f>
        <v>0</v>
      </c>
      <c r="N71" s="100">
        <f>Prod.!AR24</f>
        <v>0</v>
      </c>
      <c r="O71" s="160"/>
    </row>
    <row r="72" spans="1:15" ht="15" customHeight="1">
      <c r="A72" s="515"/>
      <c r="B72" s="515"/>
      <c r="C72" s="515"/>
      <c r="D72" s="517"/>
      <c r="E72" s="984"/>
      <c r="F72" s="254"/>
      <c r="L72" s="170">
        <f>Prod.!AP25</f>
        <v>4</v>
      </c>
      <c r="M72" s="171">
        <f>Prod.!AQ25</f>
        <v>0</v>
      </c>
      <c r="N72" s="100">
        <f>Prod.!AR25</f>
        <v>0</v>
      </c>
      <c r="O72" s="160"/>
    </row>
    <row r="73" spans="1:15" ht="15.75" customHeight="1" thickBot="1">
      <c r="A73" s="515"/>
      <c r="B73" s="515"/>
      <c r="C73" s="515"/>
      <c r="D73" s="517"/>
      <c r="E73" s="984"/>
      <c r="F73" s="536"/>
      <c r="L73" s="170">
        <f>Prod.!AP26</f>
        <v>3</v>
      </c>
      <c r="M73" s="172">
        <f>Prod.!AQ26</f>
        <v>0</v>
      </c>
      <c r="N73" s="100">
        <f>Prod.!AR26</f>
        <v>0</v>
      </c>
      <c r="O73" t="e">
        <f>N74/((L73*M73)+(L72*M72)+(L71*M71)+(L70*M70))</f>
        <v>#DIV/0!</v>
      </c>
    </row>
    <row r="74" spans="1:15" ht="15.75" customHeight="1" thickBot="1">
      <c r="A74" s="515"/>
      <c r="B74" s="515"/>
      <c r="C74" s="515"/>
      <c r="D74" s="434"/>
      <c r="E74" s="984"/>
      <c r="F74" s="1092"/>
      <c r="L74" s="173"/>
      <c r="M74" s="174"/>
      <c r="N74" s="491">
        <f>Prod.!AR27</f>
        <v>0</v>
      </c>
      <c r="O74" s="160"/>
    </row>
    <row r="75" spans="1:15" ht="15" customHeight="1">
      <c r="A75" s="984"/>
      <c r="B75" s="984"/>
      <c r="C75" s="984"/>
      <c r="D75" s="984"/>
      <c r="E75" s="515"/>
      <c r="F75" s="517"/>
      <c r="G75" s="1091"/>
    </row>
    <row r="76" spans="1:15" ht="15" customHeight="1">
      <c r="A76" s="984"/>
      <c r="B76" s="1093"/>
      <c r="C76" s="1093"/>
      <c r="D76" s="984"/>
      <c r="E76" s="286"/>
      <c r="F76" s="417"/>
      <c r="G76" s="253"/>
    </row>
    <row r="77" spans="1:15" ht="15" customHeight="1">
      <c r="A77" s="984"/>
      <c r="B77" s="1093"/>
      <c r="C77" s="1093"/>
      <c r="D77" s="984"/>
      <c r="E77" s="286"/>
      <c r="F77" s="417"/>
      <c r="G77" s="253"/>
    </row>
    <row r="78" spans="1:15" ht="15" customHeight="1">
      <c r="A78" s="984"/>
      <c r="B78" s="1093"/>
      <c r="C78" s="1093"/>
      <c r="D78" s="984"/>
      <c r="E78" s="286"/>
      <c r="F78" s="417"/>
      <c r="G78" s="253"/>
    </row>
    <row r="79" spans="1:15" ht="15" customHeight="1">
      <c r="A79" s="984"/>
      <c r="B79" s="1051"/>
      <c r="C79" s="1051"/>
      <c r="D79" s="984"/>
      <c r="E79" s="286"/>
      <c r="F79" s="417"/>
      <c r="G79" s="253"/>
    </row>
    <row r="80" spans="1:15" ht="15" customHeight="1">
      <c r="A80" s="984"/>
      <c r="B80" s="1051"/>
      <c r="C80" s="1051"/>
      <c r="D80" s="984"/>
      <c r="E80" s="286"/>
      <c r="F80" s="417"/>
    </row>
    <row r="81" spans="1:24" ht="15" customHeight="1">
      <c r="A81" s="1084"/>
      <c r="B81" s="515"/>
      <c r="H81" s="180"/>
    </row>
    <row r="82" spans="1:24" ht="15" customHeight="1">
      <c r="A82" s="984"/>
      <c r="B82" s="984"/>
      <c r="D82" s="434"/>
      <c r="E82" s="434"/>
      <c r="H82" s="180"/>
      <c r="J82" s="1079" t="s">
        <v>292</v>
      </c>
      <c r="K82" s="1382"/>
      <c r="L82" s="1382"/>
      <c r="M82" s="1382"/>
      <c r="N82" s="1382"/>
      <c r="O82" s="1382"/>
      <c r="P82" s="1382"/>
      <c r="Q82" s="1382"/>
      <c r="R82" s="1382"/>
    </row>
    <row r="83" spans="1:24" ht="15.75" customHeight="1" thickBot="1">
      <c r="A83" s="984"/>
      <c r="B83" s="1051"/>
      <c r="H83" s="180"/>
      <c r="J83" s="1080" t="s">
        <v>1</v>
      </c>
      <c r="K83" s="466" t="s">
        <v>45</v>
      </c>
      <c r="L83" s="467" t="s">
        <v>46</v>
      </c>
      <c r="M83" s="468" t="s">
        <v>47</v>
      </c>
      <c r="N83" s="467" t="s">
        <v>48</v>
      </c>
      <c r="O83" s="466" t="s">
        <v>45</v>
      </c>
      <c r="P83" s="467" t="s">
        <v>46</v>
      </c>
      <c r="Q83" s="468" t="s">
        <v>47</v>
      </c>
      <c r="R83" s="467" t="s">
        <v>48</v>
      </c>
    </row>
    <row r="84" spans="1:24" ht="15.75" customHeight="1" thickBot="1">
      <c r="A84" s="984"/>
      <c r="B84" s="984"/>
      <c r="C84" s="984"/>
      <c r="D84" s="984"/>
      <c r="E84" s="984"/>
      <c r="F84" s="417"/>
      <c r="G84" s="379"/>
      <c r="J84" s="1081">
        <v>160</v>
      </c>
      <c r="K84" s="158">
        <f>Prod.!P54</f>
        <v>0</v>
      </c>
      <c r="L84" s="158">
        <f>Prod.!Q54</f>
        <v>0</v>
      </c>
      <c r="M84" s="158">
        <f>Prod.!R54</f>
        <v>0</v>
      </c>
      <c r="N84" s="158">
        <f>Prod.!S54</f>
        <v>0</v>
      </c>
      <c r="O84" s="158">
        <f>Prod.!V54</f>
        <v>0</v>
      </c>
      <c r="P84" s="158">
        <f>Prod.!W54</f>
        <v>0</v>
      </c>
      <c r="Q84" s="158">
        <f>Prod.!X54</f>
        <v>0</v>
      </c>
      <c r="R84" s="158">
        <f>Prod.!Y54</f>
        <v>0</v>
      </c>
      <c r="U84" s="1383" t="s">
        <v>230</v>
      </c>
      <c r="V84" s="1383"/>
      <c r="W84" s="1383"/>
      <c r="X84" s="1383"/>
    </row>
    <row r="85" spans="1:24" ht="15.75" customHeight="1" thickBot="1">
      <c r="A85" s="515"/>
      <c r="B85" s="516"/>
      <c r="C85" s="515"/>
      <c r="D85" s="517"/>
      <c r="E85" s="286"/>
      <c r="F85" s="417"/>
      <c r="G85" s="379"/>
      <c r="J85" s="1081">
        <v>110</v>
      </c>
      <c r="K85" s="158">
        <f>Prod.!J52</f>
        <v>0</v>
      </c>
      <c r="L85" s="158">
        <f>Prod.!K52</f>
        <v>0</v>
      </c>
      <c r="M85" s="158">
        <f>Prod.!L52</f>
        <v>0</v>
      </c>
      <c r="N85" s="158">
        <f>Prod.!M52</f>
        <v>0</v>
      </c>
      <c r="U85" s="1384">
        <f>A81</f>
        <v>0</v>
      </c>
      <c r="V85" s="1384"/>
      <c r="W85" s="453" t="s">
        <v>233</v>
      </c>
      <c r="X85" s="454" t="s">
        <v>234</v>
      </c>
    </row>
    <row r="86" spans="1:24" ht="15" customHeight="1">
      <c r="A86" s="515"/>
      <c r="B86" s="516"/>
      <c r="C86" s="515"/>
      <c r="D86" s="517"/>
      <c r="E86" s="286"/>
      <c r="F86" s="417"/>
      <c r="G86" s="379"/>
      <c r="J86" s="1385"/>
      <c r="K86" s="1385"/>
      <c r="L86" s="1385"/>
      <c r="M86" s="1385"/>
      <c r="N86" s="1385"/>
      <c r="O86" s="1385"/>
      <c r="P86" s="455"/>
      <c r="U86" s="231"/>
      <c r="X86" s="456"/>
    </row>
    <row r="87" spans="1:24" ht="15" customHeight="1">
      <c r="A87" s="515"/>
      <c r="B87" s="516"/>
      <c r="C87" s="515"/>
      <c r="D87" s="517"/>
      <c r="E87" s="929"/>
      <c r="F87" s="417"/>
      <c r="G87" s="379"/>
      <c r="J87" s="181"/>
      <c r="K87" s="508"/>
      <c r="L87" s="181"/>
      <c r="M87" s="508"/>
      <c r="N87" s="181"/>
      <c r="O87" s="508"/>
      <c r="U87" s="458">
        <f>E86</f>
        <v>0</v>
      </c>
      <c r="V87" s="282">
        <f>F86</f>
        <v>0</v>
      </c>
      <c r="W87" s="459"/>
      <c r="X87" s="460"/>
    </row>
    <row r="88" spans="1:24" ht="15" customHeight="1">
      <c r="A88" s="515"/>
      <c r="B88" s="516"/>
      <c r="C88" s="515"/>
      <c r="D88" s="517"/>
      <c r="E88" s="286"/>
      <c r="F88" s="417"/>
      <c r="G88" s="1048"/>
      <c r="K88" s="1382"/>
      <c r="L88" s="1382"/>
      <c r="M88" s="1382"/>
      <c r="N88" s="1382"/>
      <c r="O88" s="1382"/>
      <c r="P88" s="1382"/>
      <c r="Q88" s="1382"/>
      <c r="R88" s="1382"/>
      <c r="U88" s="462">
        <f t="shared" ref="U88:U92" si="4">E88</f>
        <v>0</v>
      </c>
      <c r="V88" s="463">
        <f t="shared" ref="V88:V92" si="5">F88</f>
        <v>0</v>
      </c>
      <c r="W88" s="464">
        <f t="shared" ref="W88:W92" si="6">G88</f>
        <v>0</v>
      </c>
      <c r="X88" s="465"/>
    </row>
    <row r="89" spans="1:24" ht="15" customHeight="1">
      <c r="A89" s="515"/>
      <c r="B89" s="516"/>
      <c r="C89" s="515"/>
      <c r="D89" s="517"/>
      <c r="E89" s="286"/>
      <c r="F89" s="417"/>
      <c r="G89" s="1048"/>
      <c r="J89" s="1080" t="s">
        <v>1</v>
      </c>
      <c r="K89" s="466" t="s">
        <v>45</v>
      </c>
      <c r="L89" s="467" t="s">
        <v>46</v>
      </c>
      <c r="M89" s="468" t="s">
        <v>47</v>
      </c>
      <c r="N89" s="467" t="s">
        <v>48</v>
      </c>
      <c r="O89" s="466" t="s">
        <v>45</v>
      </c>
      <c r="P89" s="467" t="s">
        <v>46</v>
      </c>
      <c r="Q89" s="468" t="s">
        <v>47</v>
      </c>
      <c r="R89" s="467" t="s">
        <v>48</v>
      </c>
      <c r="U89" s="374">
        <f t="shared" si="4"/>
        <v>0</v>
      </c>
      <c r="V89" s="282">
        <f t="shared" si="5"/>
        <v>0</v>
      </c>
      <c r="W89" s="469">
        <f t="shared" si="6"/>
        <v>0</v>
      </c>
      <c r="X89" s="465">
        <f>$I$1</f>
        <v>0</v>
      </c>
    </row>
    <row r="90" spans="1:24" ht="15" customHeight="1">
      <c r="A90" s="515"/>
      <c r="B90" s="516"/>
      <c r="C90" s="515"/>
      <c r="D90" s="517"/>
      <c r="E90" s="286"/>
      <c r="F90" s="417"/>
      <c r="G90" s="1048"/>
      <c r="J90" s="1081">
        <v>130</v>
      </c>
      <c r="K90" s="471">
        <f>Prod.!P53</f>
        <v>0</v>
      </c>
      <c r="L90" s="471">
        <f>Prod.!Q53</f>
        <v>0</v>
      </c>
      <c r="M90" s="471">
        <f>Prod.!R53</f>
        <v>0</v>
      </c>
      <c r="N90" s="471">
        <f>Prod.!S53</f>
        <v>0</v>
      </c>
      <c r="O90" s="471">
        <f>Prod.!V53</f>
        <v>0</v>
      </c>
      <c r="P90" s="471">
        <f>Prod.!W53</f>
        <v>0</v>
      </c>
      <c r="Q90" s="471">
        <f>Prod.!X53</f>
        <v>0</v>
      </c>
      <c r="R90" s="471">
        <f>Prod.!Y53</f>
        <v>0</v>
      </c>
      <c r="U90" s="374">
        <f t="shared" si="4"/>
        <v>0</v>
      </c>
      <c r="V90" s="282">
        <f t="shared" si="5"/>
        <v>0</v>
      </c>
      <c r="W90" s="469">
        <f t="shared" si="6"/>
        <v>0</v>
      </c>
      <c r="X90" s="465">
        <f>IFERROR($I$2,0)</f>
        <v>0</v>
      </c>
    </row>
    <row r="91" spans="1:24" ht="15" customHeight="1">
      <c r="A91" s="515"/>
      <c r="B91" s="516"/>
      <c r="C91" s="515"/>
      <c r="D91" s="517"/>
      <c r="E91" s="1085"/>
      <c r="F91" s="517"/>
      <c r="G91" s="1086"/>
      <c r="U91" s="374">
        <f t="shared" si="4"/>
        <v>0</v>
      </c>
      <c r="V91" s="282">
        <f t="shared" si="5"/>
        <v>0</v>
      </c>
      <c r="W91" s="469">
        <f t="shared" si="6"/>
        <v>0</v>
      </c>
      <c r="X91" s="475"/>
    </row>
    <row r="92" spans="1:24" ht="15" customHeight="1">
      <c r="A92" s="515"/>
      <c r="B92" s="516"/>
      <c r="C92" s="515"/>
      <c r="D92" s="517"/>
      <c r="E92" s="1085"/>
      <c r="F92" s="1087"/>
      <c r="G92" s="1088"/>
      <c r="U92" s="374">
        <f t="shared" si="4"/>
        <v>0</v>
      </c>
      <c r="V92" s="282">
        <f t="shared" si="5"/>
        <v>0</v>
      </c>
      <c r="W92" s="469">
        <f t="shared" si="6"/>
        <v>0</v>
      </c>
      <c r="X92" s="520">
        <f>IFERROR($I$3,0)</f>
        <v>0</v>
      </c>
    </row>
    <row r="93" spans="1:24" ht="15" customHeight="1">
      <c r="A93" s="515"/>
      <c r="B93" s="515"/>
      <c r="C93" s="515"/>
      <c r="D93" s="517"/>
      <c r="E93" s="1085"/>
      <c r="F93" s="417"/>
      <c r="G93" s="1089"/>
      <c r="J93" t="s">
        <v>65</v>
      </c>
      <c r="K93" s="181">
        <f>Prod.!C52</f>
        <v>0</v>
      </c>
      <c r="L93" s="181">
        <f>Prod.!D52</f>
        <v>0</v>
      </c>
      <c r="M93" s="181">
        <f>Prod.!E52</f>
        <v>0</v>
      </c>
      <c r="N93" s="160">
        <f>Prod.!F52</f>
        <v>0</v>
      </c>
      <c r="O93" s="160">
        <f>Prod.!G52</f>
        <v>0</v>
      </c>
      <c r="U93" s="374">
        <f>E93</f>
        <v>0</v>
      </c>
      <c r="V93" s="282">
        <f>F93-V96</f>
        <v>0</v>
      </c>
      <c r="W93" s="479"/>
      <c r="X93" s="456"/>
    </row>
    <row r="94" spans="1:24" ht="15" customHeight="1">
      <c r="A94" s="515"/>
      <c r="B94" s="515"/>
      <c r="C94" s="515"/>
      <c r="D94" s="984"/>
      <c r="E94" s="286"/>
      <c r="F94" s="417"/>
      <c r="G94" s="1090"/>
      <c r="J94" t="s">
        <v>67</v>
      </c>
      <c r="K94" s="181">
        <f>Prod.!C53</f>
        <v>0</v>
      </c>
      <c r="L94" s="181">
        <f>Prod.!D53</f>
        <v>0</v>
      </c>
      <c r="M94" s="181">
        <f>Prod.!E53</f>
        <v>0</v>
      </c>
      <c r="N94" s="160">
        <f>Prod.!F53</f>
        <v>0</v>
      </c>
      <c r="O94" s="160">
        <f>Prod.!G53</f>
        <v>0</v>
      </c>
      <c r="T94" s="160"/>
      <c r="U94" s="374">
        <f>E94</f>
        <v>0</v>
      </c>
      <c r="V94" s="282">
        <f>F94</f>
        <v>0</v>
      </c>
      <c r="W94" s="479"/>
      <c r="X94" s="456"/>
    </row>
    <row r="95" spans="1:24" ht="15.75" customHeight="1" thickBot="1">
      <c r="A95" s="515"/>
      <c r="B95" s="515"/>
      <c r="C95" s="515"/>
      <c r="D95" s="517"/>
      <c r="E95" s="286"/>
      <c r="F95" s="417"/>
      <c r="G95" s="379"/>
      <c r="U95" s="374">
        <f>E95</f>
        <v>0</v>
      </c>
      <c r="V95" s="282">
        <f>F95</f>
        <v>0</v>
      </c>
      <c r="W95" s="479"/>
      <c r="X95" s="456"/>
    </row>
    <row r="96" spans="1:24" ht="14.25" customHeight="1" thickBot="1">
      <c r="A96" s="515"/>
      <c r="B96" s="515"/>
      <c r="C96" s="515"/>
      <c r="D96" s="517"/>
      <c r="E96" s="286"/>
      <c r="F96" s="417"/>
      <c r="G96" s="379"/>
      <c r="L96" s="1381" t="s">
        <v>7</v>
      </c>
      <c r="M96" s="1381"/>
      <c r="N96" s="1381"/>
      <c r="U96" s="374">
        <f>E100</f>
        <v>0</v>
      </c>
      <c r="V96" s="282">
        <f>F100</f>
        <v>0</v>
      </c>
      <c r="W96" s="479"/>
      <c r="X96" s="456"/>
    </row>
    <row r="97" spans="1:24" ht="19.5" customHeight="1" thickBot="1">
      <c r="A97" s="515"/>
      <c r="B97" s="515"/>
      <c r="C97" s="515"/>
      <c r="D97" s="517"/>
      <c r="E97" s="286"/>
      <c r="F97" s="417"/>
      <c r="G97" s="379"/>
      <c r="K97" s="163">
        <v>160</v>
      </c>
      <c r="L97" s="1381"/>
      <c r="M97" s="1381"/>
      <c r="N97" s="1381"/>
      <c r="U97" s="483" t="s">
        <v>255</v>
      </c>
      <c r="V97" s="484">
        <f>V87+V88+V89+V90+V91+V92+V93+V94+V95+V96</f>
        <v>0</v>
      </c>
      <c r="W97" s="485"/>
      <c r="X97" s="454"/>
    </row>
    <row r="98" spans="1:24" ht="18" customHeight="1" thickBot="1">
      <c r="A98" s="515"/>
      <c r="B98" s="515"/>
      <c r="C98" s="515"/>
      <c r="D98" s="517"/>
      <c r="E98" s="286"/>
      <c r="F98" s="417"/>
      <c r="G98" s="379"/>
      <c r="L98" s="1381"/>
      <c r="M98" s="1381"/>
      <c r="N98" s="1381"/>
    </row>
    <row r="99" spans="1:24" ht="15" customHeight="1">
      <c r="A99" s="515"/>
      <c r="B99" s="515"/>
      <c r="C99" s="515"/>
      <c r="D99" s="517"/>
      <c r="E99" s="286"/>
      <c r="F99" s="417"/>
      <c r="G99" s="417"/>
      <c r="L99" s="175">
        <f>Prod.!AP49</f>
        <v>6</v>
      </c>
      <c r="M99" s="176">
        <f>Prod.!AQ49</f>
        <v>0</v>
      </c>
      <c r="N99" s="486">
        <f>Prod.!AR49</f>
        <v>0</v>
      </c>
    </row>
    <row r="100" spans="1:24" ht="15" customHeight="1">
      <c r="A100" s="515"/>
      <c r="B100" s="515"/>
      <c r="C100" s="515"/>
      <c r="D100" s="984"/>
      <c r="E100" s="286"/>
      <c r="F100" s="417"/>
      <c r="G100" s="1091"/>
      <c r="L100" s="170">
        <f>Prod.!AP50</f>
        <v>5</v>
      </c>
      <c r="M100" s="171">
        <f>Prod.!AQ50</f>
        <v>0</v>
      </c>
      <c r="N100" s="100">
        <f>Prod.!AR50</f>
        <v>0</v>
      </c>
    </row>
    <row r="101" spans="1:24" ht="15" customHeight="1">
      <c r="A101" s="515"/>
      <c r="B101" s="516"/>
      <c r="C101" s="515"/>
      <c r="D101" s="517"/>
      <c r="E101" s="286"/>
      <c r="F101" s="277"/>
      <c r="G101" s="160"/>
      <c r="L101" s="170">
        <f>Prod.!AP51</f>
        <v>4</v>
      </c>
      <c r="M101" s="171">
        <f>Prod.!AQ51</f>
        <v>0</v>
      </c>
      <c r="N101" s="100">
        <f>Prod.!AR51</f>
        <v>0</v>
      </c>
    </row>
    <row r="102" spans="1:24" ht="15.75" customHeight="1" thickBot="1">
      <c r="A102" s="515"/>
      <c r="B102" s="516"/>
      <c r="C102" s="515"/>
      <c r="D102" s="517"/>
      <c r="E102" s="1287"/>
      <c r="F102" s="1287"/>
      <c r="G102" s="379"/>
      <c r="L102" s="170">
        <f>Prod.!AP52</f>
        <v>3</v>
      </c>
      <c r="M102" s="171">
        <f>Prod.!AQ52</f>
        <v>0</v>
      </c>
      <c r="N102" s="100">
        <f>Prod.!AR52</f>
        <v>0</v>
      </c>
      <c r="O102" s="293" t="e">
        <f>N103/((L102*M102)+(L101*M101)+(L100*M100)+(L99*M99))</f>
        <v>#DIV/0!</v>
      </c>
    </row>
    <row r="103" spans="1:24" ht="15.75" customHeight="1" thickBot="1">
      <c r="A103" s="515"/>
      <c r="B103" s="515"/>
      <c r="C103" s="515"/>
      <c r="D103" s="517"/>
      <c r="E103" s="984"/>
      <c r="F103" s="1044"/>
      <c r="G103" s="417"/>
      <c r="L103" s="173"/>
      <c r="M103" s="174"/>
      <c r="N103" s="491">
        <f>Prod.!AR53</f>
        <v>0</v>
      </c>
    </row>
    <row r="104" spans="1:24" ht="15" customHeight="1">
      <c r="A104" s="515"/>
      <c r="B104" s="516"/>
      <c r="C104" s="515"/>
      <c r="D104" s="517"/>
      <c r="E104" s="984"/>
      <c r="F104" s="1044"/>
      <c r="G104" s="417"/>
    </row>
    <row r="105" spans="1:24" ht="15" customHeight="1">
      <c r="A105" s="515"/>
      <c r="B105" s="516"/>
      <c r="C105" s="515"/>
      <c r="D105" s="517"/>
      <c r="E105" s="984"/>
      <c r="F105" s="1044"/>
      <c r="G105" s="417"/>
    </row>
    <row r="106" spans="1:24" ht="14.25" customHeight="1" thickBot="1">
      <c r="A106" s="515"/>
      <c r="B106" s="515"/>
      <c r="C106" s="515"/>
      <c r="D106" s="517"/>
      <c r="E106" s="984"/>
      <c r="F106" s="1044"/>
      <c r="G106" s="417"/>
    </row>
    <row r="107" spans="1:24" ht="15" customHeight="1" thickBot="1">
      <c r="A107" s="515"/>
      <c r="B107" s="516"/>
      <c r="C107" s="515"/>
      <c r="D107" s="517"/>
      <c r="E107" s="984"/>
      <c r="F107" s="172"/>
      <c r="G107" s="417"/>
      <c r="L107" s="1381" t="s">
        <v>7</v>
      </c>
      <c r="M107" s="1381"/>
      <c r="N107" s="1381"/>
    </row>
    <row r="108" spans="1:24" ht="15" customHeight="1" thickBot="1">
      <c r="A108" s="515"/>
      <c r="B108" s="516"/>
      <c r="C108" s="515"/>
      <c r="D108" s="517"/>
      <c r="E108" s="984"/>
      <c r="F108" s="493"/>
      <c r="G108" s="417"/>
      <c r="K108" s="163">
        <v>130</v>
      </c>
      <c r="L108" s="1381"/>
      <c r="M108" s="1381"/>
      <c r="N108" s="1381"/>
    </row>
    <row r="109" spans="1:24" ht="15" customHeight="1" thickBot="1">
      <c r="A109" s="515"/>
      <c r="B109" s="516"/>
      <c r="C109" s="515"/>
      <c r="D109" s="517"/>
      <c r="E109" s="984"/>
      <c r="F109" s="517"/>
      <c r="G109" s="160"/>
      <c r="L109" s="1381"/>
      <c r="M109" s="1381"/>
      <c r="N109" s="1381"/>
    </row>
    <row r="110" spans="1:24" ht="15" customHeight="1">
      <c r="A110" s="515"/>
      <c r="B110" s="516"/>
      <c r="C110" s="515"/>
      <c r="D110" s="517"/>
      <c r="E110" s="984"/>
      <c r="F110" s="517"/>
      <c r="L110" s="175">
        <f>Prod.!AP41</f>
        <v>6</v>
      </c>
      <c r="M110" s="176">
        <f>Prod.!AQ41</f>
        <v>0</v>
      </c>
      <c r="N110" s="486">
        <f>Prod.!AR41</f>
        <v>0</v>
      </c>
    </row>
    <row r="111" spans="1:24" ht="15" customHeight="1">
      <c r="A111" s="515"/>
      <c r="B111" s="515"/>
      <c r="C111" s="515"/>
      <c r="D111" s="517"/>
      <c r="E111" s="984"/>
      <c r="F111" s="254"/>
      <c r="L111" s="170">
        <f>Prod.!AP42</f>
        <v>5</v>
      </c>
      <c r="M111" s="171">
        <f>Prod.!AQ42</f>
        <v>0</v>
      </c>
      <c r="N111" s="100">
        <f>Prod.!AR42</f>
        <v>0</v>
      </c>
      <c r="O111" s="160"/>
    </row>
    <row r="112" spans="1:24" ht="15" customHeight="1">
      <c r="A112" s="515"/>
      <c r="B112" s="515"/>
      <c r="C112" s="515"/>
      <c r="D112" s="517"/>
      <c r="E112" s="984"/>
      <c r="F112" s="254"/>
      <c r="L112" s="170">
        <f>Prod.!AP43</f>
        <v>4</v>
      </c>
      <c r="M112" s="171">
        <f>Prod.!AQ43</f>
        <v>0</v>
      </c>
      <c r="N112" s="100">
        <f>Prod.!AR43</f>
        <v>0</v>
      </c>
      <c r="O112" s="160"/>
    </row>
    <row r="113" spans="1:24" ht="15.75" customHeight="1" thickBot="1">
      <c r="A113" s="515"/>
      <c r="B113" s="515"/>
      <c r="C113" s="515"/>
      <c r="D113" s="517"/>
      <c r="E113" s="984"/>
      <c r="F113" s="536"/>
      <c r="L113" s="170">
        <f>Prod.!AP44</f>
        <v>3</v>
      </c>
      <c r="M113" s="172">
        <f>Prod.!AQ44</f>
        <v>0</v>
      </c>
      <c r="N113" s="100">
        <f>Prod.!AR44</f>
        <v>0</v>
      </c>
      <c r="O113" t="e">
        <f>N114/((L113*M113)+(L112*M112)+(L111*M111)+(L110*M110))</f>
        <v>#DIV/0!</v>
      </c>
    </row>
    <row r="114" spans="1:24" ht="15.75" customHeight="1" thickBot="1">
      <c r="A114" s="515"/>
      <c r="B114" s="515"/>
      <c r="C114" s="515"/>
      <c r="D114" s="434"/>
      <c r="E114" s="984"/>
      <c r="F114" s="1092"/>
      <c r="L114" s="173"/>
      <c r="M114" s="174"/>
      <c r="N114" s="491">
        <f>Prod.!AR45</f>
        <v>0</v>
      </c>
      <c r="O114" s="160"/>
    </row>
    <row r="115" spans="1:24" ht="15" customHeight="1">
      <c r="A115" s="984"/>
      <c r="B115" s="984"/>
      <c r="C115" s="984"/>
      <c r="D115" s="984"/>
      <c r="E115" s="515"/>
      <c r="F115" s="517"/>
      <c r="G115" s="1091"/>
    </row>
    <row r="116" spans="1:24" ht="15" customHeight="1">
      <c r="A116" s="984"/>
      <c r="B116" s="1093"/>
      <c r="C116" s="1093"/>
      <c r="D116" s="984"/>
      <c r="E116" s="286"/>
      <c r="F116" s="417"/>
      <c r="G116" s="253"/>
    </row>
    <row r="117" spans="1:24" ht="15" customHeight="1">
      <c r="A117" s="984"/>
      <c r="B117" s="1093"/>
      <c r="C117" s="1093"/>
      <c r="D117" s="984"/>
      <c r="E117" s="286"/>
      <c r="F117" s="417"/>
      <c r="G117" s="253"/>
    </row>
    <row r="118" spans="1:24" ht="15" customHeight="1">
      <c r="A118" s="984"/>
      <c r="B118" s="1093"/>
      <c r="C118" s="1093"/>
      <c r="D118" s="984"/>
      <c r="E118" s="286"/>
      <c r="F118" s="417"/>
      <c r="G118" s="253"/>
    </row>
    <row r="119" spans="1:24" ht="15" customHeight="1">
      <c r="A119" s="984"/>
      <c r="B119" s="1051"/>
      <c r="C119" s="1051"/>
      <c r="D119" s="984"/>
      <c r="E119" s="286"/>
      <c r="F119" s="417"/>
      <c r="G119" s="253"/>
    </row>
    <row r="120" spans="1:24" ht="15" customHeight="1">
      <c r="A120" s="984"/>
      <c r="B120" s="1051"/>
      <c r="C120" s="1051"/>
      <c r="D120" s="984"/>
      <c r="E120" s="286"/>
      <c r="F120" s="417"/>
    </row>
    <row r="121" spans="1:24" ht="15" customHeight="1">
      <c r="A121" s="1084"/>
      <c r="B121" s="515"/>
      <c r="H121" s="180"/>
    </row>
    <row r="122" spans="1:24" ht="15" customHeight="1">
      <c r="A122" s="984"/>
      <c r="B122" s="984"/>
      <c r="D122" s="434"/>
      <c r="E122" s="434"/>
      <c r="H122" s="180"/>
      <c r="J122" s="1079" t="s">
        <v>293</v>
      </c>
      <c r="K122" s="1382"/>
      <c r="L122" s="1382"/>
      <c r="M122" s="1382"/>
      <c r="N122" s="1382"/>
      <c r="O122" s="1382"/>
      <c r="P122" s="1382"/>
      <c r="Q122" s="1382"/>
      <c r="R122" s="1382"/>
    </row>
    <row r="123" spans="1:24" ht="15.75" customHeight="1" thickBot="1">
      <c r="A123" s="984"/>
      <c r="B123" s="1051"/>
      <c r="H123" s="180"/>
      <c r="J123" s="1080" t="s">
        <v>1</v>
      </c>
      <c r="K123" s="466" t="s">
        <v>45</v>
      </c>
      <c r="L123" s="467" t="s">
        <v>46</v>
      </c>
      <c r="M123" s="468" t="s">
        <v>47</v>
      </c>
      <c r="N123" s="467" t="s">
        <v>48</v>
      </c>
      <c r="O123" s="466" t="s">
        <v>45</v>
      </c>
      <c r="P123" s="467" t="s">
        <v>46</v>
      </c>
      <c r="Q123" s="468" t="s">
        <v>47</v>
      </c>
      <c r="R123" s="467" t="s">
        <v>48</v>
      </c>
    </row>
    <row r="124" spans="1:24" ht="15.75" customHeight="1" thickBot="1">
      <c r="A124" s="984"/>
      <c r="B124" s="984"/>
      <c r="C124" s="984"/>
      <c r="D124" s="984"/>
      <c r="E124" s="984"/>
      <c r="F124" s="417"/>
      <c r="G124" s="379"/>
      <c r="J124" s="1081">
        <v>160</v>
      </c>
      <c r="K124" s="158">
        <f>Prod.!P72</f>
        <v>0</v>
      </c>
      <c r="L124" s="158">
        <f>Prod.!Q72</f>
        <v>0</v>
      </c>
      <c r="M124" s="158">
        <f>Prod.!R72</f>
        <v>0</v>
      </c>
      <c r="N124" s="158">
        <f>Prod.!S72</f>
        <v>0</v>
      </c>
      <c r="O124" s="158">
        <f>Prod.!V72</f>
        <v>0</v>
      </c>
      <c r="P124" s="158">
        <f>Prod.!W72</f>
        <v>0</v>
      </c>
      <c r="Q124" s="158">
        <f>Prod.!X72</f>
        <v>0</v>
      </c>
      <c r="R124" s="158">
        <f>Prod.!Y72</f>
        <v>0</v>
      </c>
      <c r="U124" s="1383" t="s">
        <v>230</v>
      </c>
      <c r="V124" s="1383"/>
      <c r="W124" s="1383"/>
      <c r="X124" s="1383"/>
    </row>
    <row r="125" spans="1:24" ht="15.75" customHeight="1" thickBot="1">
      <c r="A125" s="515"/>
      <c r="B125" s="516"/>
      <c r="C125" s="515"/>
      <c r="D125" s="517"/>
      <c r="E125" s="286"/>
      <c r="F125" s="417"/>
      <c r="G125" s="379"/>
      <c r="J125" s="1081">
        <v>110</v>
      </c>
      <c r="K125" s="158">
        <f>Prod.!J70</f>
        <v>0</v>
      </c>
      <c r="L125" s="158">
        <f>Prod.!K70</f>
        <v>0</v>
      </c>
      <c r="M125" s="158">
        <f>Prod.!L70</f>
        <v>0</v>
      </c>
      <c r="N125" s="158">
        <f>Prod.!M70</f>
        <v>0</v>
      </c>
      <c r="U125" s="1384">
        <f>A121</f>
        <v>0</v>
      </c>
      <c r="V125" s="1384"/>
      <c r="W125" s="453" t="s">
        <v>233</v>
      </c>
      <c r="X125" s="454" t="s">
        <v>234</v>
      </c>
    </row>
    <row r="126" spans="1:24" ht="15" customHeight="1">
      <c r="A126" s="515"/>
      <c r="B126" s="516"/>
      <c r="C126" s="515"/>
      <c r="D126" s="517"/>
      <c r="E126" s="286"/>
      <c r="F126" s="417"/>
      <c r="G126" s="379"/>
      <c r="J126" s="1385"/>
      <c r="K126" s="1385"/>
      <c r="L126" s="1385"/>
      <c r="M126" s="1385"/>
      <c r="N126" s="1385"/>
      <c r="O126" s="1385"/>
      <c r="P126" s="455"/>
      <c r="U126" s="231"/>
      <c r="X126" s="456"/>
    </row>
    <row r="127" spans="1:24" ht="15" customHeight="1">
      <c r="A127" s="515"/>
      <c r="B127" s="516"/>
      <c r="C127" s="515"/>
      <c r="D127" s="517"/>
      <c r="E127" s="929"/>
      <c r="F127" s="417"/>
      <c r="G127" s="379"/>
      <c r="J127" s="181"/>
      <c r="K127" s="508"/>
      <c r="L127" s="181"/>
      <c r="M127" s="508"/>
      <c r="N127" s="181"/>
      <c r="O127" s="508"/>
      <c r="U127" s="458">
        <f>E126</f>
        <v>0</v>
      </c>
      <c r="V127" s="282">
        <f>F126</f>
        <v>0</v>
      </c>
      <c r="W127" s="459"/>
      <c r="X127" s="460"/>
    </row>
    <row r="128" spans="1:24" ht="15" customHeight="1">
      <c r="A128" s="515"/>
      <c r="B128" s="516"/>
      <c r="C128" s="515"/>
      <c r="D128" s="517"/>
      <c r="E128" s="286"/>
      <c r="F128" s="417"/>
      <c r="G128" s="1048"/>
      <c r="K128" s="1382"/>
      <c r="L128" s="1382"/>
      <c r="M128" s="1382"/>
      <c r="N128" s="1382"/>
      <c r="O128" s="1382"/>
      <c r="P128" s="1382"/>
      <c r="Q128" s="1382"/>
      <c r="R128" s="1382"/>
      <c r="U128" s="462">
        <f t="shared" ref="U128:U132" si="7">E128</f>
        <v>0</v>
      </c>
      <c r="V128" s="463">
        <f t="shared" ref="V128:V132" si="8">F128</f>
        <v>0</v>
      </c>
      <c r="W128" s="464">
        <f t="shared" ref="W128:W132" si="9">G128</f>
        <v>0</v>
      </c>
      <c r="X128" s="465"/>
    </row>
    <row r="129" spans="1:24" ht="15" customHeight="1">
      <c r="A129" s="515"/>
      <c r="B129" s="516"/>
      <c r="C129" s="515"/>
      <c r="D129" s="517"/>
      <c r="E129" s="286"/>
      <c r="F129" s="417"/>
      <c r="G129" s="1048"/>
      <c r="J129" s="1080" t="s">
        <v>1</v>
      </c>
      <c r="K129" s="466" t="s">
        <v>45</v>
      </c>
      <c r="L129" s="467" t="s">
        <v>46</v>
      </c>
      <c r="M129" s="468" t="s">
        <v>47</v>
      </c>
      <c r="N129" s="467" t="s">
        <v>48</v>
      </c>
      <c r="O129" s="466" t="s">
        <v>45</v>
      </c>
      <c r="P129" s="467" t="s">
        <v>46</v>
      </c>
      <c r="Q129" s="468" t="s">
        <v>47</v>
      </c>
      <c r="R129" s="467" t="s">
        <v>48</v>
      </c>
      <c r="U129" s="374">
        <f t="shared" si="7"/>
        <v>0</v>
      </c>
      <c r="V129" s="282">
        <f t="shared" si="8"/>
        <v>0</v>
      </c>
      <c r="W129" s="469">
        <f t="shared" si="9"/>
        <v>0</v>
      </c>
      <c r="X129" s="465">
        <f>$I$1</f>
        <v>0</v>
      </c>
    </row>
    <row r="130" spans="1:24" ht="15" customHeight="1">
      <c r="A130" s="515"/>
      <c r="B130" s="516"/>
      <c r="C130" s="515"/>
      <c r="D130" s="517"/>
      <c r="E130" s="286"/>
      <c r="F130" s="417"/>
      <c r="G130" s="1048"/>
      <c r="J130" s="1081">
        <v>130</v>
      </c>
      <c r="K130" s="471">
        <f>Prod.!P71</f>
        <v>0</v>
      </c>
      <c r="L130" s="471">
        <f>Prod.!Q71</f>
        <v>0</v>
      </c>
      <c r="M130" s="471">
        <f>Prod.!R71</f>
        <v>0</v>
      </c>
      <c r="N130" s="471">
        <f>Prod.!S71</f>
        <v>0</v>
      </c>
      <c r="O130" s="471">
        <f>Prod.!V71</f>
        <v>0</v>
      </c>
      <c r="P130" s="471">
        <f>Prod.!W71</f>
        <v>0</v>
      </c>
      <c r="Q130" s="471">
        <f>Prod.!X71</f>
        <v>0</v>
      </c>
      <c r="R130" s="471">
        <f>Prod.!Y71</f>
        <v>0</v>
      </c>
      <c r="U130" s="374">
        <f t="shared" si="7"/>
        <v>0</v>
      </c>
      <c r="V130" s="282">
        <f t="shared" si="8"/>
        <v>0</v>
      </c>
      <c r="W130" s="469">
        <f t="shared" si="9"/>
        <v>0</v>
      </c>
      <c r="X130" s="465">
        <f>IFERROR($I$2,0)</f>
        <v>0</v>
      </c>
    </row>
    <row r="131" spans="1:24" ht="15" customHeight="1">
      <c r="A131" s="515"/>
      <c r="B131" s="516"/>
      <c r="C131" s="515"/>
      <c r="D131" s="517"/>
      <c r="E131" s="1085"/>
      <c r="F131" s="517"/>
      <c r="G131" s="1086"/>
      <c r="U131" s="374">
        <f t="shared" si="7"/>
        <v>0</v>
      </c>
      <c r="V131" s="282">
        <f t="shared" si="8"/>
        <v>0</v>
      </c>
      <c r="W131" s="469">
        <f t="shared" si="9"/>
        <v>0</v>
      </c>
      <c r="X131" s="475"/>
    </row>
    <row r="132" spans="1:24" ht="15" customHeight="1">
      <c r="A132" s="515"/>
      <c r="B132" s="516"/>
      <c r="C132" s="515"/>
      <c r="D132" s="517"/>
      <c r="E132" s="1085"/>
      <c r="F132" s="1087"/>
      <c r="G132" s="1088"/>
      <c r="U132" s="374">
        <f t="shared" si="7"/>
        <v>0</v>
      </c>
      <c r="V132" s="282">
        <f t="shared" si="8"/>
        <v>0</v>
      </c>
      <c r="W132" s="469">
        <f t="shared" si="9"/>
        <v>0</v>
      </c>
      <c r="X132" s="520">
        <f>IFERROR($I$3,0)</f>
        <v>0</v>
      </c>
    </row>
    <row r="133" spans="1:24" ht="15" customHeight="1">
      <c r="A133" s="515"/>
      <c r="B133" s="515"/>
      <c r="C133" s="515"/>
      <c r="D133" s="517"/>
      <c r="E133" s="1085"/>
      <c r="F133" s="417"/>
      <c r="G133" s="1089"/>
      <c r="J133" t="s">
        <v>65</v>
      </c>
      <c r="K133" s="181">
        <f>Prod.!C70</f>
        <v>0</v>
      </c>
      <c r="L133" s="181">
        <f>Prod.!D70</f>
        <v>0</v>
      </c>
      <c r="M133" s="181">
        <f>Prod.!E70</f>
        <v>0</v>
      </c>
      <c r="N133" s="160">
        <f>Prod.!F70</f>
        <v>0</v>
      </c>
      <c r="O133" s="160">
        <f>Prod.!G70</f>
        <v>0</v>
      </c>
      <c r="U133" s="374">
        <f>E133</f>
        <v>0</v>
      </c>
      <c r="V133" s="282">
        <f>F133-V136</f>
        <v>0</v>
      </c>
      <c r="W133" s="479"/>
      <c r="X133" s="456"/>
    </row>
    <row r="134" spans="1:24" ht="15" customHeight="1">
      <c r="A134" s="515"/>
      <c r="B134" s="515"/>
      <c r="C134" s="515"/>
      <c r="D134" s="984"/>
      <c r="E134" s="286"/>
      <c r="F134" s="417"/>
      <c r="G134" s="1090"/>
      <c r="J134" t="s">
        <v>67</v>
      </c>
      <c r="K134" s="181">
        <f>Prod.!C71</f>
        <v>0</v>
      </c>
      <c r="L134" s="181">
        <f>Prod.!D71</f>
        <v>0</v>
      </c>
      <c r="M134" s="181">
        <f>Prod.!E71</f>
        <v>0</v>
      </c>
      <c r="N134" s="160">
        <f>Prod.!F71</f>
        <v>0</v>
      </c>
      <c r="O134" s="160">
        <f>Prod.!G71</f>
        <v>0</v>
      </c>
      <c r="T134" s="160"/>
      <c r="U134" s="374">
        <f>E134</f>
        <v>0</v>
      </c>
      <c r="V134" s="282">
        <f>F134</f>
        <v>0</v>
      </c>
      <c r="W134" s="479"/>
      <c r="X134" s="456"/>
    </row>
    <row r="135" spans="1:24" ht="15.75" customHeight="1" thickBot="1">
      <c r="A135" s="515"/>
      <c r="B135" s="515"/>
      <c r="C135" s="515"/>
      <c r="D135" s="517"/>
      <c r="E135" s="286"/>
      <c r="F135" s="417"/>
      <c r="G135" s="379"/>
      <c r="U135" s="374">
        <f>E135</f>
        <v>0</v>
      </c>
      <c r="V135" s="282">
        <f>F135</f>
        <v>0</v>
      </c>
      <c r="W135" s="479"/>
      <c r="X135" s="456"/>
    </row>
    <row r="136" spans="1:24" ht="14.25" customHeight="1" thickBot="1">
      <c r="A136" s="515"/>
      <c r="B136" s="515"/>
      <c r="C136" s="515"/>
      <c r="D136" s="517"/>
      <c r="E136" s="286"/>
      <c r="F136" s="417"/>
      <c r="G136" s="379"/>
      <c r="L136" s="1381" t="s">
        <v>7</v>
      </c>
      <c r="M136" s="1381"/>
      <c r="N136" s="1381"/>
      <c r="U136" s="374">
        <f>E140</f>
        <v>0</v>
      </c>
      <c r="V136" s="282">
        <f>F140</f>
        <v>0</v>
      </c>
      <c r="W136" s="479"/>
      <c r="X136" s="456"/>
    </row>
    <row r="137" spans="1:24" ht="19.5" customHeight="1" thickBot="1">
      <c r="A137" s="515"/>
      <c r="B137" s="515"/>
      <c r="C137" s="515"/>
      <c r="D137" s="517"/>
      <c r="E137" s="286"/>
      <c r="F137" s="417"/>
      <c r="G137" s="379"/>
      <c r="K137" s="163">
        <v>160</v>
      </c>
      <c r="L137" s="1381"/>
      <c r="M137" s="1381"/>
      <c r="N137" s="1381"/>
      <c r="U137" s="483" t="s">
        <v>255</v>
      </c>
      <c r="V137" s="484">
        <f>V127+V128+V129+V130+V131+V132+V133+V134+V135+V136</f>
        <v>0</v>
      </c>
      <c r="W137" s="485"/>
      <c r="X137" s="454"/>
    </row>
    <row r="138" spans="1:24" ht="18" customHeight="1" thickBot="1">
      <c r="A138" s="515"/>
      <c r="B138" s="515"/>
      <c r="C138" s="515"/>
      <c r="D138" s="517"/>
      <c r="E138" s="286"/>
      <c r="F138" s="417"/>
      <c r="G138" s="379"/>
      <c r="L138" s="1381"/>
      <c r="M138" s="1381"/>
      <c r="N138" s="1381"/>
    </row>
    <row r="139" spans="1:24" ht="15" customHeight="1">
      <c r="A139" s="515"/>
      <c r="B139" s="515"/>
      <c r="C139" s="515"/>
      <c r="D139" s="517"/>
      <c r="E139" s="286"/>
      <c r="F139" s="417"/>
      <c r="G139" s="417"/>
      <c r="L139" s="175">
        <f>Prod.!AP67</f>
        <v>6</v>
      </c>
      <c r="M139" s="176">
        <f>Prod.!AQ67</f>
        <v>0</v>
      </c>
      <c r="N139" s="486">
        <f>Prod.!AR67</f>
        <v>0</v>
      </c>
    </row>
    <row r="140" spans="1:24" ht="15" customHeight="1">
      <c r="A140" s="515"/>
      <c r="B140" s="515"/>
      <c r="C140" s="515"/>
      <c r="D140" s="984"/>
      <c r="E140" s="286"/>
      <c r="F140" s="417"/>
      <c r="G140" s="1091"/>
      <c r="L140" s="170">
        <f>Prod.!AP68</f>
        <v>5</v>
      </c>
      <c r="M140" s="171">
        <f>Prod.!AQ68</f>
        <v>0</v>
      </c>
      <c r="N140" s="100">
        <f>Prod.!AR68</f>
        <v>0</v>
      </c>
    </row>
    <row r="141" spans="1:24" ht="15" customHeight="1">
      <c r="A141" s="515"/>
      <c r="B141" s="516"/>
      <c r="C141" s="515"/>
      <c r="D141" s="517"/>
      <c r="E141" s="286"/>
      <c r="F141" s="277"/>
      <c r="G141" s="160"/>
      <c r="L141" s="170">
        <f>Prod.!AP69</f>
        <v>4</v>
      </c>
      <c r="M141" s="171">
        <f>Prod.!AQ69</f>
        <v>0</v>
      </c>
      <c r="N141" s="100">
        <f>Prod.!AR69</f>
        <v>0</v>
      </c>
    </row>
    <row r="142" spans="1:24" ht="15.75" customHeight="1" thickBot="1">
      <c r="A142" s="515"/>
      <c r="B142" s="516"/>
      <c r="C142" s="515"/>
      <c r="D142" s="517"/>
      <c r="E142" s="1287"/>
      <c r="F142" s="1287"/>
      <c r="G142" s="379"/>
      <c r="L142" s="170">
        <f>Prod.!AP70</f>
        <v>3</v>
      </c>
      <c r="M142" s="171">
        <f>Prod.!AQ70</f>
        <v>0</v>
      </c>
      <c r="N142" s="100">
        <f>Prod.!AR70</f>
        <v>0</v>
      </c>
      <c r="O142" s="293" t="e">
        <f>N143/((L142*M142)+(L141*M141)+(L140*M140)+(L139*M139))</f>
        <v>#DIV/0!</v>
      </c>
    </row>
    <row r="143" spans="1:24" ht="15.75" customHeight="1" thickBot="1">
      <c r="A143" s="515"/>
      <c r="B143" s="515"/>
      <c r="C143" s="515"/>
      <c r="D143" s="517"/>
      <c r="E143" s="984"/>
      <c r="F143" s="1044"/>
      <c r="G143" s="417"/>
      <c r="L143" s="173"/>
      <c r="M143" s="174"/>
      <c r="N143" s="491">
        <f>Prod.!AR71</f>
        <v>0</v>
      </c>
    </row>
    <row r="144" spans="1:24" ht="15" customHeight="1">
      <c r="A144" s="515"/>
      <c r="B144" s="516"/>
      <c r="C144" s="515"/>
      <c r="D144" s="517"/>
      <c r="E144" s="984"/>
      <c r="F144" s="1044"/>
      <c r="G144" s="417"/>
    </row>
    <row r="145" spans="1:15" ht="15" customHeight="1">
      <c r="A145" s="515"/>
      <c r="B145" s="516"/>
      <c r="C145" s="515"/>
      <c r="D145" s="517"/>
      <c r="E145" s="984"/>
      <c r="F145" s="1044"/>
      <c r="G145" s="417"/>
    </row>
    <row r="146" spans="1:15" ht="14.25" customHeight="1" thickBot="1">
      <c r="A146" s="515"/>
      <c r="B146" s="515"/>
      <c r="C146" s="515"/>
      <c r="D146" s="517"/>
      <c r="E146" s="984"/>
      <c r="F146" s="1044"/>
      <c r="G146" s="417"/>
    </row>
    <row r="147" spans="1:15" ht="15" customHeight="1" thickBot="1">
      <c r="A147" s="515"/>
      <c r="B147" s="516"/>
      <c r="C147" s="515"/>
      <c r="D147" s="517"/>
      <c r="E147" s="984"/>
      <c r="F147" s="172"/>
      <c r="G147" s="417"/>
      <c r="L147" s="1381" t="s">
        <v>7</v>
      </c>
      <c r="M147" s="1381"/>
      <c r="N147" s="1381"/>
    </row>
    <row r="148" spans="1:15" ht="15" customHeight="1" thickBot="1">
      <c r="A148" s="515"/>
      <c r="B148" s="516"/>
      <c r="C148" s="515"/>
      <c r="D148" s="517"/>
      <c r="E148" s="984"/>
      <c r="F148" s="493"/>
      <c r="G148" s="417"/>
      <c r="K148" s="163">
        <v>130</v>
      </c>
      <c r="L148" s="1381"/>
      <c r="M148" s="1381"/>
      <c r="N148" s="1381"/>
    </row>
    <row r="149" spans="1:15" ht="15" customHeight="1" thickBot="1">
      <c r="A149" s="515"/>
      <c r="B149" s="516"/>
      <c r="C149" s="515"/>
      <c r="D149" s="517"/>
      <c r="E149" s="984"/>
      <c r="F149" s="517"/>
      <c r="G149" s="160"/>
      <c r="L149" s="1381"/>
      <c r="M149" s="1381"/>
      <c r="N149" s="1381"/>
    </row>
    <row r="150" spans="1:15" ht="15" customHeight="1">
      <c r="A150" s="515"/>
      <c r="B150" s="516"/>
      <c r="C150" s="515"/>
      <c r="D150" s="517"/>
      <c r="E150" s="984"/>
      <c r="F150" s="517"/>
      <c r="L150" s="175">
        <f>Prod.!AP59</f>
        <v>6</v>
      </c>
      <c r="M150" s="176">
        <f>Prod.!AQ59</f>
        <v>0</v>
      </c>
      <c r="N150" s="486">
        <f>Prod.!AR59</f>
        <v>0</v>
      </c>
    </row>
    <row r="151" spans="1:15" ht="15" customHeight="1">
      <c r="A151" s="515"/>
      <c r="B151" s="515"/>
      <c r="C151" s="515"/>
      <c r="D151" s="517"/>
      <c r="E151" s="984"/>
      <c r="F151" s="254"/>
      <c r="L151" s="170">
        <f>Prod.!AP60</f>
        <v>5</v>
      </c>
      <c r="M151" s="171">
        <f>Prod.!AQ60</f>
        <v>0</v>
      </c>
      <c r="N151" s="100">
        <f>Prod.!AR60</f>
        <v>0</v>
      </c>
      <c r="O151" s="160"/>
    </row>
    <row r="152" spans="1:15" ht="15" customHeight="1">
      <c r="A152" s="515"/>
      <c r="B152" s="515"/>
      <c r="C152" s="515"/>
      <c r="D152" s="517"/>
      <c r="E152" s="984"/>
      <c r="F152" s="254"/>
      <c r="L152" s="170">
        <f>Prod.!AP61</f>
        <v>4</v>
      </c>
      <c r="M152" s="171">
        <f>Prod.!AQ61</f>
        <v>0</v>
      </c>
      <c r="N152" s="100">
        <f>Prod.!AR61</f>
        <v>0</v>
      </c>
      <c r="O152" s="160"/>
    </row>
    <row r="153" spans="1:15" ht="15.75" customHeight="1" thickBot="1">
      <c r="A153" s="515"/>
      <c r="B153" s="515"/>
      <c r="C153" s="515"/>
      <c r="D153" s="517"/>
      <c r="E153" s="984"/>
      <c r="F153" s="536"/>
      <c r="L153" s="170">
        <f>Prod.!AP62</f>
        <v>3</v>
      </c>
      <c r="M153" s="172">
        <f>Prod.!AQ62</f>
        <v>0</v>
      </c>
      <c r="N153" s="100">
        <f>Prod.!AR62</f>
        <v>0</v>
      </c>
      <c r="O153" t="e">
        <f>N154/((L153*M153)+(L152*M152)+(L151*M151)+(L150*M150))</f>
        <v>#DIV/0!</v>
      </c>
    </row>
    <row r="154" spans="1:15" ht="15.75" customHeight="1" thickBot="1">
      <c r="A154" s="515"/>
      <c r="B154" s="515"/>
      <c r="C154" s="515"/>
      <c r="D154" s="434"/>
      <c r="E154" s="984"/>
      <c r="F154" s="1092"/>
      <c r="L154" s="173"/>
      <c r="M154" s="174"/>
      <c r="N154" s="491">
        <f>Prod.!AR63</f>
        <v>0</v>
      </c>
      <c r="O154" s="160"/>
    </row>
    <row r="155" spans="1:15" ht="15" customHeight="1">
      <c r="A155" s="984"/>
      <c r="B155" s="984"/>
      <c r="C155" s="984"/>
      <c r="D155" s="984"/>
      <c r="E155" s="515"/>
      <c r="F155" s="517"/>
      <c r="G155" s="1091"/>
    </row>
    <row r="156" spans="1:15" ht="15" customHeight="1">
      <c r="A156" s="984"/>
      <c r="B156" s="1093"/>
      <c r="C156" s="1093"/>
      <c r="D156" s="984"/>
      <c r="E156" s="286"/>
      <c r="F156" s="417"/>
      <c r="G156" s="253"/>
    </row>
    <row r="157" spans="1:15" ht="15" customHeight="1">
      <c r="A157" s="984"/>
      <c r="B157" s="1093"/>
      <c r="C157" s="1093"/>
      <c r="D157" s="984"/>
      <c r="E157" s="286"/>
      <c r="F157" s="417"/>
      <c r="G157" s="253"/>
    </row>
    <row r="158" spans="1:15" ht="15" customHeight="1">
      <c r="A158" s="984"/>
      <c r="B158" s="1093"/>
      <c r="C158" s="1093"/>
      <c r="D158" s="984"/>
      <c r="E158" s="286"/>
      <c r="F158" s="417"/>
      <c r="G158" s="253"/>
    </row>
    <row r="159" spans="1:15" ht="15" customHeight="1">
      <c r="A159" s="984"/>
      <c r="B159" s="1051"/>
      <c r="C159" s="1051"/>
      <c r="D159" s="984"/>
      <c r="E159" s="286"/>
      <c r="F159" s="417"/>
      <c r="G159" s="253"/>
    </row>
    <row r="160" spans="1:15" ht="15" customHeight="1">
      <c r="A160" s="984"/>
      <c r="B160" s="1051"/>
      <c r="C160" s="1051"/>
      <c r="D160" s="984"/>
      <c r="E160" s="286"/>
      <c r="F160" s="417"/>
    </row>
    <row r="161" spans="1:24" ht="15" customHeight="1">
      <c r="A161" s="1220"/>
      <c r="B161" s="1174"/>
      <c r="C161" s="1139"/>
      <c r="D161" s="1139"/>
      <c r="E161" s="1139"/>
      <c r="F161" s="1139"/>
      <c r="G161" s="1139"/>
      <c r="H161" s="1139"/>
      <c r="I161" s="1139"/>
    </row>
    <row r="162" spans="1:24" ht="15" customHeight="1">
      <c r="A162" s="1173"/>
      <c r="B162" s="1173"/>
      <c r="C162" s="1139"/>
      <c r="D162" s="1221"/>
      <c r="E162" s="1221"/>
      <c r="F162" s="1139"/>
      <c r="G162" s="1139"/>
      <c r="H162" s="1139"/>
      <c r="I162" s="1139"/>
      <c r="J162" s="1079" t="s">
        <v>294</v>
      </c>
      <c r="K162" s="1382"/>
      <c r="L162" s="1382"/>
      <c r="M162" s="1382"/>
      <c r="N162" s="1382"/>
      <c r="O162" s="1382"/>
      <c r="P162" s="1382"/>
      <c r="Q162" s="1382"/>
      <c r="R162" s="1382"/>
    </row>
    <row r="163" spans="1:24" ht="15.75" customHeight="1" thickBot="1">
      <c r="A163" s="1173"/>
      <c r="B163" s="1191"/>
      <c r="C163" s="1139"/>
      <c r="D163" s="1139"/>
      <c r="E163" s="1139"/>
      <c r="F163" s="1139"/>
      <c r="G163" s="1139"/>
      <c r="H163" s="1139"/>
      <c r="I163" s="1139"/>
      <c r="J163" s="1080" t="s">
        <v>1</v>
      </c>
      <c r="K163" s="466" t="s">
        <v>45</v>
      </c>
      <c r="L163" s="467" t="s">
        <v>46</v>
      </c>
      <c r="M163" s="468" t="s">
        <v>47</v>
      </c>
      <c r="N163" s="467" t="s">
        <v>48</v>
      </c>
      <c r="O163" s="466" t="s">
        <v>45</v>
      </c>
      <c r="P163" s="467" t="s">
        <v>46</v>
      </c>
      <c r="Q163" s="468" t="s">
        <v>47</v>
      </c>
      <c r="R163" s="467" t="s">
        <v>48</v>
      </c>
    </row>
    <row r="164" spans="1:24" ht="15.75" customHeight="1" thickBot="1">
      <c r="A164" s="1173"/>
      <c r="B164" s="1173"/>
      <c r="C164" s="1173"/>
      <c r="D164" s="1173"/>
      <c r="E164" s="1173"/>
      <c r="F164" s="1179"/>
      <c r="G164" s="1189"/>
      <c r="H164" s="1222"/>
      <c r="I164" s="1139"/>
      <c r="J164" s="1081">
        <v>160</v>
      </c>
      <c r="K164" s="158">
        <f>Prod.!P90</f>
        <v>0</v>
      </c>
      <c r="L164" s="158">
        <f>Prod.!Q90</f>
        <v>0</v>
      </c>
      <c r="M164" s="158">
        <f>Prod.!R90</f>
        <v>0</v>
      </c>
      <c r="N164" s="158">
        <f>Prod.!S90</f>
        <v>0</v>
      </c>
      <c r="O164" s="158">
        <f>Prod.!V90</f>
        <v>0</v>
      </c>
      <c r="P164" s="158">
        <f>Prod.!W90</f>
        <v>0</v>
      </c>
      <c r="Q164" s="158">
        <f>Prod.!X90</f>
        <v>0</v>
      </c>
      <c r="R164" s="158">
        <f>Prod.!Y90</f>
        <v>0</v>
      </c>
      <c r="U164" s="1383" t="s">
        <v>230</v>
      </c>
      <c r="V164" s="1383"/>
      <c r="W164" s="1383"/>
      <c r="X164" s="1383"/>
    </row>
    <row r="165" spans="1:24" ht="15.75" customHeight="1" thickBot="1">
      <c r="A165" s="1174"/>
      <c r="B165" s="1223"/>
      <c r="C165" s="1174"/>
      <c r="D165" s="1224"/>
      <c r="E165" s="1198"/>
      <c r="F165" s="1179"/>
      <c r="G165" s="1189"/>
      <c r="H165" s="1222"/>
      <c r="I165" s="1139"/>
      <c r="J165" s="1081">
        <v>110</v>
      </c>
      <c r="K165" s="158">
        <f>Prod.!J88</f>
        <v>0</v>
      </c>
      <c r="L165" s="158">
        <f>Prod.!K88</f>
        <v>0</v>
      </c>
      <c r="M165" s="158">
        <f>Prod.!L88</f>
        <v>0</v>
      </c>
      <c r="N165" s="158">
        <f>Prod.!M88</f>
        <v>0</v>
      </c>
      <c r="U165" s="1384">
        <f>A161</f>
        <v>0</v>
      </c>
      <c r="V165" s="1384"/>
      <c r="W165" s="453" t="s">
        <v>233</v>
      </c>
      <c r="X165" s="454" t="s">
        <v>234</v>
      </c>
    </row>
    <row r="166" spans="1:24" ht="15" customHeight="1">
      <c r="A166" s="1174"/>
      <c r="B166" s="1223"/>
      <c r="C166" s="1174"/>
      <c r="D166" s="1224"/>
      <c r="E166" s="1198"/>
      <c r="F166" s="1179"/>
      <c r="G166" s="1189"/>
      <c r="H166" s="1222"/>
      <c r="I166" s="1139"/>
      <c r="J166" s="1385"/>
      <c r="K166" s="1385"/>
      <c r="L166" s="1385"/>
      <c r="M166" s="1385"/>
      <c r="N166" s="1385"/>
      <c r="O166" s="1385"/>
      <c r="P166" s="455"/>
      <c r="U166" s="231"/>
      <c r="X166" s="456"/>
    </row>
    <row r="167" spans="1:24" ht="15" customHeight="1">
      <c r="A167" s="1174"/>
      <c r="B167" s="1223"/>
      <c r="C167" s="1174"/>
      <c r="D167" s="1224"/>
      <c r="E167" s="1225"/>
      <c r="F167" s="1179"/>
      <c r="G167" s="1189"/>
      <c r="H167" s="1222"/>
      <c r="I167" s="1139"/>
      <c r="J167" s="181"/>
      <c r="K167" s="508"/>
      <c r="L167" s="181"/>
      <c r="M167" s="508"/>
      <c r="N167" s="181"/>
      <c r="O167" s="508"/>
      <c r="U167" s="458">
        <f>E166</f>
        <v>0</v>
      </c>
      <c r="V167" s="282">
        <f>F166</f>
        <v>0</v>
      </c>
      <c r="W167" s="459"/>
      <c r="X167" s="460"/>
    </row>
    <row r="168" spans="1:24" ht="15" customHeight="1">
      <c r="A168" s="1174"/>
      <c r="B168" s="1223"/>
      <c r="C168" s="1174"/>
      <c r="D168" s="1224"/>
      <c r="E168" s="1198"/>
      <c r="F168" s="1179"/>
      <c r="G168" s="1188"/>
      <c r="H168" s="1222"/>
      <c r="I168" s="1139"/>
      <c r="K168" s="1382"/>
      <c r="L168" s="1382"/>
      <c r="M168" s="1382"/>
      <c r="N168" s="1382"/>
      <c r="O168" s="1382"/>
      <c r="P168" s="1382"/>
      <c r="Q168" s="1382"/>
      <c r="R168" s="1382"/>
      <c r="U168" s="462">
        <f t="shared" ref="U168:U172" si="10">E168</f>
        <v>0</v>
      </c>
      <c r="V168" s="463">
        <f t="shared" ref="V168:V172" si="11">F168</f>
        <v>0</v>
      </c>
      <c r="W168" s="464">
        <f t="shared" ref="W168:W172" si="12">G168</f>
        <v>0</v>
      </c>
      <c r="X168" s="465"/>
    </row>
    <row r="169" spans="1:24" ht="15" customHeight="1">
      <c r="A169" s="1174"/>
      <c r="B169" s="1223"/>
      <c r="C169" s="1174"/>
      <c r="D169" s="1224"/>
      <c r="E169" s="1198"/>
      <c r="F169" s="1179"/>
      <c r="G169" s="1188"/>
      <c r="H169" s="1222"/>
      <c r="I169" s="1139"/>
      <c r="J169" s="1080" t="s">
        <v>1</v>
      </c>
      <c r="K169" s="466" t="s">
        <v>45</v>
      </c>
      <c r="L169" s="467" t="s">
        <v>46</v>
      </c>
      <c r="M169" s="468" t="s">
        <v>47</v>
      </c>
      <c r="N169" s="467" t="s">
        <v>48</v>
      </c>
      <c r="O169" s="466" t="s">
        <v>45</v>
      </c>
      <c r="P169" s="467" t="s">
        <v>46</v>
      </c>
      <c r="Q169" s="468" t="s">
        <v>47</v>
      </c>
      <c r="R169" s="467" t="s">
        <v>48</v>
      </c>
      <c r="U169" s="374">
        <f t="shared" si="10"/>
        <v>0</v>
      </c>
      <c r="V169" s="282">
        <f t="shared" si="11"/>
        <v>0</v>
      </c>
      <c r="W169" s="469">
        <f t="shared" si="12"/>
        <v>0</v>
      </c>
      <c r="X169" s="465">
        <f>$I$1</f>
        <v>0</v>
      </c>
    </row>
    <row r="170" spans="1:24" ht="15" customHeight="1">
      <c r="A170" s="1174"/>
      <c r="B170" s="1223"/>
      <c r="C170" s="1174"/>
      <c r="D170" s="1224"/>
      <c r="E170" s="1198"/>
      <c r="F170" s="1179"/>
      <c r="G170" s="1188"/>
      <c r="H170" s="1222"/>
      <c r="I170" s="1139"/>
      <c r="J170" s="1081">
        <v>130</v>
      </c>
      <c r="K170" s="471">
        <f>Prod.!P89</f>
        <v>0</v>
      </c>
      <c r="L170" s="471">
        <f>Prod.!Q89</f>
        <v>0</v>
      </c>
      <c r="M170" s="471">
        <f>Prod.!R89</f>
        <v>0</v>
      </c>
      <c r="N170" s="471">
        <f>Prod.!S89</f>
        <v>0</v>
      </c>
      <c r="O170" s="471">
        <f>Prod.!V89</f>
        <v>0</v>
      </c>
      <c r="P170" s="471">
        <f>Prod.!W89</f>
        <v>0</v>
      </c>
      <c r="Q170" s="471">
        <f>Prod.!X89</f>
        <v>0</v>
      </c>
      <c r="R170" s="471">
        <f>Prod.!Y89</f>
        <v>0</v>
      </c>
      <c r="U170" s="374">
        <f t="shared" si="10"/>
        <v>0</v>
      </c>
      <c r="V170" s="282">
        <f t="shared" si="11"/>
        <v>0</v>
      </c>
      <c r="W170" s="469">
        <f t="shared" si="12"/>
        <v>0</v>
      </c>
      <c r="X170" s="465">
        <f>IFERROR($I$2,0)</f>
        <v>0</v>
      </c>
    </row>
    <row r="171" spans="1:24" ht="15" customHeight="1">
      <c r="A171" s="1174"/>
      <c r="B171" s="1223"/>
      <c r="C171" s="1174"/>
      <c r="D171" s="1224"/>
      <c r="E171" s="1226"/>
      <c r="F171" s="1224"/>
      <c r="G171" s="1227"/>
      <c r="H171" s="1222"/>
      <c r="I171" s="1139"/>
      <c r="U171" s="374">
        <f t="shared" si="10"/>
        <v>0</v>
      </c>
      <c r="V171" s="282">
        <f t="shared" si="11"/>
        <v>0</v>
      </c>
      <c r="W171" s="469">
        <f t="shared" si="12"/>
        <v>0</v>
      </c>
      <c r="X171" s="475"/>
    </row>
    <row r="172" spans="1:24" ht="15" customHeight="1">
      <c r="A172" s="1174"/>
      <c r="B172" s="1223"/>
      <c r="C172" s="1174"/>
      <c r="D172" s="1224"/>
      <c r="E172" s="1226"/>
      <c r="F172" s="1228"/>
      <c r="G172" s="1229"/>
      <c r="H172" s="1222"/>
      <c r="I172" s="1139"/>
      <c r="J172" s="509"/>
      <c r="U172" s="374">
        <f t="shared" si="10"/>
        <v>0</v>
      </c>
      <c r="V172" s="282">
        <f t="shared" si="11"/>
        <v>0</v>
      </c>
      <c r="W172" s="469">
        <f t="shared" si="12"/>
        <v>0</v>
      </c>
      <c r="X172" s="520">
        <f>IFERROR($I$3,0)</f>
        <v>0</v>
      </c>
    </row>
    <row r="173" spans="1:24" ht="15" customHeight="1">
      <c r="A173" s="1174"/>
      <c r="B173" s="1174"/>
      <c r="C173" s="1174"/>
      <c r="D173" s="1224"/>
      <c r="E173" s="1226"/>
      <c r="F173" s="1179"/>
      <c r="G173" s="1230"/>
      <c r="H173" s="1222"/>
      <c r="I173" s="1139"/>
      <c r="J173" t="s">
        <v>65</v>
      </c>
      <c r="K173" s="181">
        <f>Prod.!C88</f>
        <v>0</v>
      </c>
      <c r="L173" s="181">
        <f>Prod.!D88</f>
        <v>0</v>
      </c>
      <c r="M173" s="181">
        <f>Prod.!E88</f>
        <v>0</v>
      </c>
      <c r="N173" s="160">
        <f>Prod.!F88</f>
        <v>0</v>
      </c>
      <c r="O173" s="160">
        <f>Prod.!G88</f>
        <v>0</v>
      </c>
      <c r="U173" s="374">
        <f>E173</f>
        <v>0</v>
      </c>
      <c r="V173" s="282">
        <f>F173-V176</f>
        <v>0</v>
      </c>
      <c r="W173" s="479"/>
      <c r="X173" s="456"/>
    </row>
    <row r="174" spans="1:24" ht="15" customHeight="1">
      <c r="A174" s="1174"/>
      <c r="B174" s="1174"/>
      <c r="C174" s="1174"/>
      <c r="D174" s="1173"/>
      <c r="E174" s="1198"/>
      <c r="F174" s="1179"/>
      <c r="G174" s="1231"/>
      <c r="H174" s="1222"/>
      <c r="I174" s="1139"/>
      <c r="J174" t="s">
        <v>67</v>
      </c>
      <c r="K174" s="181">
        <f>Prod.!C89</f>
        <v>0</v>
      </c>
      <c r="L174" s="181">
        <f>Prod.!D89</f>
        <v>0</v>
      </c>
      <c r="M174" s="181">
        <f>Prod.!E89</f>
        <v>0</v>
      </c>
      <c r="N174" s="160">
        <f>Prod.!F89</f>
        <v>0</v>
      </c>
      <c r="O174" s="160">
        <f>Prod.!G89</f>
        <v>0</v>
      </c>
      <c r="T174" s="160"/>
      <c r="U174" s="374">
        <f>E174</f>
        <v>0</v>
      </c>
      <c r="V174" s="282">
        <f>F174</f>
        <v>0</v>
      </c>
      <c r="W174" s="479"/>
      <c r="X174" s="456"/>
    </row>
    <row r="175" spans="1:24" ht="15.75" customHeight="1" thickBot="1">
      <c r="A175" s="1174"/>
      <c r="B175" s="1174"/>
      <c r="C175" s="1174"/>
      <c r="D175" s="1224"/>
      <c r="E175" s="1198"/>
      <c r="F175" s="1179"/>
      <c r="G175" s="1189"/>
      <c r="H175" s="1222"/>
      <c r="I175" s="1139"/>
      <c r="U175" s="374">
        <f>E175</f>
        <v>0</v>
      </c>
      <c r="V175" s="282">
        <f>F175</f>
        <v>0</v>
      </c>
      <c r="W175" s="479"/>
      <c r="X175" s="456"/>
    </row>
    <row r="176" spans="1:24" ht="14.25" customHeight="1" thickBot="1">
      <c r="A176" s="1174"/>
      <c r="B176" s="1174"/>
      <c r="C176" s="1174"/>
      <c r="D176" s="1224"/>
      <c r="E176" s="1198"/>
      <c r="F176" s="1179"/>
      <c r="G176" s="1189"/>
      <c r="H176" s="1222"/>
      <c r="I176" s="1139"/>
      <c r="L176" s="1381" t="s">
        <v>7</v>
      </c>
      <c r="M176" s="1381"/>
      <c r="N176" s="1381"/>
      <c r="U176" s="374">
        <f>E180</f>
        <v>0</v>
      </c>
      <c r="V176" s="282">
        <f>F180</f>
        <v>0</v>
      </c>
      <c r="W176" s="479"/>
      <c r="X176" s="456"/>
    </row>
    <row r="177" spans="1:24" ht="19.5" customHeight="1">
      <c r="A177" s="1174"/>
      <c r="B177" s="1174"/>
      <c r="C177" s="1174"/>
      <c r="D177" s="1224"/>
      <c r="E177" s="1198"/>
      <c r="F177" s="1179"/>
      <c r="G177" s="1189"/>
      <c r="H177" s="1222"/>
      <c r="I177" s="1139"/>
      <c r="K177" s="163">
        <v>160</v>
      </c>
      <c r="L177" s="1381"/>
      <c r="M177" s="1381"/>
      <c r="N177" s="1381"/>
      <c r="U177" s="483" t="s">
        <v>255</v>
      </c>
      <c r="V177" s="484">
        <f>V167+V168+V169+V170+V171+V172+V173+V174+V175+V176</f>
        <v>0</v>
      </c>
      <c r="W177" s="485"/>
      <c r="X177" s="454"/>
    </row>
    <row r="178" spans="1:24" ht="18" customHeight="1" thickBot="1">
      <c r="A178" s="1174"/>
      <c r="B178" s="1174"/>
      <c r="C178" s="1174"/>
      <c r="D178" s="1224"/>
      <c r="E178" s="1198"/>
      <c r="F178" s="1179"/>
      <c r="G178" s="1189"/>
      <c r="H178" s="1222"/>
      <c r="I178" s="1139"/>
      <c r="L178" s="1381"/>
      <c r="M178" s="1381"/>
      <c r="N178" s="1381"/>
    </row>
    <row r="179" spans="1:24" ht="15" customHeight="1">
      <c r="A179" s="1174"/>
      <c r="B179" s="1174"/>
      <c r="C179" s="1174"/>
      <c r="D179" s="1224"/>
      <c r="E179" s="1198"/>
      <c r="F179" s="1179"/>
      <c r="G179" s="1179"/>
      <c r="H179" s="1222"/>
      <c r="I179" s="1139"/>
      <c r="L179" s="175">
        <f>Prod.!AP85</f>
        <v>6</v>
      </c>
      <c r="M179" s="176">
        <f>Prod.!AQ85</f>
        <v>0</v>
      </c>
      <c r="N179" s="486">
        <f>Prod.!AR85</f>
        <v>0</v>
      </c>
    </row>
    <row r="180" spans="1:24" ht="15" customHeight="1">
      <c r="A180" s="1174"/>
      <c r="B180" s="1174"/>
      <c r="C180" s="1174"/>
      <c r="D180" s="1173"/>
      <c r="E180" s="1198"/>
      <c r="F180" s="1179"/>
      <c r="G180" s="1232"/>
      <c r="H180" s="1222"/>
      <c r="I180" s="1139"/>
      <c r="L180" s="170">
        <f>Prod.!AP86</f>
        <v>5</v>
      </c>
      <c r="M180" s="171">
        <f>Prod.!AQ86</f>
        <v>0</v>
      </c>
      <c r="N180" s="100">
        <f>Prod.!AR86</f>
        <v>0</v>
      </c>
    </row>
    <row r="181" spans="1:24" ht="15" customHeight="1">
      <c r="A181" s="1174"/>
      <c r="B181" s="1223"/>
      <c r="C181" s="1174"/>
      <c r="D181" s="1224"/>
      <c r="E181" s="1198"/>
      <c r="F181" s="1178"/>
      <c r="G181" s="1233"/>
      <c r="H181" s="1222"/>
      <c r="I181" s="1139"/>
      <c r="L181" s="170">
        <f>Prod.!AP87</f>
        <v>4</v>
      </c>
      <c r="M181" s="171">
        <f>Prod.!AQ87</f>
        <v>0</v>
      </c>
      <c r="N181" s="100">
        <f>Prod.!AR87</f>
        <v>0</v>
      </c>
    </row>
    <row r="182" spans="1:24" ht="15.75" customHeight="1">
      <c r="A182" s="1174"/>
      <c r="B182" s="1223"/>
      <c r="C182" s="1174"/>
      <c r="D182" s="1224"/>
      <c r="E182" s="1291"/>
      <c r="F182" s="1291"/>
      <c r="G182" s="1189"/>
      <c r="H182" s="1222"/>
      <c r="I182" s="1139"/>
      <c r="L182" s="170">
        <f>Prod.!AP88</f>
        <v>3</v>
      </c>
      <c r="M182" s="171">
        <f>Prod.!AQ88</f>
        <v>0</v>
      </c>
      <c r="N182" s="100">
        <f>Prod.!AR88</f>
        <v>0</v>
      </c>
      <c r="O182" s="293" t="e">
        <f>N183/((L182*M182)+(L181*M181)+(L180*M180)+(L179*M179))</f>
        <v>#DIV/0!</v>
      </c>
    </row>
    <row r="183" spans="1:24" ht="15.75" customHeight="1">
      <c r="A183" s="1174"/>
      <c r="B183" s="1174"/>
      <c r="C183" s="1174"/>
      <c r="D183" s="1224"/>
      <c r="E183" s="1173"/>
      <c r="F183" s="1177"/>
      <c r="G183" s="1179"/>
      <c r="H183" s="1222"/>
      <c r="I183" s="1139"/>
      <c r="L183" s="173"/>
      <c r="M183" s="174"/>
      <c r="N183" s="491">
        <f>Prod.!AR89</f>
        <v>0</v>
      </c>
    </row>
    <row r="184" spans="1:24" ht="15" customHeight="1">
      <c r="A184" s="1174"/>
      <c r="B184" s="1223"/>
      <c r="C184" s="1174"/>
      <c r="D184" s="1224"/>
      <c r="E184" s="1173"/>
      <c r="F184" s="1177"/>
      <c r="G184" s="1179"/>
      <c r="H184" s="1222"/>
      <c r="I184" s="1139"/>
    </row>
    <row r="185" spans="1:24" ht="15" customHeight="1">
      <c r="A185" s="1174"/>
      <c r="B185" s="1223"/>
      <c r="C185" s="1174"/>
      <c r="D185" s="1224"/>
      <c r="E185" s="1173"/>
      <c r="F185" s="1177"/>
      <c r="G185" s="1179"/>
      <c r="H185" s="1222"/>
      <c r="I185" s="1139"/>
    </row>
    <row r="186" spans="1:24" ht="14.25" customHeight="1">
      <c r="A186" s="1174"/>
      <c r="B186" s="1174"/>
      <c r="C186" s="1174"/>
      <c r="D186" s="1224"/>
      <c r="E186" s="1173"/>
      <c r="F186" s="1177"/>
      <c r="G186" s="1179"/>
      <c r="H186" s="1222"/>
      <c r="I186" s="1139"/>
    </row>
    <row r="187" spans="1:24" ht="15" customHeight="1">
      <c r="A187" s="1174"/>
      <c r="B187" s="1223"/>
      <c r="C187" s="1174"/>
      <c r="D187" s="1224"/>
      <c r="E187" s="1173"/>
      <c r="F187" s="172"/>
      <c r="G187" s="1179"/>
      <c r="H187" s="1222"/>
      <c r="I187" s="1139"/>
      <c r="L187" s="1381" t="s">
        <v>7</v>
      </c>
      <c r="M187" s="1381"/>
      <c r="N187" s="1381"/>
    </row>
    <row r="188" spans="1:24" ht="15" customHeight="1">
      <c r="A188" s="1174"/>
      <c r="B188" s="1223"/>
      <c r="C188" s="1174"/>
      <c r="D188" s="1224"/>
      <c r="E188" s="1173"/>
      <c r="F188" s="1234"/>
      <c r="G188" s="1179"/>
      <c r="H188" s="1222"/>
      <c r="I188" s="1139"/>
      <c r="K188" s="163">
        <v>130</v>
      </c>
      <c r="L188" s="1381"/>
      <c r="M188" s="1381"/>
      <c r="N188" s="1381"/>
    </row>
    <row r="189" spans="1:24" ht="15" customHeight="1">
      <c r="A189" s="1174"/>
      <c r="B189" s="1223"/>
      <c r="C189" s="1174"/>
      <c r="D189" s="1224"/>
      <c r="E189" s="1173"/>
      <c r="F189" s="1224"/>
      <c r="G189" s="1233"/>
      <c r="H189" s="1222"/>
      <c r="I189" s="1139"/>
      <c r="L189" s="1381"/>
      <c r="M189" s="1381"/>
      <c r="N189" s="1381"/>
    </row>
    <row r="190" spans="1:24" ht="15" customHeight="1">
      <c r="A190" s="1174"/>
      <c r="B190" s="1223"/>
      <c r="C190" s="1174"/>
      <c r="D190" s="1224"/>
      <c r="E190" s="1173"/>
      <c r="F190" s="1224"/>
      <c r="G190" s="1139"/>
      <c r="H190" s="1222"/>
      <c r="I190" s="1139"/>
      <c r="L190" s="175">
        <f>Prod.!AP77</f>
        <v>6</v>
      </c>
      <c r="M190" s="176">
        <f>Prod.!AQ77</f>
        <v>0</v>
      </c>
      <c r="N190" s="486">
        <f>Prod.!AR77</f>
        <v>0</v>
      </c>
    </row>
    <row r="191" spans="1:24" ht="15" customHeight="1">
      <c r="A191" s="1174"/>
      <c r="B191" s="1174"/>
      <c r="C191" s="1174"/>
      <c r="D191" s="1224"/>
      <c r="E191" s="1173"/>
      <c r="F191" s="1178"/>
      <c r="G191" s="1139"/>
      <c r="H191" s="1222"/>
      <c r="I191" s="1139"/>
      <c r="L191" s="170">
        <f>Prod.!AP78</f>
        <v>5</v>
      </c>
      <c r="M191" s="171">
        <f>Prod.!AQ78</f>
        <v>0</v>
      </c>
      <c r="N191" s="100">
        <f>Prod.!AR78</f>
        <v>0</v>
      </c>
      <c r="O191" s="160"/>
    </row>
    <row r="192" spans="1:24" ht="15" customHeight="1">
      <c r="A192" s="1174"/>
      <c r="B192" s="1174"/>
      <c r="C192" s="1174"/>
      <c r="D192" s="1224"/>
      <c r="E192" s="1173"/>
      <c r="F192" s="1178"/>
      <c r="G192" s="1139"/>
      <c r="H192" s="1222"/>
      <c r="I192" s="1139"/>
      <c r="L192" s="170">
        <f>Prod.!AP79</f>
        <v>4</v>
      </c>
      <c r="M192" s="171">
        <f>Prod.!AQ79</f>
        <v>0</v>
      </c>
      <c r="N192" s="100">
        <f>Prod.!AR79</f>
        <v>0</v>
      </c>
      <c r="O192" s="160"/>
    </row>
    <row r="193" spans="1:24" ht="15.75" customHeight="1">
      <c r="A193" s="1174"/>
      <c r="B193" s="1174"/>
      <c r="C193" s="1174"/>
      <c r="D193" s="1224"/>
      <c r="E193" s="1173"/>
      <c r="F193" s="1235"/>
      <c r="G193" s="1139"/>
      <c r="H193" s="1222"/>
      <c r="I193" s="1139"/>
      <c r="L193" s="170">
        <f>Prod.!AP80</f>
        <v>3</v>
      </c>
      <c r="M193" s="172">
        <f>Prod.!AQ80</f>
        <v>0</v>
      </c>
      <c r="N193" s="100">
        <f>Prod.!AR80</f>
        <v>0</v>
      </c>
      <c r="O193" t="e">
        <f>N194/((L193*M193)+(L192*M192)+(L191*M191)+(L190*M190))</f>
        <v>#DIV/0!</v>
      </c>
    </row>
    <row r="194" spans="1:24" ht="15.75" customHeight="1">
      <c r="A194" s="1174"/>
      <c r="B194" s="1174"/>
      <c r="C194" s="1174"/>
      <c r="D194" s="1221"/>
      <c r="E194" s="1173"/>
      <c r="F194" s="1235"/>
      <c r="G194" s="1139"/>
      <c r="H194" s="1222"/>
      <c r="I194" s="1139"/>
      <c r="L194" s="173"/>
      <c r="M194" s="174"/>
      <c r="N194" s="491">
        <f>Prod.!AR81</f>
        <v>0</v>
      </c>
      <c r="O194" s="160"/>
    </row>
    <row r="195" spans="1:24" ht="15" customHeight="1">
      <c r="A195" s="1173"/>
      <c r="B195" s="1173"/>
      <c r="C195" s="1173"/>
      <c r="D195" s="1173"/>
      <c r="E195" s="1174"/>
      <c r="F195" s="1224"/>
      <c r="G195" s="1232"/>
      <c r="H195" s="1222"/>
      <c r="I195" s="1139"/>
    </row>
    <row r="196" spans="1:24" ht="15" customHeight="1">
      <c r="A196" s="1173"/>
      <c r="B196" s="1236"/>
      <c r="C196" s="1236"/>
      <c r="D196" s="1173"/>
      <c r="E196" s="1198"/>
      <c r="F196" s="1179"/>
      <c r="G196" s="1177"/>
      <c r="H196" s="1222"/>
      <c r="I196" s="1139"/>
    </row>
    <row r="197" spans="1:24" ht="15" customHeight="1">
      <c r="A197" s="1173"/>
      <c r="B197" s="1236"/>
      <c r="C197" s="1236"/>
      <c r="D197" s="1173"/>
      <c r="E197" s="1198"/>
      <c r="F197" s="1179"/>
      <c r="G197" s="1177"/>
      <c r="H197" s="1222"/>
      <c r="I197" s="1139"/>
    </row>
    <row r="198" spans="1:24" ht="15" customHeight="1">
      <c r="A198" s="1173"/>
      <c r="B198" s="1236"/>
      <c r="C198" s="1236"/>
      <c r="D198" s="1173"/>
      <c r="E198" s="1198"/>
      <c r="F198" s="1179"/>
      <c r="G198" s="1177"/>
      <c r="H198" s="1222"/>
      <c r="I198" s="1139"/>
    </row>
    <row r="199" spans="1:24" ht="15" customHeight="1">
      <c r="A199" s="1173"/>
      <c r="B199" s="1191"/>
      <c r="C199" s="1191"/>
      <c r="D199" s="1173"/>
      <c r="E199" s="1198"/>
      <c r="F199" s="1179"/>
      <c r="G199" s="1177"/>
      <c r="H199" s="1222"/>
      <c r="I199" s="1139"/>
    </row>
    <row r="200" spans="1:24" ht="15" customHeight="1">
      <c r="A200" s="1173"/>
      <c r="B200" s="1191"/>
      <c r="C200" s="1191"/>
      <c r="D200" s="1173"/>
      <c r="E200" s="1198"/>
      <c r="F200" s="1179"/>
      <c r="G200" s="1139"/>
      <c r="H200" s="1222"/>
      <c r="I200" s="1139"/>
    </row>
    <row r="201" spans="1:24" ht="15" customHeight="1">
      <c r="A201" s="1084"/>
      <c r="B201" s="515"/>
      <c r="H201" s="180"/>
    </row>
    <row r="202" spans="1:24" ht="15" customHeight="1">
      <c r="A202" s="984"/>
      <c r="B202" s="984"/>
      <c r="D202" s="434"/>
      <c r="E202" s="434"/>
      <c r="H202" s="180"/>
      <c r="J202" s="1079" t="s">
        <v>295</v>
      </c>
      <c r="K202" s="1382"/>
      <c r="L202" s="1382"/>
      <c r="M202" s="1382"/>
      <c r="N202" s="1382"/>
      <c r="O202" s="1382"/>
      <c r="P202" s="1382"/>
      <c r="Q202" s="1382"/>
      <c r="R202" s="1382"/>
    </row>
    <row r="203" spans="1:24" ht="15.75" customHeight="1" thickBot="1">
      <c r="A203" s="984"/>
      <c r="B203" s="1051"/>
      <c r="H203" s="180"/>
      <c r="J203" s="1080" t="s">
        <v>1</v>
      </c>
      <c r="K203" s="466" t="s">
        <v>45</v>
      </c>
      <c r="L203" s="467" t="s">
        <v>46</v>
      </c>
      <c r="M203" s="468" t="s">
        <v>47</v>
      </c>
      <c r="N203" s="467" t="s">
        <v>48</v>
      </c>
      <c r="O203" s="466" t="s">
        <v>45</v>
      </c>
      <c r="P203" s="467" t="s">
        <v>46</v>
      </c>
      <c r="Q203" s="468" t="s">
        <v>47</v>
      </c>
      <c r="R203" s="467" t="s">
        <v>48</v>
      </c>
    </row>
    <row r="204" spans="1:24" ht="15.75" customHeight="1" thickBot="1">
      <c r="A204" s="984"/>
      <c r="B204" s="984"/>
      <c r="C204" s="984"/>
      <c r="D204" s="984"/>
      <c r="E204" s="984"/>
      <c r="F204" s="417"/>
      <c r="G204" s="379"/>
      <c r="J204" s="1081">
        <v>160</v>
      </c>
      <c r="K204" s="158">
        <f>Prod.!P108</f>
        <v>0</v>
      </c>
      <c r="L204" s="158">
        <f>Prod.!Q108</f>
        <v>0</v>
      </c>
      <c r="M204" s="158">
        <f>Prod.!R108</f>
        <v>0</v>
      </c>
      <c r="N204" s="158">
        <f>Prod.!S108</f>
        <v>0</v>
      </c>
      <c r="O204" s="158">
        <f>Prod.!V108</f>
        <v>0</v>
      </c>
      <c r="P204" s="158">
        <f>Prod.!W108</f>
        <v>0</v>
      </c>
      <c r="Q204" s="158">
        <f>Prod.!X108</f>
        <v>0</v>
      </c>
      <c r="R204" s="158">
        <f>Prod.!Y108</f>
        <v>0</v>
      </c>
      <c r="U204" s="1383" t="s">
        <v>230</v>
      </c>
      <c r="V204" s="1383"/>
      <c r="W204" s="1383"/>
      <c r="X204" s="1383"/>
    </row>
    <row r="205" spans="1:24" ht="15.75" customHeight="1" thickBot="1">
      <c r="A205" s="515"/>
      <c r="B205" s="516"/>
      <c r="C205" s="515"/>
      <c r="D205" s="517"/>
      <c r="E205" s="286"/>
      <c r="F205" s="417"/>
      <c r="G205" s="379"/>
      <c r="J205" s="1081">
        <v>110</v>
      </c>
      <c r="K205" s="158">
        <f>Prod.!J106</f>
        <v>0</v>
      </c>
      <c r="L205" s="158">
        <f>Prod.!K106</f>
        <v>0</v>
      </c>
      <c r="M205" s="158">
        <f>Prod.!L106</f>
        <v>0</v>
      </c>
      <c r="N205" s="158">
        <f>Prod.!M106</f>
        <v>0</v>
      </c>
      <c r="U205" s="1384">
        <f>A201</f>
        <v>0</v>
      </c>
      <c r="V205" s="1384"/>
      <c r="W205" s="453" t="s">
        <v>233</v>
      </c>
      <c r="X205" s="454" t="s">
        <v>234</v>
      </c>
    </row>
    <row r="206" spans="1:24" ht="15" customHeight="1">
      <c r="A206" s="515"/>
      <c r="B206" s="516"/>
      <c r="C206" s="515"/>
      <c r="D206" s="517"/>
      <c r="E206" s="286"/>
      <c r="F206" s="417"/>
      <c r="G206" s="379"/>
      <c r="J206" s="1385"/>
      <c r="K206" s="1385"/>
      <c r="L206" s="1385"/>
      <c r="M206" s="1385"/>
      <c r="N206" s="1385"/>
      <c r="O206" s="1385"/>
      <c r="P206" s="455"/>
      <c r="U206" s="231"/>
      <c r="X206" s="456"/>
    </row>
    <row r="207" spans="1:24" ht="15" customHeight="1">
      <c r="A207" s="515"/>
      <c r="B207" s="516"/>
      <c r="C207" s="515"/>
      <c r="D207" s="517"/>
      <c r="E207" s="929"/>
      <c r="F207" s="417"/>
      <c r="G207" s="379"/>
      <c r="J207" s="181"/>
      <c r="K207" s="508"/>
      <c r="L207" s="181"/>
      <c r="M207" s="508"/>
      <c r="N207" s="181"/>
      <c r="O207" s="508"/>
      <c r="U207" s="458">
        <f>E206</f>
        <v>0</v>
      </c>
      <c r="V207" s="282">
        <f>F206</f>
        <v>0</v>
      </c>
      <c r="W207" s="459"/>
      <c r="X207" s="460"/>
    </row>
    <row r="208" spans="1:24" ht="15" customHeight="1">
      <c r="A208" s="515"/>
      <c r="B208" s="516"/>
      <c r="C208" s="515"/>
      <c r="D208" s="517"/>
      <c r="E208" s="286"/>
      <c r="F208" s="417"/>
      <c r="G208" s="1048"/>
      <c r="K208" s="1382"/>
      <c r="L208" s="1382"/>
      <c r="M208" s="1382"/>
      <c r="N208" s="1382"/>
      <c r="O208" s="1382"/>
      <c r="P208" s="1382"/>
      <c r="Q208" s="1382"/>
      <c r="R208" s="1382"/>
      <c r="U208" s="462">
        <f t="shared" ref="U208:U212" si="13">E208</f>
        <v>0</v>
      </c>
      <c r="V208" s="463">
        <f t="shared" ref="V208:V212" si="14">F208</f>
        <v>0</v>
      </c>
      <c r="W208" s="464">
        <f t="shared" ref="W208:W212" si="15">G208</f>
        <v>0</v>
      </c>
      <c r="X208" s="465"/>
    </row>
    <row r="209" spans="1:24" ht="15" customHeight="1">
      <c r="A209" s="515"/>
      <c r="B209" s="516"/>
      <c r="C209" s="515"/>
      <c r="D209" s="517"/>
      <c r="E209" s="286"/>
      <c r="F209" s="417"/>
      <c r="G209" s="1048"/>
      <c r="J209" s="1080" t="s">
        <v>1</v>
      </c>
      <c r="K209" s="466" t="s">
        <v>45</v>
      </c>
      <c r="L209" s="467" t="s">
        <v>46</v>
      </c>
      <c r="M209" s="468" t="s">
        <v>47</v>
      </c>
      <c r="N209" s="467" t="s">
        <v>48</v>
      </c>
      <c r="O209" s="466" t="s">
        <v>45</v>
      </c>
      <c r="P209" s="467" t="s">
        <v>46</v>
      </c>
      <c r="Q209" s="468" t="s">
        <v>47</v>
      </c>
      <c r="R209" s="467" t="s">
        <v>48</v>
      </c>
      <c r="U209" s="374">
        <f t="shared" si="13"/>
        <v>0</v>
      </c>
      <c r="V209" s="282">
        <f t="shared" si="14"/>
        <v>0</v>
      </c>
      <c r="W209" s="469">
        <f t="shared" si="15"/>
        <v>0</v>
      </c>
      <c r="X209" s="465">
        <f>$I$1</f>
        <v>0</v>
      </c>
    </row>
    <row r="210" spans="1:24" ht="15" customHeight="1">
      <c r="A210" s="515"/>
      <c r="B210" s="516"/>
      <c r="C210" s="515"/>
      <c r="D210" s="517"/>
      <c r="E210" s="286"/>
      <c r="F210" s="417"/>
      <c r="G210" s="1048"/>
      <c r="J210" s="1081">
        <v>130</v>
      </c>
      <c r="K210" s="471">
        <f>Prod.!P107</f>
        <v>0</v>
      </c>
      <c r="L210" s="471">
        <f>Prod.!Q107</f>
        <v>0</v>
      </c>
      <c r="M210" s="471">
        <f>Prod.!R107</f>
        <v>0</v>
      </c>
      <c r="N210" s="471">
        <f>Prod.!S107</f>
        <v>0</v>
      </c>
      <c r="O210" s="471">
        <f>Prod.!V107</f>
        <v>0</v>
      </c>
      <c r="P210" s="471">
        <f>Prod.!W107</f>
        <v>0</v>
      </c>
      <c r="Q210" s="471">
        <f>Prod.!X107</f>
        <v>0</v>
      </c>
      <c r="R210" s="471">
        <f>Prod.!Y107</f>
        <v>0</v>
      </c>
      <c r="U210" s="374">
        <f t="shared" si="13"/>
        <v>0</v>
      </c>
      <c r="V210" s="282">
        <f t="shared" si="14"/>
        <v>0</v>
      </c>
      <c r="W210" s="469">
        <f t="shared" si="15"/>
        <v>0</v>
      </c>
      <c r="X210" s="465">
        <f>IFERROR($I$2,0)</f>
        <v>0</v>
      </c>
    </row>
    <row r="211" spans="1:24" ht="15" customHeight="1">
      <c r="A211" s="515"/>
      <c r="B211" s="516"/>
      <c r="C211" s="515"/>
      <c r="D211" s="517"/>
      <c r="E211" s="1085"/>
      <c r="F211" s="517"/>
      <c r="G211" s="1086"/>
      <c r="U211" s="374">
        <f t="shared" si="13"/>
        <v>0</v>
      </c>
      <c r="V211" s="282">
        <f t="shared" si="14"/>
        <v>0</v>
      </c>
      <c r="W211" s="469">
        <f t="shared" si="15"/>
        <v>0</v>
      </c>
      <c r="X211" s="475"/>
    </row>
    <row r="212" spans="1:24" ht="15" customHeight="1">
      <c r="A212" s="515"/>
      <c r="B212" s="516"/>
      <c r="C212" s="515"/>
      <c r="D212" s="517"/>
      <c r="E212" s="1085"/>
      <c r="F212" s="1087"/>
      <c r="G212" s="1088"/>
      <c r="U212" s="374">
        <f t="shared" si="13"/>
        <v>0</v>
      </c>
      <c r="V212" s="282">
        <f t="shared" si="14"/>
        <v>0</v>
      </c>
      <c r="W212" s="469">
        <f t="shared" si="15"/>
        <v>0</v>
      </c>
      <c r="X212" s="520">
        <f>IFERROR($I$3,0)</f>
        <v>0</v>
      </c>
    </row>
    <row r="213" spans="1:24" ht="15" customHeight="1">
      <c r="A213" s="515"/>
      <c r="B213" s="515"/>
      <c r="C213" s="515"/>
      <c r="D213" s="517"/>
      <c r="E213" s="1085"/>
      <c r="F213" s="417"/>
      <c r="G213" s="1089"/>
      <c r="J213" t="s">
        <v>65</v>
      </c>
      <c r="K213" s="181">
        <f>Prod.!C106</f>
        <v>0</v>
      </c>
      <c r="L213" s="181">
        <f>Prod.!D106</f>
        <v>0</v>
      </c>
      <c r="M213" s="181">
        <f>Prod.!E106</f>
        <v>0</v>
      </c>
      <c r="N213" s="160">
        <f>Prod.!F106</f>
        <v>0</v>
      </c>
      <c r="O213" s="160">
        <f>Prod.!G106</f>
        <v>0</v>
      </c>
      <c r="U213" s="374">
        <f>E213</f>
        <v>0</v>
      </c>
      <c r="V213" s="282">
        <f>F213-V216</f>
        <v>0</v>
      </c>
      <c r="W213" s="479"/>
      <c r="X213" s="456"/>
    </row>
    <row r="214" spans="1:24" ht="15" customHeight="1">
      <c r="A214" s="515"/>
      <c r="B214" s="515"/>
      <c r="C214" s="515"/>
      <c r="D214" s="984"/>
      <c r="E214" s="286"/>
      <c r="F214" s="417"/>
      <c r="G214" s="1090"/>
      <c r="J214" t="s">
        <v>67</v>
      </c>
      <c r="K214" s="181">
        <f>Prod.!C107</f>
        <v>0</v>
      </c>
      <c r="L214" s="181">
        <f>Prod.!D107</f>
        <v>0</v>
      </c>
      <c r="M214" s="181">
        <f>Prod.!E107</f>
        <v>0</v>
      </c>
      <c r="N214" s="160">
        <f>Prod.!F107</f>
        <v>0</v>
      </c>
      <c r="O214" s="160">
        <f>Prod.!G107</f>
        <v>0</v>
      </c>
      <c r="T214" s="160"/>
      <c r="U214" s="374">
        <f>E214</f>
        <v>0</v>
      </c>
      <c r="V214" s="282">
        <f>F214</f>
        <v>0</v>
      </c>
      <c r="W214" s="479"/>
      <c r="X214" s="456"/>
    </row>
    <row r="215" spans="1:24" ht="15.75" customHeight="1" thickBot="1">
      <c r="A215" s="515"/>
      <c r="B215" s="515"/>
      <c r="C215" s="515"/>
      <c r="D215" s="517"/>
      <c r="E215" s="286"/>
      <c r="F215" s="417"/>
      <c r="G215" s="379"/>
      <c r="U215" s="374">
        <f>E215</f>
        <v>0</v>
      </c>
      <c r="V215" s="282">
        <f>F215</f>
        <v>0</v>
      </c>
      <c r="W215" s="479"/>
      <c r="X215" s="456"/>
    </row>
    <row r="216" spans="1:24" ht="14.25" customHeight="1" thickBot="1">
      <c r="A216" s="515"/>
      <c r="B216" s="515"/>
      <c r="C216" s="515"/>
      <c r="D216" s="517"/>
      <c r="E216" s="286"/>
      <c r="F216" s="417"/>
      <c r="G216" s="379"/>
      <c r="L216" s="1381" t="s">
        <v>7</v>
      </c>
      <c r="M216" s="1381"/>
      <c r="N216" s="1381"/>
      <c r="U216" s="374">
        <f>E220</f>
        <v>0</v>
      </c>
      <c r="V216" s="282">
        <f>F220</f>
        <v>0</v>
      </c>
      <c r="W216" s="479"/>
      <c r="X216" s="456"/>
    </row>
    <row r="217" spans="1:24" ht="19.5" customHeight="1" thickBot="1">
      <c r="A217" s="515"/>
      <c r="B217" s="515"/>
      <c r="C217" s="515"/>
      <c r="D217" s="517"/>
      <c r="E217" s="286"/>
      <c r="F217" s="417"/>
      <c r="G217" s="379"/>
      <c r="K217" s="163">
        <v>160</v>
      </c>
      <c r="L217" s="1381"/>
      <c r="M217" s="1381"/>
      <c r="N217" s="1381"/>
      <c r="U217" s="483" t="s">
        <v>255</v>
      </c>
      <c r="V217" s="484">
        <f>V207+V208+V209+V210+V211+V212+V213+V214+V215+V216</f>
        <v>0</v>
      </c>
      <c r="W217" s="485"/>
      <c r="X217" s="454"/>
    </row>
    <row r="218" spans="1:24" ht="18" customHeight="1" thickBot="1">
      <c r="A218" s="515"/>
      <c r="B218" s="515"/>
      <c r="C218" s="515"/>
      <c r="D218" s="517"/>
      <c r="E218" s="286"/>
      <c r="F218" s="417"/>
      <c r="G218" s="379"/>
      <c r="L218" s="1381"/>
      <c r="M218" s="1381"/>
      <c r="N218" s="1381"/>
    </row>
    <row r="219" spans="1:24" ht="15" customHeight="1">
      <c r="A219" s="515"/>
      <c r="B219" s="515"/>
      <c r="C219" s="515"/>
      <c r="D219" s="517"/>
      <c r="E219" s="286"/>
      <c r="F219" s="417"/>
      <c r="G219" s="417"/>
      <c r="L219" s="175">
        <f>Prod.!AP103</f>
        <v>6</v>
      </c>
      <c r="M219" s="176">
        <f>Prod.!AQ103</f>
        <v>0</v>
      </c>
      <c r="N219" s="486">
        <f>Prod.!AR103</f>
        <v>0</v>
      </c>
    </row>
    <row r="220" spans="1:24" ht="15" customHeight="1">
      <c r="A220" s="515"/>
      <c r="B220" s="515"/>
      <c r="C220" s="515"/>
      <c r="D220" s="984"/>
      <c r="E220" s="286"/>
      <c r="F220" s="417"/>
      <c r="G220" s="1091"/>
      <c r="L220" s="170">
        <f>Prod.!AP104</f>
        <v>5</v>
      </c>
      <c r="M220" s="171">
        <f>Prod.!AQ104</f>
        <v>0</v>
      </c>
      <c r="N220" s="100">
        <f>Prod.!AR104</f>
        <v>0</v>
      </c>
    </row>
    <row r="221" spans="1:24" ht="15" customHeight="1">
      <c r="A221" s="515"/>
      <c r="B221" s="516"/>
      <c r="C221" s="515"/>
      <c r="D221" s="517"/>
      <c r="E221" s="286"/>
      <c r="F221" s="277"/>
      <c r="G221" s="160"/>
      <c r="L221" s="170">
        <f>Prod.!AP105</f>
        <v>4</v>
      </c>
      <c r="M221" s="171">
        <f>Prod.!AQ105</f>
        <v>0</v>
      </c>
      <c r="N221" s="100">
        <f>Prod.!AR105</f>
        <v>0</v>
      </c>
    </row>
    <row r="222" spans="1:24" ht="15.75" customHeight="1">
      <c r="A222" s="515"/>
      <c r="B222" s="516"/>
      <c r="C222" s="515"/>
      <c r="D222" s="517"/>
      <c r="E222" s="1287"/>
      <c r="F222" s="1287"/>
      <c r="G222" s="379"/>
      <c r="L222" s="170">
        <f>Prod.!AP106</f>
        <v>3</v>
      </c>
      <c r="M222" s="171">
        <f>Prod.!AQ106</f>
        <v>0</v>
      </c>
      <c r="N222" s="100">
        <f>Prod.!AR106</f>
        <v>0</v>
      </c>
      <c r="O222" s="293" t="e">
        <f>N223/((L222*M222)+(L221*M221)+(L220*M220)+(L219*M219))</f>
        <v>#DIV/0!</v>
      </c>
    </row>
    <row r="223" spans="1:24" ht="15.75" customHeight="1">
      <c r="A223" s="515"/>
      <c r="B223" s="515"/>
      <c r="C223" s="515"/>
      <c r="D223" s="517"/>
      <c r="E223" s="984"/>
      <c r="F223" s="1044"/>
      <c r="G223" s="417"/>
      <c r="L223" s="173"/>
      <c r="M223" s="174"/>
      <c r="N223" s="491">
        <f>Prod.!AR107</f>
        <v>0</v>
      </c>
    </row>
    <row r="224" spans="1:24" ht="15" customHeight="1">
      <c r="A224" s="515"/>
      <c r="B224" s="516"/>
      <c r="C224" s="515"/>
      <c r="D224" s="517"/>
      <c r="E224" s="984"/>
      <c r="F224" s="1044"/>
      <c r="G224" s="417"/>
    </row>
    <row r="225" spans="1:15" ht="15" customHeight="1">
      <c r="A225" s="515"/>
      <c r="B225" s="516"/>
      <c r="C225" s="515"/>
      <c r="D225" s="517"/>
      <c r="E225" s="984"/>
      <c r="F225" s="1044"/>
      <c r="G225" s="417"/>
    </row>
    <row r="226" spans="1:15" ht="14.25" customHeight="1">
      <c r="A226" s="515"/>
      <c r="B226" s="515"/>
      <c r="C226" s="515"/>
      <c r="D226" s="517"/>
      <c r="E226" s="984"/>
      <c r="F226" s="1044"/>
      <c r="G226" s="417"/>
    </row>
    <row r="227" spans="1:15" ht="15" customHeight="1">
      <c r="A227" s="515"/>
      <c r="B227" s="516"/>
      <c r="C227" s="515"/>
      <c r="D227" s="517"/>
      <c r="E227" s="984"/>
      <c r="F227" s="172"/>
      <c r="G227" s="417"/>
      <c r="L227" s="1381" t="s">
        <v>7</v>
      </c>
      <c r="M227" s="1381"/>
      <c r="N227" s="1381"/>
    </row>
    <row r="228" spans="1:15" ht="15" customHeight="1">
      <c r="A228" s="515"/>
      <c r="B228" s="516"/>
      <c r="C228" s="515"/>
      <c r="D228" s="517"/>
      <c r="E228" s="984"/>
      <c r="F228" s="493"/>
      <c r="G228" s="417"/>
      <c r="K228" s="163">
        <v>130</v>
      </c>
      <c r="L228" s="1381"/>
      <c r="M228" s="1381"/>
      <c r="N228" s="1381"/>
    </row>
    <row r="229" spans="1:15" ht="15" customHeight="1">
      <c r="A229" s="515"/>
      <c r="B229" s="516"/>
      <c r="C229" s="515"/>
      <c r="D229" s="517"/>
      <c r="E229" s="984"/>
      <c r="F229" s="517"/>
      <c r="G229" s="160"/>
      <c r="L229" s="1381"/>
      <c r="M229" s="1381"/>
      <c r="N229" s="1381"/>
    </row>
    <row r="230" spans="1:15" ht="15" customHeight="1">
      <c r="A230" s="515"/>
      <c r="B230" s="516"/>
      <c r="C230" s="515"/>
      <c r="D230" s="517"/>
      <c r="E230" s="984"/>
      <c r="F230" s="517"/>
      <c r="L230" s="175">
        <f>Prod.!AP95</f>
        <v>6</v>
      </c>
      <c r="M230" s="176">
        <f>Prod.!AQ95</f>
        <v>0</v>
      </c>
      <c r="N230" s="486">
        <f>Prod.!AR95</f>
        <v>0</v>
      </c>
    </row>
    <row r="231" spans="1:15" ht="15" customHeight="1">
      <c r="A231" s="515"/>
      <c r="B231" s="515"/>
      <c r="C231" s="515"/>
      <c r="D231" s="517"/>
      <c r="E231" s="984"/>
      <c r="F231" s="254"/>
      <c r="L231" s="170">
        <f>Prod.!AP96</f>
        <v>5</v>
      </c>
      <c r="M231" s="171">
        <f>Prod.!AQ96</f>
        <v>0</v>
      </c>
      <c r="N231" s="100">
        <f>Prod.!AR96</f>
        <v>0</v>
      </c>
      <c r="O231" s="160"/>
    </row>
    <row r="232" spans="1:15" ht="15" customHeight="1">
      <c r="A232" s="515"/>
      <c r="B232" s="515"/>
      <c r="C232" s="515"/>
      <c r="D232" s="517"/>
      <c r="E232" s="984"/>
      <c r="F232" s="254"/>
      <c r="L232" s="170">
        <f>Prod.!AP97</f>
        <v>4</v>
      </c>
      <c r="M232" s="171">
        <f>Prod.!AQ97</f>
        <v>0</v>
      </c>
      <c r="N232" s="100">
        <f>Prod.!AR97</f>
        <v>0</v>
      </c>
      <c r="O232" s="160"/>
    </row>
    <row r="233" spans="1:15" ht="15.75" customHeight="1">
      <c r="A233" s="515"/>
      <c r="B233" s="515"/>
      <c r="C233" s="515"/>
      <c r="D233" s="517"/>
      <c r="E233" s="984"/>
      <c r="F233" s="536"/>
      <c r="L233" s="170">
        <f>Prod.!AP98</f>
        <v>3</v>
      </c>
      <c r="M233" s="171">
        <f>Prod.!AQ98</f>
        <v>0</v>
      </c>
      <c r="N233" s="100">
        <f>Prod.!AR98</f>
        <v>0</v>
      </c>
      <c r="O233" t="e">
        <f>N234/((L233*M233)+(L232*M232)+(L231*M231)+(L230*M230))</f>
        <v>#DIV/0!</v>
      </c>
    </row>
    <row r="234" spans="1:15" ht="15.75" customHeight="1">
      <c r="A234" s="515"/>
      <c r="B234" s="515"/>
      <c r="C234" s="515"/>
      <c r="D234" s="434"/>
      <c r="E234" s="984"/>
      <c r="F234" s="1092"/>
      <c r="L234" s="173"/>
      <c r="M234" s="174"/>
      <c r="N234" s="491">
        <f>Prod.!AR99</f>
        <v>0</v>
      </c>
      <c r="O234" s="160"/>
    </row>
    <row r="235" spans="1:15" ht="15" customHeight="1">
      <c r="A235" s="984"/>
      <c r="B235" s="984"/>
      <c r="C235" s="984"/>
      <c r="D235" s="984"/>
      <c r="E235" s="515"/>
      <c r="F235" s="517"/>
      <c r="G235" s="1091"/>
    </row>
    <row r="236" spans="1:15" ht="15" customHeight="1">
      <c r="A236" s="984"/>
      <c r="B236" s="1093"/>
      <c r="C236" s="1093"/>
      <c r="D236" s="984"/>
      <c r="E236" s="286"/>
      <c r="F236" s="417"/>
      <c r="G236" s="253"/>
    </row>
    <row r="237" spans="1:15" ht="15" customHeight="1">
      <c r="A237" s="984"/>
      <c r="B237" s="1093"/>
      <c r="C237" s="1093"/>
      <c r="D237" s="984"/>
      <c r="E237" s="286"/>
      <c r="F237" s="417"/>
      <c r="G237" s="253"/>
    </row>
    <row r="238" spans="1:15" ht="15" customHeight="1">
      <c r="A238" s="984"/>
      <c r="B238" s="1093"/>
      <c r="C238" s="1093"/>
      <c r="D238" s="984"/>
      <c r="E238" s="286"/>
      <c r="F238" s="417"/>
      <c r="G238" s="253"/>
    </row>
    <row r="239" spans="1:15" ht="15" customHeight="1">
      <c r="A239" s="984"/>
      <c r="B239" s="1051"/>
      <c r="C239" s="1051"/>
      <c r="D239" s="984"/>
      <c r="E239" s="286"/>
      <c r="F239" s="417"/>
      <c r="G239" s="253"/>
    </row>
    <row r="240" spans="1:15" ht="15" customHeight="1">
      <c r="A240" s="984"/>
      <c r="B240" s="1051"/>
      <c r="C240" s="1051"/>
      <c r="D240" s="984"/>
      <c r="E240" s="286"/>
      <c r="F240" s="417"/>
    </row>
    <row r="241" spans="1:24" ht="15" customHeight="1">
      <c r="A241" s="1084"/>
      <c r="B241" s="515"/>
      <c r="H241" s="180"/>
    </row>
    <row r="242" spans="1:24" ht="15" customHeight="1">
      <c r="A242" s="984"/>
      <c r="B242" s="984"/>
      <c r="D242" s="434"/>
      <c r="E242" s="434"/>
      <c r="H242" s="180"/>
      <c r="J242" s="1079" t="s">
        <v>296</v>
      </c>
      <c r="K242" s="1382"/>
      <c r="L242" s="1382"/>
      <c r="M242" s="1382"/>
      <c r="N242" s="1382"/>
      <c r="O242" s="1382"/>
      <c r="P242" s="1382"/>
      <c r="Q242" s="1382"/>
      <c r="R242" s="1382"/>
    </row>
    <row r="243" spans="1:24" ht="15.75" customHeight="1" thickBot="1">
      <c r="A243" s="984"/>
      <c r="B243" s="1051"/>
      <c r="H243" s="180"/>
      <c r="J243" s="1080" t="s">
        <v>1</v>
      </c>
      <c r="K243" s="466" t="s">
        <v>45</v>
      </c>
      <c r="L243" s="467" t="s">
        <v>46</v>
      </c>
      <c r="M243" s="468" t="s">
        <v>47</v>
      </c>
      <c r="N243" s="467" t="s">
        <v>48</v>
      </c>
      <c r="O243" s="466" t="s">
        <v>45</v>
      </c>
      <c r="P243" s="467" t="s">
        <v>46</v>
      </c>
      <c r="Q243" s="468" t="s">
        <v>47</v>
      </c>
      <c r="R243" s="467" t="s">
        <v>48</v>
      </c>
    </row>
    <row r="244" spans="1:24" ht="15.75" customHeight="1" thickBot="1">
      <c r="A244" s="984"/>
      <c r="B244" s="984"/>
      <c r="C244" s="984"/>
      <c r="D244" s="984"/>
      <c r="E244" s="984"/>
      <c r="F244" s="417"/>
      <c r="G244" s="379"/>
      <c r="J244" s="1081">
        <v>160</v>
      </c>
      <c r="K244" s="158">
        <f>Prod.!P126</f>
        <v>0</v>
      </c>
      <c r="L244" s="158">
        <f>Prod.!Q126</f>
        <v>0</v>
      </c>
      <c r="M244" s="158">
        <f>Prod.!R126</f>
        <v>0</v>
      </c>
      <c r="N244" s="158">
        <f>Prod.!S126</f>
        <v>0</v>
      </c>
      <c r="O244" s="158">
        <f>Prod.!V126</f>
        <v>0</v>
      </c>
      <c r="P244" s="158">
        <f>Prod.!W126</f>
        <v>0</v>
      </c>
      <c r="Q244" s="158">
        <f>Prod.!X126</f>
        <v>0</v>
      </c>
      <c r="R244" s="158">
        <f>Prod.!Y126</f>
        <v>0</v>
      </c>
      <c r="U244" s="1383" t="s">
        <v>230</v>
      </c>
      <c r="V244" s="1383"/>
      <c r="W244" s="1383"/>
      <c r="X244" s="1383"/>
    </row>
    <row r="245" spans="1:24" ht="15.75" customHeight="1" thickBot="1">
      <c r="A245" s="515"/>
      <c r="B245" s="516"/>
      <c r="C245" s="515"/>
      <c r="D245" s="517"/>
      <c r="E245" s="286"/>
      <c r="F245" s="417"/>
      <c r="G245" s="379"/>
      <c r="J245" s="1081">
        <v>110</v>
      </c>
      <c r="K245" s="158">
        <f>Prod.!J124</f>
        <v>0</v>
      </c>
      <c r="L245" s="158">
        <f>Prod.!K124</f>
        <v>0</v>
      </c>
      <c r="M245" s="158">
        <f>Prod.!L124</f>
        <v>0</v>
      </c>
      <c r="N245" s="158">
        <f>Prod.!M124</f>
        <v>0</v>
      </c>
      <c r="U245" s="1384">
        <f>A241</f>
        <v>0</v>
      </c>
      <c r="V245" s="1384"/>
      <c r="W245" s="453" t="s">
        <v>233</v>
      </c>
      <c r="X245" s="454" t="s">
        <v>234</v>
      </c>
    </row>
    <row r="246" spans="1:24" ht="15" customHeight="1">
      <c r="A246" s="515"/>
      <c r="B246" s="516"/>
      <c r="C246" s="515"/>
      <c r="D246" s="517"/>
      <c r="E246" s="286"/>
      <c r="F246" s="417"/>
      <c r="G246" s="379"/>
      <c r="J246" s="1385"/>
      <c r="K246" s="1385"/>
      <c r="L246" s="1385"/>
      <c r="M246" s="1385"/>
      <c r="N246" s="1385"/>
      <c r="O246" s="1385"/>
      <c r="P246" s="455"/>
      <c r="U246" s="231"/>
      <c r="X246" s="456"/>
    </row>
    <row r="247" spans="1:24" ht="15" customHeight="1">
      <c r="A247" s="515"/>
      <c r="B247" s="516"/>
      <c r="C247" s="515"/>
      <c r="D247" s="517"/>
      <c r="E247" s="929"/>
      <c r="F247" s="417"/>
      <c r="G247" s="379"/>
      <c r="J247" s="181"/>
      <c r="K247" s="508"/>
      <c r="L247" s="181"/>
      <c r="M247" s="508"/>
      <c r="N247" s="181"/>
      <c r="O247" s="508"/>
      <c r="U247" s="458">
        <f>E246</f>
        <v>0</v>
      </c>
      <c r="V247" s="282">
        <f>F246</f>
        <v>0</v>
      </c>
      <c r="W247" s="459"/>
      <c r="X247" s="460"/>
    </row>
    <row r="248" spans="1:24" ht="15" customHeight="1">
      <c r="A248" s="515"/>
      <c r="B248" s="516"/>
      <c r="C248" s="515"/>
      <c r="D248" s="517"/>
      <c r="E248" s="286"/>
      <c r="F248" s="417"/>
      <c r="G248" s="1048"/>
      <c r="K248" s="1382"/>
      <c r="L248" s="1382"/>
      <c r="M248" s="1382"/>
      <c r="N248" s="1382"/>
      <c r="O248" s="1382"/>
      <c r="P248" s="1382"/>
      <c r="Q248" s="1382"/>
      <c r="R248" s="1382"/>
      <c r="U248" s="462">
        <f t="shared" ref="U248:U252" si="16">E248</f>
        <v>0</v>
      </c>
      <c r="V248" s="463">
        <f t="shared" ref="V248:V252" si="17">F248</f>
        <v>0</v>
      </c>
      <c r="W248" s="464">
        <f t="shared" ref="W248:W252" si="18">G248</f>
        <v>0</v>
      </c>
      <c r="X248" s="465"/>
    </row>
    <row r="249" spans="1:24" ht="15" customHeight="1">
      <c r="A249" s="515"/>
      <c r="B249" s="516"/>
      <c r="C249" s="515"/>
      <c r="D249" s="517"/>
      <c r="E249" s="286"/>
      <c r="F249" s="417"/>
      <c r="G249" s="1048"/>
      <c r="J249" s="1080" t="s">
        <v>1</v>
      </c>
      <c r="K249" s="466" t="s">
        <v>45</v>
      </c>
      <c r="L249" s="467" t="s">
        <v>46</v>
      </c>
      <c r="M249" s="468" t="s">
        <v>47</v>
      </c>
      <c r="N249" s="467" t="s">
        <v>48</v>
      </c>
      <c r="O249" s="466" t="s">
        <v>45</v>
      </c>
      <c r="P249" s="467" t="s">
        <v>46</v>
      </c>
      <c r="Q249" s="468" t="s">
        <v>47</v>
      </c>
      <c r="R249" s="467" t="s">
        <v>48</v>
      </c>
      <c r="U249" s="374">
        <f t="shared" si="16"/>
        <v>0</v>
      </c>
      <c r="V249" s="282">
        <f t="shared" si="17"/>
        <v>0</v>
      </c>
      <c r="W249" s="469">
        <f t="shared" si="18"/>
        <v>0</v>
      </c>
      <c r="X249" s="465">
        <f>$I$1</f>
        <v>0</v>
      </c>
    </row>
    <row r="250" spans="1:24" ht="15" customHeight="1">
      <c r="A250" s="515"/>
      <c r="B250" s="516"/>
      <c r="C250" s="515"/>
      <c r="D250" s="517"/>
      <c r="E250" s="286"/>
      <c r="F250" s="417"/>
      <c r="G250" s="1048"/>
      <c r="J250" s="1081">
        <v>130</v>
      </c>
      <c r="K250" s="471">
        <f>Prod.!P125</f>
        <v>0</v>
      </c>
      <c r="L250" s="471">
        <f>Prod.!Q125</f>
        <v>0</v>
      </c>
      <c r="M250" s="471">
        <f>Prod.!R125</f>
        <v>0</v>
      </c>
      <c r="N250" s="471">
        <f>Prod.!S125</f>
        <v>0</v>
      </c>
      <c r="O250" s="471">
        <f>Prod.!V125</f>
        <v>0</v>
      </c>
      <c r="P250" s="471">
        <f>Prod.!W125</f>
        <v>0</v>
      </c>
      <c r="Q250" s="471">
        <f>Prod.!X125</f>
        <v>0</v>
      </c>
      <c r="R250" s="471">
        <f>Prod.!Y125</f>
        <v>0</v>
      </c>
      <c r="U250" s="374">
        <f t="shared" si="16"/>
        <v>0</v>
      </c>
      <c r="V250" s="282">
        <f t="shared" si="17"/>
        <v>0</v>
      </c>
      <c r="W250" s="469">
        <f t="shared" si="18"/>
        <v>0</v>
      </c>
      <c r="X250" s="465">
        <f>IFERROR($I$2,0)</f>
        <v>0</v>
      </c>
    </row>
    <row r="251" spans="1:24" ht="15" customHeight="1">
      <c r="A251" s="515"/>
      <c r="B251" s="516"/>
      <c r="C251" s="515"/>
      <c r="D251" s="517"/>
      <c r="E251" s="1085"/>
      <c r="F251" s="517"/>
      <c r="G251" s="1086"/>
      <c r="U251" s="374">
        <f t="shared" si="16"/>
        <v>0</v>
      </c>
      <c r="V251" s="282">
        <f t="shared" si="17"/>
        <v>0</v>
      </c>
      <c r="W251" s="469">
        <f t="shared" si="18"/>
        <v>0</v>
      </c>
      <c r="X251" s="475"/>
    </row>
    <row r="252" spans="1:24" ht="15" customHeight="1">
      <c r="A252" s="515"/>
      <c r="B252" s="516"/>
      <c r="C252" s="515"/>
      <c r="D252" s="517"/>
      <c r="E252" s="1085"/>
      <c r="F252" s="1087"/>
      <c r="G252" s="1088"/>
      <c r="U252" s="374">
        <f t="shared" si="16"/>
        <v>0</v>
      </c>
      <c r="V252" s="282">
        <f t="shared" si="17"/>
        <v>0</v>
      </c>
      <c r="W252" s="469">
        <f t="shared" si="18"/>
        <v>0</v>
      </c>
      <c r="X252" s="520">
        <f>IFERROR($I$3,0)</f>
        <v>0</v>
      </c>
    </row>
    <row r="253" spans="1:24" ht="15" customHeight="1">
      <c r="A253" s="515"/>
      <c r="B253" s="515"/>
      <c r="C253" s="515"/>
      <c r="D253" s="517"/>
      <c r="E253" s="1085"/>
      <c r="F253" s="417"/>
      <c r="G253" s="1089"/>
      <c r="J253" t="s">
        <v>65</v>
      </c>
      <c r="K253" s="181">
        <f>Prod.!C124</f>
        <v>0</v>
      </c>
      <c r="L253" s="181">
        <f>Prod.!D124</f>
        <v>0</v>
      </c>
      <c r="M253" s="181">
        <f>Prod.!E124</f>
        <v>0</v>
      </c>
      <c r="N253" s="160">
        <f>Prod.!F124</f>
        <v>0</v>
      </c>
      <c r="O253" s="160">
        <f>Prod.!G124</f>
        <v>0</v>
      </c>
      <c r="U253" s="374">
        <f>E253</f>
        <v>0</v>
      </c>
      <c r="V253" s="282">
        <f>F253-V256</f>
        <v>0</v>
      </c>
      <c r="W253" s="479"/>
      <c r="X253" s="456"/>
    </row>
    <row r="254" spans="1:24" ht="15" customHeight="1">
      <c r="A254" s="515"/>
      <c r="B254" s="515"/>
      <c r="C254" s="515"/>
      <c r="D254" s="984"/>
      <c r="E254" s="286"/>
      <c r="F254" s="417"/>
      <c r="G254" s="1090"/>
      <c r="J254" t="s">
        <v>67</v>
      </c>
      <c r="K254" s="181">
        <f>Prod.!C125</f>
        <v>0</v>
      </c>
      <c r="L254" s="181">
        <f>Prod.!D125</f>
        <v>0</v>
      </c>
      <c r="M254" s="181">
        <f>Prod.!E125</f>
        <v>0</v>
      </c>
      <c r="N254" s="160">
        <f>Prod.!F125</f>
        <v>0</v>
      </c>
      <c r="O254" s="160">
        <f>Prod.!G125</f>
        <v>0</v>
      </c>
      <c r="T254" s="160"/>
      <c r="U254" s="374">
        <f>E254</f>
        <v>0</v>
      </c>
      <c r="V254" s="282">
        <f>F254</f>
        <v>0</v>
      </c>
      <c r="W254" s="479"/>
      <c r="X254" s="456"/>
    </row>
    <row r="255" spans="1:24" ht="15.75" customHeight="1" thickBot="1">
      <c r="A255" s="515"/>
      <c r="B255" s="515"/>
      <c r="C255" s="515"/>
      <c r="D255" s="517"/>
      <c r="E255" s="286"/>
      <c r="F255" s="417"/>
      <c r="G255" s="379"/>
      <c r="U255" s="374">
        <f>E255</f>
        <v>0</v>
      </c>
      <c r="V255" s="282">
        <f>F255</f>
        <v>0</v>
      </c>
      <c r="W255" s="479"/>
      <c r="X255" s="456"/>
    </row>
    <row r="256" spans="1:24" ht="14.25" customHeight="1" thickBot="1">
      <c r="A256" s="515"/>
      <c r="B256" s="515"/>
      <c r="C256" s="515"/>
      <c r="D256" s="517"/>
      <c r="E256" s="286"/>
      <c r="F256" s="417"/>
      <c r="G256" s="379"/>
      <c r="L256" s="1381" t="s">
        <v>7</v>
      </c>
      <c r="M256" s="1381"/>
      <c r="N256" s="1381"/>
      <c r="U256" s="374">
        <f>E260</f>
        <v>0</v>
      </c>
      <c r="V256" s="282">
        <f>F260</f>
        <v>0</v>
      </c>
      <c r="W256" s="479"/>
      <c r="X256" s="456"/>
    </row>
    <row r="257" spans="1:24" ht="19.5" customHeight="1" thickBot="1">
      <c r="A257" s="515"/>
      <c r="B257" s="515"/>
      <c r="C257" s="515"/>
      <c r="D257" s="517"/>
      <c r="E257" s="286"/>
      <c r="F257" s="417"/>
      <c r="G257" s="379"/>
      <c r="K257" s="163">
        <v>160</v>
      </c>
      <c r="L257" s="1381"/>
      <c r="M257" s="1381"/>
      <c r="N257" s="1381"/>
      <c r="U257" s="483" t="s">
        <v>255</v>
      </c>
      <c r="V257" s="484">
        <f>V247+V248+V249+V250+V251+V252+V253+V254+V255+V256</f>
        <v>0</v>
      </c>
      <c r="W257" s="485"/>
      <c r="X257" s="454"/>
    </row>
    <row r="258" spans="1:24" ht="18" customHeight="1" thickBot="1">
      <c r="A258" s="515"/>
      <c r="B258" s="515"/>
      <c r="C258" s="515"/>
      <c r="D258" s="517"/>
      <c r="E258" s="286"/>
      <c r="F258" s="417"/>
      <c r="G258" s="379"/>
      <c r="L258" s="1381"/>
      <c r="M258" s="1381"/>
      <c r="N258" s="1381"/>
    </row>
    <row r="259" spans="1:24" ht="15" customHeight="1">
      <c r="A259" s="515"/>
      <c r="B259" s="515"/>
      <c r="C259" s="515"/>
      <c r="D259" s="517"/>
      <c r="E259" s="286"/>
      <c r="F259" s="417"/>
      <c r="G259" s="417"/>
      <c r="L259" s="175">
        <f>Prod.!AP121</f>
        <v>6</v>
      </c>
      <c r="M259" s="176">
        <f>Prod.!AQ121</f>
        <v>0</v>
      </c>
      <c r="N259" s="486">
        <f>Prod.!AR121</f>
        <v>0</v>
      </c>
    </row>
    <row r="260" spans="1:24" ht="15" customHeight="1">
      <c r="A260" s="515"/>
      <c r="B260" s="515"/>
      <c r="C260" s="515"/>
      <c r="D260" s="984"/>
      <c r="E260" s="286"/>
      <c r="F260" s="417"/>
      <c r="G260" s="1091"/>
      <c r="L260" s="170">
        <f>Prod.!AP122</f>
        <v>5</v>
      </c>
      <c r="M260" s="171">
        <f>Prod.!AQ122</f>
        <v>0</v>
      </c>
      <c r="N260" s="100">
        <f>Prod.!AR122</f>
        <v>0</v>
      </c>
    </row>
    <row r="261" spans="1:24" ht="15" customHeight="1">
      <c r="A261" s="515"/>
      <c r="B261" s="516"/>
      <c r="C261" s="515"/>
      <c r="D261" s="517"/>
      <c r="E261" s="286"/>
      <c r="F261" s="277"/>
      <c r="G261" s="160"/>
      <c r="L261" s="170">
        <f>Prod.!AP123</f>
        <v>4</v>
      </c>
      <c r="M261" s="171">
        <f>Prod.!AQ123</f>
        <v>0</v>
      </c>
      <c r="N261" s="100">
        <f>Prod.!AR123</f>
        <v>0</v>
      </c>
    </row>
    <row r="262" spans="1:24" ht="15.75" customHeight="1">
      <c r="A262" s="515"/>
      <c r="B262" s="516"/>
      <c r="C262" s="515"/>
      <c r="D262" s="517"/>
      <c r="E262" s="1287"/>
      <c r="F262" s="1287"/>
      <c r="G262" s="379"/>
      <c r="L262" s="170">
        <f>Prod.!AP124</f>
        <v>3</v>
      </c>
      <c r="M262" s="171">
        <f>Prod.!AQ124</f>
        <v>0</v>
      </c>
      <c r="N262" s="100">
        <f>Prod.!AR124</f>
        <v>0</v>
      </c>
      <c r="O262" s="293" t="e">
        <f>N263/((L262*M262)+(L261*M261)+(L260*M260)+(L259*M259))</f>
        <v>#DIV/0!</v>
      </c>
    </row>
    <row r="263" spans="1:24" ht="15.75" customHeight="1">
      <c r="A263" s="515"/>
      <c r="B263" s="515"/>
      <c r="C263" s="515"/>
      <c r="D263" s="517"/>
      <c r="E263" s="984"/>
      <c r="F263" s="1044"/>
      <c r="G263" s="417"/>
      <c r="L263" s="173"/>
      <c r="M263" s="174"/>
      <c r="N263" s="491">
        <f>Prod.!AR125</f>
        <v>0</v>
      </c>
    </row>
    <row r="264" spans="1:24" ht="15" customHeight="1">
      <c r="A264" s="515"/>
      <c r="B264" s="516"/>
      <c r="C264" s="515"/>
      <c r="D264" s="517"/>
      <c r="E264" s="984"/>
      <c r="F264" s="1044"/>
      <c r="G264" s="417"/>
    </row>
    <row r="265" spans="1:24" ht="15" customHeight="1">
      <c r="A265" s="515"/>
      <c r="B265" s="516"/>
      <c r="C265" s="515"/>
      <c r="D265" s="517"/>
      <c r="E265" s="984"/>
      <c r="F265" s="1044"/>
      <c r="G265" s="417"/>
    </row>
    <row r="266" spans="1:24" ht="14.25" customHeight="1">
      <c r="A266" s="515"/>
      <c r="B266" s="515"/>
      <c r="C266" s="515"/>
      <c r="D266" s="517"/>
      <c r="E266" s="984"/>
      <c r="F266" s="1044"/>
      <c r="G266" s="417"/>
    </row>
    <row r="267" spans="1:24" ht="15" customHeight="1">
      <c r="A267" s="515"/>
      <c r="B267" s="516"/>
      <c r="C267" s="515"/>
      <c r="D267" s="517"/>
      <c r="E267" s="984"/>
      <c r="F267" s="172"/>
      <c r="G267" s="417"/>
      <c r="L267" s="1381" t="s">
        <v>7</v>
      </c>
      <c r="M267" s="1381"/>
      <c r="N267" s="1381"/>
    </row>
    <row r="268" spans="1:24" ht="15" customHeight="1">
      <c r="A268" s="515"/>
      <c r="B268" s="516"/>
      <c r="C268" s="515"/>
      <c r="D268" s="517"/>
      <c r="E268" s="984"/>
      <c r="F268" s="493"/>
      <c r="G268" s="417"/>
      <c r="K268" s="163">
        <v>130</v>
      </c>
      <c r="L268" s="1381"/>
      <c r="M268" s="1381"/>
      <c r="N268" s="1381"/>
    </row>
    <row r="269" spans="1:24" ht="15" customHeight="1">
      <c r="A269" s="515"/>
      <c r="B269" s="516"/>
      <c r="C269" s="515"/>
      <c r="D269" s="517"/>
      <c r="E269" s="984"/>
      <c r="F269" s="517"/>
      <c r="G269" s="160"/>
      <c r="L269" s="1381"/>
      <c r="M269" s="1381"/>
      <c r="N269" s="1381"/>
    </row>
    <row r="270" spans="1:24" ht="15" customHeight="1">
      <c r="A270" s="515"/>
      <c r="B270" s="516"/>
      <c r="C270" s="515"/>
      <c r="D270" s="517"/>
      <c r="E270" s="984"/>
      <c r="F270" s="517"/>
      <c r="L270" s="175">
        <f>Prod.!AP113</f>
        <v>6</v>
      </c>
      <c r="M270" s="176">
        <f>Prod.!AQ113</f>
        <v>0</v>
      </c>
      <c r="N270" s="486">
        <f>Prod.!AR113</f>
        <v>0</v>
      </c>
    </row>
    <row r="271" spans="1:24" ht="15" customHeight="1">
      <c r="A271" s="515"/>
      <c r="B271" s="515"/>
      <c r="C271" s="515"/>
      <c r="D271" s="517"/>
      <c r="E271" s="984"/>
      <c r="F271" s="254"/>
      <c r="L271" s="170">
        <f>Prod.!AP114</f>
        <v>5</v>
      </c>
      <c r="M271" s="171">
        <f>Prod.!AQ114</f>
        <v>0</v>
      </c>
      <c r="N271" s="100">
        <f>Prod.!AR114</f>
        <v>0</v>
      </c>
      <c r="O271" s="160"/>
    </row>
    <row r="272" spans="1:24" ht="15" customHeight="1">
      <c r="A272" s="515"/>
      <c r="B272" s="515"/>
      <c r="C272" s="515"/>
      <c r="D272" s="517"/>
      <c r="E272" s="984"/>
      <c r="F272" s="254"/>
      <c r="L272" s="170">
        <f>Prod.!AP115</f>
        <v>4</v>
      </c>
      <c r="M272" s="171">
        <f>Prod.!AQ115</f>
        <v>0</v>
      </c>
      <c r="N272" s="100">
        <f>Prod.!AR115</f>
        <v>0</v>
      </c>
      <c r="O272" s="160"/>
    </row>
    <row r="273" spans="1:24" ht="15.75" customHeight="1">
      <c r="A273" s="515"/>
      <c r="B273" s="515"/>
      <c r="C273" s="515"/>
      <c r="D273" s="517"/>
      <c r="E273" s="984"/>
      <c r="F273" s="536"/>
      <c r="L273" s="170">
        <f>Prod.!AP116</f>
        <v>3</v>
      </c>
      <c r="M273" s="172">
        <f>Prod.!AQ116</f>
        <v>0</v>
      </c>
      <c r="N273" s="100">
        <f>Prod.!AR116</f>
        <v>0</v>
      </c>
      <c r="O273" t="e">
        <f>N274/((L273*M273)+(L272*M272)+(L271*M271)+(L270*M270))</f>
        <v>#DIV/0!</v>
      </c>
    </row>
    <row r="274" spans="1:24" ht="15.75" customHeight="1">
      <c r="A274" s="515"/>
      <c r="B274" s="515"/>
      <c r="C274" s="515"/>
      <c r="D274" s="434"/>
      <c r="E274" s="984"/>
      <c r="F274" s="1092"/>
      <c r="L274" s="173"/>
      <c r="M274" s="174"/>
      <c r="N274" s="491">
        <f>Prod.!AR117</f>
        <v>0</v>
      </c>
      <c r="O274" s="160"/>
    </row>
    <row r="275" spans="1:24" ht="15" customHeight="1">
      <c r="A275" s="984"/>
      <c r="B275" s="984"/>
      <c r="C275" s="984"/>
      <c r="D275" s="984"/>
      <c r="E275" s="515"/>
      <c r="F275" s="517"/>
      <c r="G275" s="1091"/>
    </row>
    <row r="276" spans="1:24" ht="15" customHeight="1">
      <c r="A276" s="984"/>
      <c r="B276" s="1093"/>
      <c r="C276" s="1093"/>
      <c r="D276" s="984"/>
      <c r="E276" s="286"/>
      <c r="F276" s="417"/>
      <c r="G276" s="253"/>
    </row>
    <row r="277" spans="1:24" ht="15" customHeight="1">
      <c r="A277" s="984"/>
      <c r="B277" s="1093"/>
      <c r="C277" s="1093"/>
      <c r="D277" s="984"/>
      <c r="E277" s="286"/>
      <c r="F277" s="417"/>
      <c r="G277" s="253"/>
    </row>
    <row r="278" spans="1:24" ht="15" customHeight="1">
      <c r="A278" s="984"/>
      <c r="B278" s="1093"/>
      <c r="C278" s="1093"/>
      <c r="D278" s="984"/>
      <c r="E278" s="286"/>
      <c r="F278" s="417"/>
      <c r="G278" s="253"/>
    </row>
    <row r="279" spans="1:24" ht="15" customHeight="1">
      <c r="A279" s="984"/>
      <c r="B279" s="1051"/>
      <c r="C279" s="1051"/>
      <c r="D279" s="984"/>
      <c r="E279" s="286"/>
      <c r="F279" s="417"/>
      <c r="G279" s="253"/>
    </row>
    <row r="280" spans="1:24" ht="15" customHeight="1">
      <c r="A280" s="984"/>
      <c r="B280" s="1051"/>
      <c r="C280" s="1051"/>
      <c r="D280" s="984"/>
      <c r="E280" s="286"/>
      <c r="F280" s="417"/>
    </row>
    <row r="281" spans="1:24" ht="15" customHeight="1">
      <c r="A281" s="1084"/>
      <c r="B281" s="515"/>
      <c r="H281" s="180"/>
    </row>
    <row r="282" spans="1:24" ht="15" customHeight="1">
      <c r="A282" s="984"/>
      <c r="B282" s="984"/>
      <c r="D282" s="434"/>
      <c r="E282" s="434"/>
      <c r="H282" s="180"/>
      <c r="J282" s="1079" t="s">
        <v>297</v>
      </c>
      <c r="K282" s="1382"/>
      <c r="L282" s="1382"/>
      <c r="M282" s="1382"/>
      <c r="N282" s="1382"/>
      <c r="O282" s="1382"/>
      <c r="P282" s="1382"/>
      <c r="Q282" s="1382"/>
      <c r="R282" s="1382"/>
    </row>
    <row r="283" spans="1:24" ht="15.75" customHeight="1" thickBot="1">
      <c r="A283" s="984"/>
      <c r="B283" s="1051"/>
      <c r="H283" s="180"/>
      <c r="J283" s="1080" t="s">
        <v>1</v>
      </c>
      <c r="K283" s="466" t="s">
        <v>45</v>
      </c>
      <c r="L283" s="467" t="s">
        <v>46</v>
      </c>
      <c r="M283" s="468" t="s">
        <v>47</v>
      </c>
      <c r="N283" s="467" t="s">
        <v>48</v>
      </c>
      <c r="O283" s="466" t="s">
        <v>45</v>
      </c>
      <c r="P283" s="467" t="s">
        <v>46</v>
      </c>
      <c r="Q283" s="468" t="s">
        <v>47</v>
      </c>
      <c r="R283" s="467" t="s">
        <v>48</v>
      </c>
    </row>
    <row r="284" spans="1:24" ht="15.75" customHeight="1" thickBot="1">
      <c r="A284" s="984"/>
      <c r="B284" s="984"/>
      <c r="C284" s="984"/>
      <c r="D284" s="984"/>
      <c r="E284" s="984"/>
      <c r="F284" s="417"/>
      <c r="G284" s="379"/>
      <c r="J284" s="1081">
        <v>160</v>
      </c>
      <c r="K284" s="158">
        <f>Prod.!P144</f>
        <v>0</v>
      </c>
      <c r="L284" s="158">
        <f>Prod.!Q144</f>
        <v>0</v>
      </c>
      <c r="M284" s="158">
        <f>Prod.!R144</f>
        <v>0</v>
      </c>
      <c r="N284" s="158">
        <f>Prod.!S144</f>
        <v>0</v>
      </c>
      <c r="O284" s="158">
        <f>Prod.!V144</f>
        <v>0</v>
      </c>
      <c r="P284" s="158">
        <f>Prod.!W144</f>
        <v>0</v>
      </c>
      <c r="Q284" s="158">
        <f>Prod.!X144</f>
        <v>0</v>
      </c>
      <c r="R284" s="158">
        <f>Prod.!Y144</f>
        <v>0</v>
      </c>
      <c r="U284" s="1383" t="s">
        <v>230</v>
      </c>
      <c r="V284" s="1383"/>
      <c r="W284" s="1383"/>
      <c r="X284" s="1383"/>
    </row>
    <row r="285" spans="1:24" ht="15.75" customHeight="1" thickBot="1">
      <c r="A285" s="515"/>
      <c r="B285" s="516"/>
      <c r="C285" s="515"/>
      <c r="D285" s="517"/>
      <c r="E285" s="286"/>
      <c r="F285" s="417"/>
      <c r="G285" s="379"/>
      <c r="J285" s="1081">
        <v>110</v>
      </c>
      <c r="K285" s="158">
        <f>Prod.!J142</f>
        <v>0</v>
      </c>
      <c r="L285" s="158">
        <f>Prod.!K142</f>
        <v>0</v>
      </c>
      <c r="M285" s="158">
        <f>Prod.!L142</f>
        <v>0</v>
      </c>
      <c r="N285" s="158">
        <f>Prod.!M142</f>
        <v>0</v>
      </c>
      <c r="U285" s="1384">
        <f>A281</f>
        <v>0</v>
      </c>
      <c r="V285" s="1384"/>
      <c r="W285" s="453" t="s">
        <v>233</v>
      </c>
      <c r="X285" s="454" t="s">
        <v>234</v>
      </c>
    </row>
    <row r="286" spans="1:24" ht="15" customHeight="1">
      <c r="A286" s="515"/>
      <c r="B286" s="516"/>
      <c r="C286" s="515"/>
      <c r="D286" s="517"/>
      <c r="E286" s="286"/>
      <c r="F286" s="417"/>
      <c r="G286" s="379"/>
      <c r="J286" s="1385"/>
      <c r="K286" s="1385"/>
      <c r="L286" s="1385"/>
      <c r="M286" s="1385"/>
      <c r="N286" s="1385"/>
      <c r="O286" s="1385"/>
      <c r="P286" s="455"/>
      <c r="U286" s="231"/>
      <c r="X286" s="456"/>
    </row>
    <row r="287" spans="1:24" ht="15" customHeight="1">
      <c r="A287" s="515"/>
      <c r="B287" s="516"/>
      <c r="C287" s="515"/>
      <c r="D287" s="517"/>
      <c r="E287" s="929"/>
      <c r="F287" s="417"/>
      <c r="G287" s="379"/>
      <c r="J287" s="181"/>
      <c r="K287" s="508"/>
      <c r="L287" s="181"/>
      <c r="M287" s="508"/>
      <c r="N287" s="181"/>
      <c r="O287" s="508"/>
      <c r="U287" s="458">
        <f>E286</f>
        <v>0</v>
      </c>
      <c r="V287" s="282">
        <f>F286</f>
        <v>0</v>
      </c>
      <c r="W287" s="459"/>
      <c r="X287" s="460"/>
    </row>
    <row r="288" spans="1:24" ht="15" customHeight="1">
      <c r="A288" s="515"/>
      <c r="B288" s="516"/>
      <c r="C288" s="515"/>
      <c r="D288" s="517"/>
      <c r="E288" s="286"/>
      <c r="F288" s="417"/>
      <c r="G288" s="1048"/>
      <c r="K288" s="1382"/>
      <c r="L288" s="1382"/>
      <c r="M288" s="1382"/>
      <c r="N288" s="1382"/>
      <c r="O288" s="1382"/>
      <c r="P288" s="1382"/>
      <c r="Q288" s="1382"/>
      <c r="R288" s="1382"/>
      <c r="U288" s="462">
        <f t="shared" ref="U288:U292" si="19">E288</f>
        <v>0</v>
      </c>
      <c r="V288" s="463">
        <f t="shared" ref="V288:V292" si="20">F288</f>
        <v>0</v>
      </c>
      <c r="W288" s="464">
        <f t="shared" ref="W288:W292" si="21">G288</f>
        <v>0</v>
      </c>
      <c r="X288" s="465"/>
    </row>
    <row r="289" spans="1:24" ht="15" customHeight="1">
      <c r="A289" s="515"/>
      <c r="B289" s="516"/>
      <c r="C289" s="515"/>
      <c r="D289" s="517"/>
      <c r="E289" s="286"/>
      <c r="F289" s="417"/>
      <c r="G289" s="1048"/>
      <c r="J289" s="1080" t="s">
        <v>1</v>
      </c>
      <c r="K289" s="466" t="s">
        <v>45</v>
      </c>
      <c r="L289" s="467" t="s">
        <v>46</v>
      </c>
      <c r="M289" s="468" t="s">
        <v>47</v>
      </c>
      <c r="N289" s="467" t="s">
        <v>48</v>
      </c>
      <c r="O289" s="466" t="s">
        <v>45</v>
      </c>
      <c r="P289" s="467" t="s">
        <v>46</v>
      </c>
      <c r="Q289" s="468" t="s">
        <v>47</v>
      </c>
      <c r="R289" s="467" t="s">
        <v>48</v>
      </c>
      <c r="U289" s="374">
        <f t="shared" si="19"/>
        <v>0</v>
      </c>
      <c r="V289" s="282">
        <f t="shared" si="20"/>
        <v>0</v>
      </c>
      <c r="W289" s="469">
        <f t="shared" si="21"/>
        <v>0</v>
      </c>
      <c r="X289" s="465">
        <f>$I$1</f>
        <v>0</v>
      </c>
    </row>
    <row r="290" spans="1:24" ht="15" customHeight="1">
      <c r="A290" s="515"/>
      <c r="B290" s="516"/>
      <c r="C290" s="515"/>
      <c r="D290" s="517"/>
      <c r="E290" s="286"/>
      <c r="F290" s="417"/>
      <c r="G290" s="1048"/>
      <c r="J290" s="1081">
        <v>130</v>
      </c>
      <c r="K290" s="471">
        <f>Prod.!P143</f>
        <v>0</v>
      </c>
      <c r="L290" s="471">
        <f>Prod.!Q143</f>
        <v>0</v>
      </c>
      <c r="M290" s="471">
        <f>Prod.!R143</f>
        <v>0</v>
      </c>
      <c r="N290" s="471">
        <f>Prod.!S143</f>
        <v>0</v>
      </c>
      <c r="O290" s="471">
        <f>Prod.!V143</f>
        <v>0</v>
      </c>
      <c r="P290" s="471">
        <f>Prod.!W143</f>
        <v>0</v>
      </c>
      <c r="Q290" s="471">
        <f>Prod.!X143</f>
        <v>0</v>
      </c>
      <c r="R290" s="471">
        <f>Prod.!Y143</f>
        <v>0</v>
      </c>
      <c r="U290" s="374">
        <f t="shared" si="19"/>
        <v>0</v>
      </c>
      <c r="V290" s="282">
        <f t="shared" si="20"/>
        <v>0</v>
      </c>
      <c r="W290" s="469">
        <f t="shared" si="21"/>
        <v>0</v>
      </c>
      <c r="X290" s="465">
        <f>IFERROR($I$2,0)</f>
        <v>0</v>
      </c>
    </row>
    <row r="291" spans="1:24" ht="15" customHeight="1">
      <c r="A291" s="515"/>
      <c r="B291" s="516"/>
      <c r="C291" s="515"/>
      <c r="D291" s="517"/>
      <c r="E291" s="1085"/>
      <c r="F291" s="517"/>
      <c r="G291" s="1086"/>
      <c r="U291" s="374">
        <f t="shared" si="19"/>
        <v>0</v>
      </c>
      <c r="V291" s="282">
        <f t="shared" si="20"/>
        <v>0</v>
      </c>
      <c r="W291" s="469">
        <f t="shared" si="21"/>
        <v>0</v>
      </c>
      <c r="X291" s="475"/>
    </row>
    <row r="292" spans="1:24" ht="15" customHeight="1">
      <c r="A292" s="515"/>
      <c r="B292" s="516"/>
      <c r="C292" s="515"/>
      <c r="D292" s="517"/>
      <c r="E292" s="1085"/>
      <c r="F292" s="1087"/>
      <c r="G292" s="1088"/>
      <c r="U292" s="374">
        <f t="shared" si="19"/>
        <v>0</v>
      </c>
      <c r="V292" s="282">
        <f t="shared" si="20"/>
        <v>0</v>
      </c>
      <c r="W292" s="469">
        <f t="shared" si="21"/>
        <v>0</v>
      </c>
      <c r="X292" s="520">
        <f>IFERROR($I$3,0)</f>
        <v>0</v>
      </c>
    </row>
    <row r="293" spans="1:24" ht="15" customHeight="1">
      <c r="A293" s="515"/>
      <c r="B293" s="515"/>
      <c r="C293" s="515"/>
      <c r="D293" s="517"/>
      <c r="E293" s="1085"/>
      <c r="F293" s="417"/>
      <c r="G293" s="1089"/>
      <c r="J293" t="s">
        <v>65</v>
      </c>
      <c r="K293" s="181">
        <f>Prod.!C142</f>
        <v>0</v>
      </c>
      <c r="L293" s="181">
        <f>Prod.!D142</f>
        <v>0</v>
      </c>
      <c r="M293" s="181">
        <f>Prod.!E142</f>
        <v>0</v>
      </c>
      <c r="N293" s="160">
        <f>Prod.!F142</f>
        <v>0</v>
      </c>
      <c r="O293" s="160">
        <f>Prod.!G142</f>
        <v>0</v>
      </c>
      <c r="U293" s="374">
        <f>E293</f>
        <v>0</v>
      </c>
      <c r="V293" s="282">
        <f>F293-V296</f>
        <v>0</v>
      </c>
      <c r="W293" s="479"/>
      <c r="X293" s="456"/>
    </row>
    <row r="294" spans="1:24" ht="15" customHeight="1">
      <c r="A294" s="515"/>
      <c r="B294" s="515"/>
      <c r="C294" s="515"/>
      <c r="D294" s="984"/>
      <c r="E294" s="286"/>
      <c r="F294" s="417"/>
      <c r="G294" s="1090"/>
      <c r="J294" t="s">
        <v>67</v>
      </c>
      <c r="K294" s="181">
        <f>Prod.!C143</f>
        <v>0</v>
      </c>
      <c r="L294" s="181">
        <f>Prod.!D143</f>
        <v>0</v>
      </c>
      <c r="M294" s="181">
        <f>Prod.!E143</f>
        <v>0</v>
      </c>
      <c r="N294" s="160">
        <f>Prod.!F143</f>
        <v>0</v>
      </c>
      <c r="O294" s="160">
        <f>Prod.!G143</f>
        <v>0</v>
      </c>
      <c r="T294" s="160"/>
      <c r="U294" s="374">
        <f>E294</f>
        <v>0</v>
      </c>
      <c r="V294" s="282">
        <f>F294</f>
        <v>0</v>
      </c>
      <c r="W294" s="479"/>
      <c r="X294" s="456"/>
    </row>
    <row r="295" spans="1:24" ht="15.75" customHeight="1" thickBot="1">
      <c r="A295" s="515"/>
      <c r="B295" s="515"/>
      <c r="C295" s="515"/>
      <c r="D295" s="517"/>
      <c r="E295" s="286"/>
      <c r="F295" s="417"/>
      <c r="G295" s="379"/>
      <c r="U295" s="374">
        <f>E295</f>
        <v>0</v>
      </c>
      <c r="V295" s="282">
        <f>F295</f>
        <v>0</v>
      </c>
      <c r="W295" s="479"/>
      <c r="X295" s="456"/>
    </row>
    <row r="296" spans="1:24" ht="14.25" customHeight="1" thickBot="1">
      <c r="A296" s="515"/>
      <c r="B296" s="515"/>
      <c r="C296" s="515"/>
      <c r="D296" s="517"/>
      <c r="E296" s="286"/>
      <c r="F296" s="417"/>
      <c r="G296" s="379"/>
      <c r="L296" s="1381" t="s">
        <v>7</v>
      </c>
      <c r="M296" s="1381"/>
      <c r="N296" s="1381"/>
      <c r="U296" s="374">
        <f>E300</f>
        <v>0</v>
      </c>
      <c r="V296" s="282">
        <f>F300</f>
        <v>0</v>
      </c>
      <c r="W296" s="479"/>
      <c r="X296" s="456"/>
    </row>
    <row r="297" spans="1:24" ht="19.5" customHeight="1" thickBot="1">
      <c r="A297" s="515"/>
      <c r="B297" s="515"/>
      <c r="C297" s="515"/>
      <c r="D297" s="517"/>
      <c r="E297" s="286"/>
      <c r="F297" s="417"/>
      <c r="G297" s="379"/>
      <c r="K297" s="163">
        <v>160</v>
      </c>
      <c r="L297" s="1381"/>
      <c r="M297" s="1381"/>
      <c r="N297" s="1381"/>
      <c r="U297" s="483" t="s">
        <v>255</v>
      </c>
      <c r="V297" s="484">
        <f>V287+V288+V289+V290+V291+V292+V293+V294+V295+V296</f>
        <v>0</v>
      </c>
      <c r="W297" s="485"/>
      <c r="X297" s="454"/>
    </row>
    <row r="298" spans="1:24" ht="18" customHeight="1" thickBot="1">
      <c r="A298" s="515"/>
      <c r="B298" s="515"/>
      <c r="C298" s="515"/>
      <c r="D298" s="517"/>
      <c r="E298" s="286"/>
      <c r="F298" s="417"/>
      <c r="G298" s="379"/>
      <c r="L298" s="1381"/>
      <c r="M298" s="1381"/>
      <c r="N298" s="1381"/>
    </row>
    <row r="299" spans="1:24" ht="15" customHeight="1">
      <c r="A299" s="515"/>
      <c r="B299" s="515"/>
      <c r="C299" s="515"/>
      <c r="D299" s="517"/>
      <c r="E299" s="286"/>
      <c r="F299" s="417"/>
      <c r="G299" s="417"/>
      <c r="L299" s="175">
        <f>Prod.!AP139</f>
        <v>6</v>
      </c>
      <c r="M299" s="176">
        <f>Prod.!AQ139</f>
        <v>0</v>
      </c>
      <c r="N299" s="486">
        <f>Prod.!AR139</f>
        <v>0</v>
      </c>
    </row>
    <row r="300" spans="1:24" ht="15" customHeight="1">
      <c r="A300" s="515"/>
      <c r="B300" s="515"/>
      <c r="C300" s="515"/>
      <c r="D300" s="984"/>
      <c r="E300" s="286"/>
      <c r="F300" s="417"/>
      <c r="G300" s="1091"/>
      <c r="L300" s="170">
        <f>Prod.!AP140</f>
        <v>5</v>
      </c>
      <c r="M300" s="171">
        <f>Prod.!AQ140</f>
        <v>0</v>
      </c>
      <c r="N300" s="100">
        <f>Prod.!AR140</f>
        <v>0</v>
      </c>
    </row>
    <row r="301" spans="1:24" ht="15" customHeight="1">
      <c r="A301" s="515"/>
      <c r="B301" s="516"/>
      <c r="C301" s="515"/>
      <c r="D301" s="517"/>
      <c r="E301" s="286"/>
      <c r="F301" s="277"/>
      <c r="G301" s="160"/>
      <c r="L301" s="170">
        <f>Prod.!AP141</f>
        <v>4</v>
      </c>
      <c r="M301" s="171">
        <f>Prod.!AQ141</f>
        <v>0</v>
      </c>
      <c r="N301" s="100">
        <f>Prod.!AR141</f>
        <v>0</v>
      </c>
    </row>
    <row r="302" spans="1:24" ht="15.75" customHeight="1">
      <c r="A302" s="515"/>
      <c r="B302" s="516"/>
      <c r="C302" s="515"/>
      <c r="D302" s="517"/>
      <c r="E302" s="1287"/>
      <c r="F302" s="1287"/>
      <c r="G302" s="379"/>
      <c r="L302" s="170">
        <f>Prod.!AP142</f>
        <v>3</v>
      </c>
      <c r="M302" s="171">
        <f>Prod.!AQ142</f>
        <v>0</v>
      </c>
      <c r="N302" s="100">
        <f>Prod.!AR142</f>
        <v>0</v>
      </c>
      <c r="O302" s="293" t="e">
        <f>N303/((L302*M302)+(L301*M301)+(L300*M300)+(L299*M299))</f>
        <v>#DIV/0!</v>
      </c>
    </row>
    <row r="303" spans="1:24" ht="15.75" customHeight="1">
      <c r="A303" s="515"/>
      <c r="B303" s="515"/>
      <c r="C303" s="515"/>
      <c r="D303" s="517"/>
      <c r="E303" s="984"/>
      <c r="F303" s="1044"/>
      <c r="G303" s="417"/>
      <c r="L303" s="173"/>
      <c r="M303" s="174"/>
      <c r="N303" s="491">
        <f>Prod.!AR143</f>
        <v>0</v>
      </c>
    </row>
    <row r="304" spans="1:24" ht="15" customHeight="1">
      <c r="A304" s="515"/>
      <c r="B304" s="516"/>
      <c r="C304" s="515"/>
      <c r="D304" s="517"/>
      <c r="E304" s="984"/>
      <c r="F304" s="1044"/>
      <c r="G304" s="417"/>
    </row>
    <row r="305" spans="1:15" ht="15" customHeight="1">
      <c r="A305" s="515"/>
      <c r="B305" s="516"/>
      <c r="C305" s="515"/>
      <c r="D305" s="517"/>
      <c r="E305" s="984"/>
      <c r="F305" s="1044"/>
      <c r="G305" s="417"/>
    </row>
    <row r="306" spans="1:15" ht="14.25" customHeight="1">
      <c r="A306" s="515"/>
      <c r="B306" s="515"/>
      <c r="C306" s="515"/>
      <c r="D306" s="517"/>
      <c r="E306" s="984"/>
      <c r="F306" s="1044"/>
      <c r="G306" s="417"/>
    </row>
    <row r="307" spans="1:15" ht="15" customHeight="1">
      <c r="A307" s="515"/>
      <c r="B307" s="516"/>
      <c r="C307" s="515"/>
      <c r="D307" s="517"/>
      <c r="E307" s="984"/>
      <c r="F307" s="172"/>
      <c r="G307" s="417"/>
      <c r="L307" s="1381" t="s">
        <v>7</v>
      </c>
      <c r="M307" s="1381"/>
      <c r="N307" s="1381"/>
    </row>
    <row r="308" spans="1:15" ht="15" customHeight="1">
      <c r="A308" s="515"/>
      <c r="B308" s="516"/>
      <c r="C308" s="515"/>
      <c r="D308" s="517"/>
      <c r="E308" s="984"/>
      <c r="F308" s="493"/>
      <c r="G308" s="417"/>
      <c r="K308" s="163">
        <v>130</v>
      </c>
      <c r="L308" s="1381"/>
      <c r="M308" s="1381"/>
      <c r="N308" s="1381"/>
    </row>
    <row r="309" spans="1:15" ht="15" customHeight="1">
      <c r="A309" s="515"/>
      <c r="B309" s="516"/>
      <c r="C309" s="515"/>
      <c r="D309" s="517"/>
      <c r="E309" s="984"/>
      <c r="F309" s="517"/>
      <c r="G309" s="160"/>
      <c r="L309" s="1381"/>
      <c r="M309" s="1381"/>
      <c r="N309" s="1381"/>
    </row>
    <row r="310" spans="1:15" ht="15" customHeight="1">
      <c r="A310" s="515"/>
      <c r="B310" s="516"/>
      <c r="C310" s="515"/>
      <c r="D310" s="517"/>
      <c r="E310" s="984"/>
      <c r="F310" s="517"/>
      <c r="L310" s="175">
        <f>Prod.!AP131</f>
        <v>6</v>
      </c>
      <c r="M310" s="176">
        <f>Prod.!AQ131</f>
        <v>0</v>
      </c>
      <c r="N310" s="486">
        <f>Prod.!AR131</f>
        <v>0</v>
      </c>
    </row>
    <row r="311" spans="1:15" ht="15" customHeight="1">
      <c r="A311" s="515"/>
      <c r="B311" s="515"/>
      <c r="C311" s="515"/>
      <c r="D311" s="517"/>
      <c r="E311" s="984"/>
      <c r="F311" s="254"/>
      <c r="L311" s="170">
        <f>Prod.!AP132</f>
        <v>5</v>
      </c>
      <c r="M311" s="171">
        <f>Prod.!AQ132</f>
        <v>0</v>
      </c>
      <c r="N311" s="100">
        <f>Prod.!AR132</f>
        <v>0</v>
      </c>
      <c r="O311" s="160"/>
    </row>
    <row r="312" spans="1:15" ht="15" customHeight="1">
      <c r="A312" s="515"/>
      <c r="B312" s="515"/>
      <c r="C312" s="515"/>
      <c r="D312" s="517"/>
      <c r="E312" s="984"/>
      <c r="F312" s="254"/>
      <c r="L312" s="170">
        <f>Prod.!AP133</f>
        <v>4</v>
      </c>
      <c r="M312" s="171">
        <f>Prod.!AQ133</f>
        <v>0</v>
      </c>
      <c r="N312" s="100">
        <f>Prod.!AR133</f>
        <v>0</v>
      </c>
      <c r="O312" s="160"/>
    </row>
    <row r="313" spans="1:15" ht="15.75" customHeight="1">
      <c r="A313" s="515"/>
      <c r="B313" s="515"/>
      <c r="C313" s="515"/>
      <c r="D313" s="517"/>
      <c r="E313" s="984"/>
      <c r="F313" s="536"/>
      <c r="L313" s="170">
        <f>Prod.!AP134</f>
        <v>3</v>
      </c>
      <c r="M313" s="172">
        <f>Prod.!AQ134</f>
        <v>0</v>
      </c>
      <c r="N313" s="100">
        <f>Prod.!AR134</f>
        <v>0</v>
      </c>
      <c r="O313" t="e">
        <f>N314/((L313*M313)+(L312*M312)+(L311*M311)+(L310*M310))</f>
        <v>#DIV/0!</v>
      </c>
    </row>
    <row r="314" spans="1:15" ht="15.75" customHeight="1">
      <c r="A314" s="515"/>
      <c r="B314" s="515"/>
      <c r="C314" s="515"/>
      <c r="D314" s="434"/>
      <c r="E314" s="984"/>
      <c r="F314" s="1092"/>
      <c r="L314" s="173"/>
      <c r="M314" s="174"/>
      <c r="N314" s="491">
        <f>Prod.!AR135</f>
        <v>0</v>
      </c>
      <c r="O314" s="160"/>
    </row>
    <row r="315" spans="1:15" ht="15" customHeight="1">
      <c r="A315" s="984"/>
      <c r="B315" s="984"/>
      <c r="C315" s="984"/>
      <c r="D315" s="984"/>
      <c r="E315" s="515"/>
      <c r="F315" s="517"/>
      <c r="G315" s="1091"/>
    </row>
    <row r="316" spans="1:15" ht="15" customHeight="1">
      <c r="A316" s="984"/>
      <c r="B316" s="1093"/>
      <c r="C316" s="1093"/>
      <c r="D316" s="984"/>
      <c r="E316" s="286"/>
      <c r="F316" s="417"/>
      <c r="G316" s="253"/>
    </row>
    <row r="317" spans="1:15" ht="15" customHeight="1">
      <c r="A317" s="984"/>
      <c r="B317" s="1093"/>
      <c r="C317" s="1093"/>
      <c r="D317" s="984"/>
      <c r="E317" s="286"/>
      <c r="F317" s="417"/>
      <c r="G317" s="253"/>
    </row>
    <row r="318" spans="1:15" ht="15" customHeight="1">
      <c r="A318" s="984"/>
      <c r="B318" s="1093"/>
      <c r="C318" s="1093"/>
      <c r="D318" s="984"/>
      <c r="E318" s="286"/>
      <c r="F318" s="417"/>
      <c r="G318" s="253"/>
    </row>
    <row r="319" spans="1:15" ht="15" customHeight="1">
      <c r="A319" s="984"/>
      <c r="B319" s="1051"/>
      <c r="C319" s="1051"/>
      <c r="D319" s="984"/>
      <c r="E319" s="286"/>
      <c r="F319" s="417"/>
      <c r="G319" s="253"/>
    </row>
    <row r="320" spans="1:15" ht="15" customHeight="1">
      <c r="A320" s="984"/>
      <c r="B320" s="1051"/>
      <c r="C320" s="1051"/>
      <c r="D320" s="984"/>
      <c r="E320" s="286"/>
      <c r="F320" s="417"/>
    </row>
    <row r="321" spans="1:24" ht="15" customHeight="1">
      <c r="A321" s="1084"/>
      <c r="B321" s="515"/>
      <c r="H321" s="180"/>
    </row>
    <row r="322" spans="1:24" ht="15" customHeight="1">
      <c r="A322" s="984"/>
      <c r="B322" s="984"/>
      <c r="D322" s="434"/>
      <c r="E322" s="434"/>
      <c r="H322" s="180"/>
      <c r="J322" s="1079" t="s">
        <v>298</v>
      </c>
      <c r="K322" s="1382"/>
      <c r="L322" s="1382"/>
      <c r="M322" s="1382"/>
      <c r="N322" s="1382"/>
      <c r="O322" s="1382"/>
      <c r="P322" s="1382"/>
      <c r="Q322" s="1382"/>
      <c r="R322" s="1382"/>
    </row>
    <row r="323" spans="1:24" ht="15.75" customHeight="1" thickBot="1">
      <c r="A323" s="984"/>
      <c r="B323" s="1051"/>
      <c r="H323" s="180"/>
      <c r="J323" s="1080" t="s">
        <v>1</v>
      </c>
      <c r="K323" s="466" t="s">
        <v>45</v>
      </c>
      <c r="L323" s="467" t="s">
        <v>46</v>
      </c>
      <c r="M323" s="468" t="s">
        <v>47</v>
      </c>
      <c r="N323" s="467" t="s">
        <v>48</v>
      </c>
      <c r="O323" s="466" t="s">
        <v>45</v>
      </c>
      <c r="P323" s="467" t="s">
        <v>46</v>
      </c>
      <c r="Q323" s="468" t="s">
        <v>47</v>
      </c>
      <c r="R323" s="467" t="s">
        <v>48</v>
      </c>
    </row>
    <row r="324" spans="1:24" ht="15.75" customHeight="1" thickBot="1">
      <c r="A324" s="984"/>
      <c r="B324" s="984"/>
      <c r="C324" s="984"/>
      <c r="D324" s="984"/>
      <c r="E324" s="984"/>
      <c r="F324" s="417"/>
      <c r="G324" s="379"/>
      <c r="J324" s="1081">
        <v>160</v>
      </c>
      <c r="K324" s="158">
        <f>Prod.!P162</f>
        <v>0</v>
      </c>
      <c r="L324" s="158">
        <f>Prod.!Q162</f>
        <v>0</v>
      </c>
      <c r="M324" s="158">
        <f>Prod.!R162</f>
        <v>0</v>
      </c>
      <c r="N324" s="158">
        <f>Prod.!S162</f>
        <v>0</v>
      </c>
      <c r="O324" s="158">
        <f>Prod.!V162</f>
        <v>0</v>
      </c>
      <c r="P324" s="158">
        <f>Prod.!W162</f>
        <v>0</v>
      </c>
      <c r="Q324" s="158">
        <f>Prod.!X162</f>
        <v>0</v>
      </c>
      <c r="R324" s="158">
        <f>Prod.!Y162</f>
        <v>0</v>
      </c>
      <c r="U324" s="1383" t="s">
        <v>230</v>
      </c>
      <c r="V324" s="1383"/>
      <c r="W324" s="1383"/>
      <c r="X324" s="1383"/>
    </row>
    <row r="325" spans="1:24" ht="15.75" customHeight="1" thickBot="1">
      <c r="A325" s="515"/>
      <c r="B325" s="516"/>
      <c r="C325" s="515"/>
      <c r="D325" s="517"/>
      <c r="E325" s="286"/>
      <c r="F325" s="417"/>
      <c r="G325" s="379"/>
      <c r="J325" s="1081">
        <v>110</v>
      </c>
      <c r="K325" s="158">
        <f>Prod.!J160</f>
        <v>0</v>
      </c>
      <c r="L325" s="158">
        <f>Prod.!K160</f>
        <v>0</v>
      </c>
      <c r="M325" s="158">
        <f>Prod.!L160</f>
        <v>0</v>
      </c>
      <c r="N325" s="158">
        <f>Prod.!M160</f>
        <v>0</v>
      </c>
      <c r="U325" s="1384">
        <f>A321</f>
        <v>0</v>
      </c>
      <c r="V325" s="1384"/>
      <c r="W325" s="453" t="s">
        <v>233</v>
      </c>
      <c r="X325" s="454" t="s">
        <v>234</v>
      </c>
    </row>
    <row r="326" spans="1:24" ht="15" customHeight="1">
      <c r="A326" s="515"/>
      <c r="B326" s="516"/>
      <c r="C326" s="515"/>
      <c r="D326" s="517"/>
      <c r="E326" s="286"/>
      <c r="F326" s="417"/>
      <c r="G326" s="379"/>
      <c r="J326" s="1385"/>
      <c r="K326" s="1385"/>
      <c r="L326" s="1385"/>
      <c r="M326" s="1385"/>
      <c r="N326" s="1385"/>
      <c r="O326" s="1385"/>
      <c r="P326" s="455"/>
      <c r="U326" s="231"/>
      <c r="X326" s="456"/>
    </row>
    <row r="327" spans="1:24" ht="15" customHeight="1">
      <c r="A327" s="515"/>
      <c r="B327" s="516"/>
      <c r="C327" s="515"/>
      <c r="D327" s="517"/>
      <c r="E327" s="929"/>
      <c r="F327" s="417"/>
      <c r="G327" s="379"/>
      <c r="J327" s="181"/>
      <c r="K327" s="508"/>
      <c r="L327" s="181"/>
      <c r="M327" s="508"/>
      <c r="N327" s="181"/>
      <c r="O327" s="508"/>
      <c r="U327" s="458">
        <f>E326</f>
        <v>0</v>
      </c>
      <c r="V327" s="282">
        <f>F326</f>
        <v>0</v>
      </c>
      <c r="W327" s="459"/>
      <c r="X327" s="460"/>
    </row>
    <row r="328" spans="1:24" ht="15" customHeight="1">
      <c r="A328" s="515"/>
      <c r="B328" s="516"/>
      <c r="C328" s="515"/>
      <c r="D328" s="517"/>
      <c r="E328" s="286"/>
      <c r="F328" s="417"/>
      <c r="G328" s="1048"/>
      <c r="K328" s="1382"/>
      <c r="L328" s="1382"/>
      <c r="M328" s="1382"/>
      <c r="N328" s="1382"/>
      <c r="O328" s="1382"/>
      <c r="P328" s="1382"/>
      <c r="Q328" s="1382"/>
      <c r="R328" s="1382"/>
      <c r="U328" s="462">
        <f t="shared" ref="U328:U332" si="22">E328</f>
        <v>0</v>
      </c>
      <c r="V328" s="463">
        <f t="shared" ref="V328:V332" si="23">F328</f>
        <v>0</v>
      </c>
      <c r="W328" s="464">
        <f t="shared" ref="W328:W332" si="24">G328</f>
        <v>0</v>
      </c>
      <c r="X328" s="465"/>
    </row>
    <row r="329" spans="1:24" ht="15" customHeight="1">
      <c r="A329" s="515"/>
      <c r="B329" s="516"/>
      <c r="C329" s="515"/>
      <c r="D329" s="517"/>
      <c r="E329" s="286"/>
      <c r="F329" s="417"/>
      <c r="G329" s="1048"/>
      <c r="J329" s="1080" t="s">
        <v>1</v>
      </c>
      <c r="K329" s="466" t="s">
        <v>45</v>
      </c>
      <c r="L329" s="467" t="s">
        <v>46</v>
      </c>
      <c r="M329" s="468" t="s">
        <v>47</v>
      </c>
      <c r="N329" s="467" t="s">
        <v>48</v>
      </c>
      <c r="O329" s="466" t="s">
        <v>45</v>
      </c>
      <c r="P329" s="467" t="s">
        <v>46</v>
      </c>
      <c r="Q329" s="468" t="s">
        <v>47</v>
      </c>
      <c r="R329" s="467" t="s">
        <v>48</v>
      </c>
      <c r="U329" s="374">
        <f t="shared" si="22"/>
        <v>0</v>
      </c>
      <c r="V329" s="282">
        <f t="shared" si="23"/>
        <v>0</v>
      </c>
      <c r="W329" s="469">
        <f t="shared" si="24"/>
        <v>0</v>
      </c>
      <c r="X329" s="465">
        <f>$I$1</f>
        <v>0</v>
      </c>
    </row>
    <row r="330" spans="1:24" ht="15" customHeight="1">
      <c r="A330" s="515"/>
      <c r="B330" s="516"/>
      <c r="C330" s="515"/>
      <c r="D330" s="517"/>
      <c r="E330" s="286"/>
      <c r="F330" s="417"/>
      <c r="G330" s="1048"/>
      <c r="J330" s="1081">
        <v>130</v>
      </c>
      <c r="K330" s="471">
        <f>Prod.!P161</f>
        <v>0</v>
      </c>
      <c r="L330" s="471">
        <f>Prod.!Q161</f>
        <v>0</v>
      </c>
      <c r="M330" s="471">
        <f>Prod.!R161</f>
        <v>0</v>
      </c>
      <c r="N330" s="471">
        <f>Prod.!S161</f>
        <v>0</v>
      </c>
      <c r="O330" s="471">
        <f>Prod.!V161</f>
        <v>0</v>
      </c>
      <c r="P330" s="471">
        <f>Prod.!W161</f>
        <v>0</v>
      </c>
      <c r="Q330" s="471">
        <f>Prod.!X161</f>
        <v>0</v>
      </c>
      <c r="R330" s="471">
        <f>Prod.!Y161</f>
        <v>0</v>
      </c>
      <c r="U330" s="374">
        <f t="shared" si="22"/>
        <v>0</v>
      </c>
      <c r="V330" s="282">
        <f t="shared" si="23"/>
        <v>0</v>
      </c>
      <c r="W330" s="469">
        <f t="shared" si="24"/>
        <v>0</v>
      </c>
      <c r="X330" s="465">
        <f>IFERROR($I$2,0)</f>
        <v>0</v>
      </c>
    </row>
    <row r="331" spans="1:24" ht="15" customHeight="1">
      <c r="A331" s="515"/>
      <c r="B331" s="516"/>
      <c r="C331" s="515"/>
      <c r="D331" s="517"/>
      <c r="E331" s="1085"/>
      <c r="F331" s="517"/>
      <c r="G331" s="1086"/>
      <c r="U331" s="374">
        <f t="shared" si="22"/>
        <v>0</v>
      </c>
      <c r="V331" s="282">
        <f t="shared" si="23"/>
        <v>0</v>
      </c>
      <c r="W331" s="469">
        <f t="shared" si="24"/>
        <v>0</v>
      </c>
      <c r="X331" s="475"/>
    </row>
    <row r="332" spans="1:24" ht="15" customHeight="1">
      <c r="A332" s="515"/>
      <c r="B332" s="516"/>
      <c r="C332" s="515"/>
      <c r="D332" s="517"/>
      <c r="E332" s="1085"/>
      <c r="F332" s="1087"/>
      <c r="G332" s="1088"/>
      <c r="U332" s="374">
        <f t="shared" si="22"/>
        <v>0</v>
      </c>
      <c r="V332" s="282">
        <f t="shared" si="23"/>
        <v>0</v>
      </c>
      <c r="W332" s="469">
        <f t="shared" si="24"/>
        <v>0</v>
      </c>
      <c r="X332" s="520">
        <f>IFERROR($I$3,0)</f>
        <v>0</v>
      </c>
    </row>
    <row r="333" spans="1:24" ht="15" customHeight="1">
      <c r="A333" s="515"/>
      <c r="B333" s="515"/>
      <c r="C333" s="515"/>
      <c r="D333" s="517"/>
      <c r="E333" s="1085"/>
      <c r="F333" s="417"/>
      <c r="G333" s="1089"/>
      <c r="J333" t="s">
        <v>65</v>
      </c>
      <c r="K333" s="181">
        <f>Prod.!C160</f>
        <v>0</v>
      </c>
      <c r="L333" s="181">
        <f>Prod.!D160</f>
        <v>0</v>
      </c>
      <c r="M333" s="181">
        <f>Prod.!E160</f>
        <v>0</v>
      </c>
      <c r="N333" s="160">
        <f>Prod.!F160</f>
        <v>0</v>
      </c>
      <c r="O333" s="160">
        <f>Prod.!G160</f>
        <v>0</v>
      </c>
      <c r="U333" s="374">
        <f>E333</f>
        <v>0</v>
      </c>
      <c r="V333" s="282">
        <f>F333-V336</f>
        <v>0</v>
      </c>
      <c r="W333" s="479"/>
      <c r="X333" s="456"/>
    </row>
    <row r="334" spans="1:24" ht="15" customHeight="1">
      <c r="A334" s="515"/>
      <c r="B334" s="515"/>
      <c r="C334" s="515"/>
      <c r="D334" s="984"/>
      <c r="E334" s="286"/>
      <c r="F334" s="417"/>
      <c r="G334" s="1090"/>
      <c r="J334" t="s">
        <v>67</v>
      </c>
      <c r="K334" s="181">
        <f>Prod.!C161</f>
        <v>0</v>
      </c>
      <c r="L334" s="181">
        <f>Prod.!D161</f>
        <v>0</v>
      </c>
      <c r="M334" s="181">
        <f>Prod.!E161</f>
        <v>0</v>
      </c>
      <c r="N334" s="160">
        <f>Prod.!F161</f>
        <v>0</v>
      </c>
      <c r="O334" s="160">
        <f>Prod.!G161</f>
        <v>0</v>
      </c>
      <c r="T334" s="160"/>
      <c r="U334" s="374">
        <f>E334</f>
        <v>0</v>
      </c>
      <c r="V334" s="282">
        <f>F334</f>
        <v>0</v>
      </c>
      <c r="W334" s="479"/>
      <c r="X334" s="456"/>
    </row>
    <row r="335" spans="1:24" ht="15.75" customHeight="1" thickBot="1">
      <c r="A335" s="515"/>
      <c r="B335" s="515"/>
      <c r="C335" s="515"/>
      <c r="D335" s="517"/>
      <c r="E335" s="286"/>
      <c r="F335" s="417"/>
      <c r="G335" s="379"/>
      <c r="U335" s="374">
        <f>E335</f>
        <v>0</v>
      </c>
      <c r="V335" s="282">
        <f>F335</f>
        <v>0</v>
      </c>
      <c r="W335" s="479"/>
      <c r="X335" s="456"/>
    </row>
    <row r="336" spans="1:24" ht="14.25" customHeight="1" thickBot="1">
      <c r="A336" s="515"/>
      <c r="B336" s="515"/>
      <c r="C336" s="515"/>
      <c r="D336" s="517"/>
      <c r="E336" s="286"/>
      <c r="F336" s="417"/>
      <c r="G336" s="379"/>
      <c r="L336" s="1381" t="s">
        <v>7</v>
      </c>
      <c r="M336" s="1381"/>
      <c r="N336" s="1381"/>
      <c r="U336" s="374">
        <f>E340</f>
        <v>0</v>
      </c>
      <c r="V336" s="282">
        <f>F340</f>
        <v>0</v>
      </c>
      <c r="W336" s="479"/>
      <c r="X336" s="456"/>
    </row>
    <row r="337" spans="1:24" ht="19.5" customHeight="1" thickBot="1">
      <c r="A337" s="515"/>
      <c r="B337" s="515"/>
      <c r="C337" s="515"/>
      <c r="D337" s="517"/>
      <c r="E337" s="286"/>
      <c r="F337" s="417"/>
      <c r="G337" s="379"/>
      <c r="K337" s="163">
        <v>160</v>
      </c>
      <c r="L337" s="1381"/>
      <c r="M337" s="1381"/>
      <c r="N337" s="1381"/>
      <c r="U337" s="483" t="s">
        <v>255</v>
      </c>
      <c r="V337" s="484">
        <f>V327+V328+V329+V330+V331+V332+V333+V334+V335+V336</f>
        <v>0</v>
      </c>
      <c r="W337" s="485"/>
      <c r="X337" s="454"/>
    </row>
    <row r="338" spans="1:24" ht="18" customHeight="1" thickBot="1">
      <c r="A338" s="515"/>
      <c r="B338" s="515"/>
      <c r="C338" s="515"/>
      <c r="D338" s="517"/>
      <c r="E338" s="286"/>
      <c r="F338" s="417"/>
      <c r="G338" s="379"/>
      <c r="L338" s="1381"/>
      <c r="M338" s="1381"/>
      <c r="N338" s="1381"/>
    </row>
    <row r="339" spans="1:24" ht="15" customHeight="1">
      <c r="A339" s="515"/>
      <c r="B339" s="515"/>
      <c r="C339" s="515"/>
      <c r="D339" s="517"/>
      <c r="E339" s="286"/>
      <c r="F339" s="417"/>
      <c r="G339" s="417"/>
      <c r="L339" s="175">
        <f>Prod.!AP157</f>
        <v>6</v>
      </c>
      <c r="M339" s="176">
        <f>Prod.!AQ157</f>
        <v>0</v>
      </c>
      <c r="N339" s="486">
        <f>Prod.!AR157</f>
        <v>0</v>
      </c>
    </row>
    <row r="340" spans="1:24" ht="15" customHeight="1">
      <c r="A340" s="515"/>
      <c r="B340" s="515"/>
      <c r="C340" s="515"/>
      <c r="D340" s="984"/>
      <c r="E340" s="286"/>
      <c r="F340" s="417"/>
      <c r="G340" s="1091"/>
      <c r="L340" s="170">
        <f>Prod.!AP158</f>
        <v>5</v>
      </c>
      <c r="M340" s="171">
        <f>Prod.!AQ158</f>
        <v>0</v>
      </c>
      <c r="N340" s="100">
        <f>Prod.!AR158</f>
        <v>0</v>
      </c>
    </row>
    <row r="341" spans="1:24" ht="15" customHeight="1">
      <c r="A341" s="515"/>
      <c r="B341" s="516"/>
      <c r="C341" s="515"/>
      <c r="D341" s="517"/>
      <c r="E341" s="286"/>
      <c r="F341" s="277"/>
      <c r="G341" s="160"/>
      <c r="L341" s="170">
        <f>Prod.!AP159</f>
        <v>4</v>
      </c>
      <c r="M341" s="171">
        <f>Prod.!AQ159</f>
        <v>0</v>
      </c>
      <c r="N341" s="100">
        <f>Prod.!AR159</f>
        <v>0</v>
      </c>
    </row>
    <row r="342" spans="1:24" ht="15.75" customHeight="1">
      <c r="A342" s="515"/>
      <c r="B342" s="516"/>
      <c r="C342" s="515"/>
      <c r="D342" s="517"/>
      <c r="E342" s="1287"/>
      <c r="F342" s="1287"/>
      <c r="G342" s="379"/>
      <c r="L342" s="170">
        <f>Prod.!AP160</f>
        <v>3</v>
      </c>
      <c r="M342" s="171">
        <f>Prod.!AQ160</f>
        <v>0</v>
      </c>
      <c r="N342" s="100">
        <f>Prod.!AR160</f>
        <v>0</v>
      </c>
      <c r="O342" s="293" t="e">
        <f>N343/((L342*M342)+(L341*M341)+(L340*M340)+(L339*M339))</f>
        <v>#DIV/0!</v>
      </c>
    </row>
    <row r="343" spans="1:24" ht="15.75" customHeight="1">
      <c r="A343" s="515"/>
      <c r="B343" s="515"/>
      <c r="C343" s="515"/>
      <c r="D343" s="517"/>
      <c r="E343" s="984"/>
      <c r="F343" s="1044"/>
      <c r="G343" s="417"/>
      <c r="L343" s="173"/>
      <c r="M343" s="174"/>
      <c r="N343" s="491">
        <f>Prod.!AR161</f>
        <v>0</v>
      </c>
    </row>
    <row r="344" spans="1:24" ht="15" customHeight="1">
      <c r="A344" s="515"/>
      <c r="B344" s="516"/>
      <c r="C344" s="515"/>
      <c r="D344" s="517"/>
      <c r="E344" s="984"/>
      <c r="F344" s="1044"/>
      <c r="G344" s="417"/>
    </row>
    <row r="345" spans="1:24" ht="15" customHeight="1">
      <c r="A345" s="515"/>
      <c r="B345" s="516"/>
      <c r="C345" s="515"/>
      <c r="D345" s="517"/>
      <c r="E345" s="984"/>
      <c r="F345" s="1044"/>
      <c r="G345" s="417"/>
    </row>
    <row r="346" spans="1:24" ht="14.25" customHeight="1">
      <c r="A346" s="515"/>
      <c r="B346" s="515"/>
      <c r="C346" s="515"/>
      <c r="D346" s="517"/>
      <c r="E346" s="984"/>
      <c r="F346" s="1044"/>
      <c r="G346" s="417"/>
    </row>
    <row r="347" spans="1:24" ht="15" customHeight="1">
      <c r="A347" s="515"/>
      <c r="B347" s="516"/>
      <c r="C347" s="515"/>
      <c r="D347" s="517"/>
      <c r="E347" s="984"/>
      <c r="F347" s="172"/>
      <c r="G347" s="417"/>
      <c r="L347" s="1381" t="s">
        <v>7</v>
      </c>
      <c r="M347" s="1381"/>
      <c r="N347" s="1381"/>
    </row>
    <row r="348" spans="1:24" ht="15" customHeight="1">
      <c r="A348" s="515"/>
      <c r="B348" s="516"/>
      <c r="C348" s="515"/>
      <c r="D348" s="517"/>
      <c r="E348" s="984"/>
      <c r="F348" s="493"/>
      <c r="G348" s="417"/>
      <c r="K348" s="163">
        <v>130</v>
      </c>
      <c r="L348" s="1381"/>
      <c r="M348" s="1381"/>
      <c r="N348" s="1381"/>
    </row>
    <row r="349" spans="1:24" ht="15" customHeight="1">
      <c r="A349" s="515"/>
      <c r="B349" s="516"/>
      <c r="C349" s="515"/>
      <c r="D349" s="517"/>
      <c r="E349" s="984"/>
      <c r="F349" s="517"/>
      <c r="G349" s="160"/>
      <c r="L349" s="1381"/>
      <c r="M349" s="1381"/>
      <c r="N349" s="1381"/>
    </row>
    <row r="350" spans="1:24" ht="15" customHeight="1">
      <c r="A350" s="515"/>
      <c r="B350" s="516"/>
      <c r="C350" s="515"/>
      <c r="D350" s="517"/>
      <c r="E350" s="984"/>
      <c r="F350" s="517"/>
      <c r="L350" s="175">
        <f>Prod.!AP149</f>
        <v>6</v>
      </c>
      <c r="M350" s="176">
        <f>Prod.!AQ149</f>
        <v>0</v>
      </c>
      <c r="N350" s="486">
        <f>Prod.!AR149</f>
        <v>0</v>
      </c>
    </row>
    <row r="351" spans="1:24" ht="15" customHeight="1">
      <c r="A351" s="515"/>
      <c r="B351" s="515"/>
      <c r="C351" s="515"/>
      <c r="D351" s="517"/>
      <c r="E351" s="984"/>
      <c r="F351" s="254"/>
      <c r="L351" s="170">
        <f>Prod.!AP50</f>
        <v>5</v>
      </c>
      <c r="M351" s="171">
        <f>Prod.!AQ150</f>
        <v>0</v>
      </c>
      <c r="N351" s="100">
        <f>Prod.!AR150</f>
        <v>0</v>
      </c>
      <c r="O351" s="160"/>
    </row>
    <row r="352" spans="1:24" ht="15" customHeight="1">
      <c r="A352" s="515"/>
      <c r="B352" s="515"/>
      <c r="C352" s="515"/>
      <c r="D352" s="517"/>
      <c r="E352" s="984"/>
      <c r="F352" s="254"/>
      <c r="L352" s="170">
        <f>Prod.!AP51</f>
        <v>4</v>
      </c>
      <c r="M352" s="171">
        <f>Prod.!AQ151</f>
        <v>0</v>
      </c>
      <c r="N352" s="100">
        <f>Prod.!AR151</f>
        <v>0</v>
      </c>
      <c r="O352" s="160"/>
    </row>
    <row r="353" spans="1:24" ht="15.75" customHeight="1">
      <c r="A353" s="515"/>
      <c r="B353" s="515"/>
      <c r="C353" s="515"/>
      <c r="D353" s="517"/>
      <c r="E353" s="984"/>
      <c r="F353" s="536"/>
      <c r="L353" s="170">
        <f>Prod.!AP52</f>
        <v>3</v>
      </c>
      <c r="M353" s="172">
        <f>Prod.!AQ152</f>
        <v>0</v>
      </c>
      <c r="N353" s="100">
        <f>Prod.!AR152</f>
        <v>0</v>
      </c>
      <c r="O353" t="e">
        <f>N354/((L353*M353)+(L352*M352)+(L351*M351)+(L350*M350))</f>
        <v>#DIV/0!</v>
      </c>
    </row>
    <row r="354" spans="1:24" ht="15.75" customHeight="1">
      <c r="A354" s="515"/>
      <c r="B354" s="515"/>
      <c r="C354" s="515"/>
      <c r="D354" s="434"/>
      <c r="E354" s="984"/>
      <c r="F354" s="1092"/>
      <c r="L354" s="173"/>
      <c r="M354" s="174"/>
      <c r="N354" s="491">
        <f>Prod.!AR153</f>
        <v>0</v>
      </c>
      <c r="O354" s="160"/>
    </row>
    <row r="355" spans="1:24" ht="15" customHeight="1">
      <c r="A355" s="984"/>
      <c r="B355" s="984"/>
      <c r="C355" s="984"/>
      <c r="D355" s="984"/>
      <c r="E355" s="515"/>
      <c r="F355" s="517"/>
      <c r="G355" s="1091"/>
    </row>
    <row r="356" spans="1:24" ht="15" customHeight="1">
      <c r="A356" s="984"/>
      <c r="B356" s="1093"/>
      <c r="C356" s="1093"/>
      <c r="D356" s="984"/>
      <c r="E356" s="286"/>
      <c r="F356" s="417"/>
      <c r="G356" s="253"/>
    </row>
    <row r="357" spans="1:24" ht="15" customHeight="1">
      <c r="A357" s="984"/>
      <c r="B357" s="1093"/>
      <c r="C357" s="1093"/>
      <c r="D357" s="984"/>
      <c r="E357" s="286"/>
      <c r="F357" s="417"/>
      <c r="G357" s="253"/>
    </row>
    <row r="358" spans="1:24" ht="15" customHeight="1">
      <c r="A358" s="984"/>
      <c r="B358" s="1093"/>
      <c r="C358" s="1093"/>
      <c r="D358" s="984"/>
      <c r="E358" s="286"/>
      <c r="F358" s="417"/>
      <c r="G358" s="253"/>
    </row>
    <row r="359" spans="1:24" ht="15" customHeight="1">
      <c r="A359" s="984"/>
      <c r="B359" s="1051"/>
      <c r="C359" s="1051"/>
      <c r="D359" s="984"/>
      <c r="E359" s="286"/>
      <c r="F359" s="417"/>
      <c r="G359" s="253"/>
    </row>
    <row r="360" spans="1:24" ht="15" customHeight="1">
      <c r="A360" s="984"/>
      <c r="B360" s="1051"/>
      <c r="C360" s="1051"/>
      <c r="D360" s="984"/>
      <c r="E360" s="286"/>
      <c r="F360" s="417"/>
    </row>
    <row r="361" spans="1:24" ht="15" customHeight="1">
      <c r="A361" s="1084"/>
      <c r="B361" s="515"/>
      <c r="H361" s="180"/>
    </row>
    <row r="362" spans="1:24" ht="15" customHeight="1">
      <c r="A362" s="984"/>
      <c r="B362" s="984"/>
      <c r="D362" s="434"/>
      <c r="E362" s="434"/>
      <c r="H362" s="180"/>
      <c r="J362" s="1079" t="s">
        <v>299</v>
      </c>
      <c r="K362" s="1382"/>
      <c r="L362" s="1382"/>
      <c r="M362" s="1382"/>
      <c r="N362" s="1382"/>
      <c r="O362" s="1382"/>
      <c r="P362" s="1382"/>
      <c r="Q362" s="1382"/>
      <c r="R362" s="1382"/>
    </row>
    <row r="363" spans="1:24" ht="15.75" customHeight="1" thickBot="1">
      <c r="A363" s="984"/>
      <c r="B363" s="1051"/>
      <c r="H363" s="180"/>
      <c r="J363" s="1080" t="s">
        <v>1</v>
      </c>
      <c r="K363" s="466" t="s">
        <v>45</v>
      </c>
      <c r="L363" s="467" t="s">
        <v>46</v>
      </c>
      <c r="M363" s="468" t="s">
        <v>47</v>
      </c>
      <c r="N363" s="467" t="s">
        <v>48</v>
      </c>
      <c r="O363" s="466" t="s">
        <v>45</v>
      </c>
      <c r="P363" s="467" t="s">
        <v>46</v>
      </c>
      <c r="Q363" s="468" t="s">
        <v>47</v>
      </c>
      <c r="R363" s="467" t="s">
        <v>48</v>
      </c>
    </row>
    <row r="364" spans="1:24" ht="15.75" customHeight="1" thickBot="1">
      <c r="A364" s="984"/>
      <c r="B364" s="984"/>
      <c r="C364" s="984"/>
      <c r="D364" s="984"/>
      <c r="E364" s="984"/>
      <c r="F364" s="417"/>
      <c r="G364" s="379"/>
      <c r="J364" s="1081">
        <v>160</v>
      </c>
      <c r="K364" s="158">
        <f>Prod.!P180</f>
        <v>0</v>
      </c>
      <c r="L364" s="158">
        <f>Prod.!Q180</f>
        <v>0</v>
      </c>
      <c r="M364" s="158">
        <f>Prod.!R180</f>
        <v>0</v>
      </c>
      <c r="N364" s="158">
        <f>Prod.!S180</f>
        <v>0</v>
      </c>
      <c r="O364" s="158">
        <f>Prod.!V180</f>
        <v>0</v>
      </c>
      <c r="P364" s="158">
        <f>Prod.!W180</f>
        <v>0</v>
      </c>
      <c r="Q364" s="158">
        <f>Prod.!X180</f>
        <v>0</v>
      </c>
      <c r="R364" s="158">
        <f>Prod.!Y180</f>
        <v>0</v>
      </c>
      <c r="U364" s="1383" t="s">
        <v>230</v>
      </c>
      <c r="V364" s="1383"/>
      <c r="W364" s="1383"/>
      <c r="X364" s="1383"/>
    </row>
    <row r="365" spans="1:24" ht="15.75" customHeight="1" thickBot="1">
      <c r="A365" s="515"/>
      <c r="B365" s="516"/>
      <c r="C365" s="515"/>
      <c r="D365" s="517"/>
      <c r="E365" s="286"/>
      <c r="F365" s="417"/>
      <c r="G365" s="379"/>
      <c r="J365" s="1081">
        <v>110</v>
      </c>
      <c r="K365" s="158">
        <f>Prod.!J178</f>
        <v>0</v>
      </c>
      <c r="L365" s="158">
        <f>Prod.!K178</f>
        <v>0</v>
      </c>
      <c r="M365" s="158">
        <f>Prod.!L178</f>
        <v>0</v>
      </c>
      <c r="N365" s="158">
        <f>Prod.!M178</f>
        <v>0</v>
      </c>
      <c r="U365" s="1384">
        <f>A361</f>
        <v>0</v>
      </c>
      <c r="V365" s="1384"/>
      <c r="W365" s="453" t="s">
        <v>233</v>
      </c>
      <c r="X365" s="454" t="s">
        <v>234</v>
      </c>
    </row>
    <row r="366" spans="1:24" ht="15" customHeight="1">
      <c r="A366" s="515"/>
      <c r="B366" s="516"/>
      <c r="C366" s="515"/>
      <c r="D366" s="517"/>
      <c r="E366" s="286"/>
      <c r="F366" s="417"/>
      <c r="G366" s="379"/>
      <c r="J366" s="1385"/>
      <c r="K366" s="1385"/>
      <c r="L366" s="1385"/>
      <c r="M366" s="1385"/>
      <c r="N366" s="1385"/>
      <c r="O366" s="1385"/>
      <c r="P366" s="455"/>
      <c r="U366" s="231"/>
      <c r="X366" s="456"/>
    </row>
    <row r="367" spans="1:24" ht="15" customHeight="1">
      <c r="A367" s="515"/>
      <c r="B367" s="516"/>
      <c r="C367" s="515"/>
      <c r="D367" s="517"/>
      <c r="E367" s="929"/>
      <c r="F367" s="417"/>
      <c r="G367" s="379"/>
      <c r="J367" s="181"/>
      <c r="K367" s="508"/>
      <c r="L367" s="181"/>
      <c r="M367" s="508"/>
      <c r="N367" s="181"/>
      <c r="O367" s="508"/>
      <c r="U367" s="458">
        <f>E366</f>
        <v>0</v>
      </c>
      <c r="V367" s="282">
        <f>F366</f>
        <v>0</v>
      </c>
      <c r="W367" s="459"/>
      <c r="X367" s="460"/>
    </row>
    <row r="368" spans="1:24" ht="15" customHeight="1">
      <c r="A368" s="515"/>
      <c r="B368" s="516"/>
      <c r="C368" s="515"/>
      <c r="D368" s="517"/>
      <c r="E368" s="286"/>
      <c r="F368" s="417"/>
      <c r="G368" s="1048"/>
      <c r="K368" s="1382"/>
      <c r="L368" s="1382"/>
      <c r="M368" s="1382"/>
      <c r="N368" s="1382"/>
      <c r="O368" s="1382"/>
      <c r="P368" s="1382"/>
      <c r="Q368" s="1382"/>
      <c r="R368" s="1382"/>
      <c r="U368" s="462">
        <f t="shared" ref="U368:U372" si="25">E368</f>
        <v>0</v>
      </c>
      <c r="V368" s="463">
        <f t="shared" ref="V368:V372" si="26">F368</f>
        <v>0</v>
      </c>
      <c r="W368" s="464">
        <f t="shared" ref="W368:W372" si="27">G368</f>
        <v>0</v>
      </c>
      <c r="X368" s="465"/>
    </row>
    <row r="369" spans="1:24" ht="15" customHeight="1">
      <c r="A369" s="515"/>
      <c r="B369" s="516"/>
      <c r="C369" s="515"/>
      <c r="D369" s="517"/>
      <c r="E369" s="286"/>
      <c r="F369" s="417"/>
      <c r="G369" s="1048"/>
      <c r="J369" s="1080" t="s">
        <v>1</v>
      </c>
      <c r="K369" s="466" t="s">
        <v>45</v>
      </c>
      <c r="L369" s="467" t="s">
        <v>46</v>
      </c>
      <c r="M369" s="468" t="s">
        <v>47</v>
      </c>
      <c r="N369" s="467" t="s">
        <v>48</v>
      </c>
      <c r="O369" s="466" t="s">
        <v>45</v>
      </c>
      <c r="P369" s="467" t="s">
        <v>46</v>
      </c>
      <c r="Q369" s="468" t="s">
        <v>47</v>
      </c>
      <c r="R369" s="467" t="s">
        <v>48</v>
      </c>
      <c r="U369" s="374">
        <f t="shared" si="25"/>
        <v>0</v>
      </c>
      <c r="V369" s="282">
        <f t="shared" si="26"/>
        <v>0</v>
      </c>
      <c r="W369" s="469">
        <f t="shared" si="27"/>
        <v>0</v>
      </c>
      <c r="X369" s="465">
        <f>$I$1</f>
        <v>0</v>
      </c>
    </row>
    <row r="370" spans="1:24" ht="15" customHeight="1">
      <c r="A370" s="515"/>
      <c r="B370" s="516"/>
      <c r="C370" s="515"/>
      <c r="D370" s="517"/>
      <c r="E370" s="286"/>
      <c r="F370" s="417"/>
      <c r="G370" s="1048"/>
      <c r="J370" s="1081">
        <v>130</v>
      </c>
      <c r="K370" s="471">
        <f>Prod.!P179</f>
        <v>0</v>
      </c>
      <c r="L370" s="471">
        <f>Prod.!Q179</f>
        <v>0</v>
      </c>
      <c r="M370" s="471">
        <f>Prod.!R179</f>
        <v>0</v>
      </c>
      <c r="N370" s="471">
        <f>Prod.!S179</f>
        <v>0</v>
      </c>
      <c r="O370" s="471">
        <f>Prod.!V179</f>
        <v>0</v>
      </c>
      <c r="P370" s="471">
        <f>Prod.!W179</f>
        <v>0</v>
      </c>
      <c r="Q370" s="471">
        <f>Prod.!X179</f>
        <v>0</v>
      </c>
      <c r="R370" s="471">
        <f>Prod.!Y179</f>
        <v>0</v>
      </c>
      <c r="U370" s="374">
        <f t="shared" si="25"/>
        <v>0</v>
      </c>
      <c r="V370" s="282">
        <f t="shared" si="26"/>
        <v>0</v>
      </c>
      <c r="W370" s="469">
        <f t="shared" si="27"/>
        <v>0</v>
      </c>
      <c r="X370" s="465">
        <f>IFERROR($I$2,0)</f>
        <v>0</v>
      </c>
    </row>
    <row r="371" spans="1:24" ht="15" customHeight="1">
      <c r="A371" s="515"/>
      <c r="B371" s="516"/>
      <c r="C371" s="515"/>
      <c r="D371" s="517"/>
      <c r="E371" s="1085"/>
      <c r="F371" s="517"/>
      <c r="G371" s="1086"/>
      <c r="U371" s="374">
        <f t="shared" si="25"/>
        <v>0</v>
      </c>
      <c r="V371" s="282">
        <f t="shared" si="26"/>
        <v>0</v>
      </c>
      <c r="W371" s="469">
        <f t="shared" si="27"/>
        <v>0</v>
      </c>
      <c r="X371" s="475"/>
    </row>
    <row r="372" spans="1:24" ht="15" customHeight="1">
      <c r="A372" s="515"/>
      <c r="B372" s="516"/>
      <c r="C372" s="515"/>
      <c r="D372" s="517"/>
      <c r="E372" s="1085"/>
      <c r="F372" s="1087"/>
      <c r="G372" s="1088"/>
      <c r="U372" s="374">
        <f t="shared" si="25"/>
        <v>0</v>
      </c>
      <c r="V372" s="282">
        <f t="shared" si="26"/>
        <v>0</v>
      </c>
      <c r="W372" s="469">
        <f t="shared" si="27"/>
        <v>0</v>
      </c>
      <c r="X372" s="520">
        <f>IFERROR($I$3,0)</f>
        <v>0</v>
      </c>
    </row>
    <row r="373" spans="1:24" ht="15" customHeight="1">
      <c r="A373" s="515"/>
      <c r="B373" s="515"/>
      <c r="C373" s="515"/>
      <c r="D373" s="517"/>
      <c r="E373" s="1085"/>
      <c r="F373" s="417"/>
      <c r="G373" s="1089"/>
      <c r="J373" t="s">
        <v>65</v>
      </c>
      <c r="K373" s="181">
        <f>Prod.!C178</f>
        <v>0</v>
      </c>
      <c r="L373" s="181">
        <f>Prod.!D178</f>
        <v>0</v>
      </c>
      <c r="M373" s="181">
        <f>Prod.!E178</f>
        <v>0</v>
      </c>
      <c r="N373" s="160">
        <f>Prod.!F178</f>
        <v>0</v>
      </c>
      <c r="O373" s="160">
        <f>Prod.!G178</f>
        <v>0</v>
      </c>
      <c r="U373" s="374">
        <f>E373</f>
        <v>0</v>
      </c>
      <c r="V373" s="282">
        <f>F373-V376</f>
        <v>0</v>
      </c>
      <c r="W373" s="479"/>
      <c r="X373" s="456"/>
    </row>
    <row r="374" spans="1:24" ht="15" customHeight="1">
      <c r="A374" s="515"/>
      <c r="B374" s="515"/>
      <c r="C374" s="515"/>
      <c r="D374" s="984"/>
      <c r="E374" s="286"/>
      <c r="F374" s="417"/>
      <c r="G374" s="1090"/>
      <c r="J374" t="s">
        <v>67</v>
      </c>
      <c r="K374" s="181">
        <f>Prod.!C179</f>
        <v>0</v>
      </c>
      <c r="L374" s="181">
        <f>Prod.!D179</f>
        <v>0</v>
      </c>
      <c r="M374" s="181">
        <f>Prod.!E179</f>
        <v>0</v>
      </c>
      <c r="N374" s="160">
        <f>Prod.!F179</f>
        <v>0</v>
      </c>
      <c r="O374" s="160">
        <f>Prod.!G179</f>
        <v>0</v>
      </c>
      <c r="T374" s="160"/>
      <c r="U374" s="374">
        <f>E374</f>
        <v>0</v>
      </c>
      <c r="V374" s="282">
        <f>F374</f>
        <v>0</v>
      </c>
      <c r="W374" s="479"/>
      <c r="X374" s="456"/>
    </row>
    <row r="375" spans="1:24" ht="15.75" customHeight="1" thickBot="1">
      <c r="A375" s="515"/>
      <c r="B375" s="515"/>
      <c r="C375" s="515"/>
      <c r="D375" s="517"/>
      <c r="E375" s="286"/>
      <c r="F375" s="417"/>
      <c r="G375" s="379"/>
      <c r="U375" s="374">
        <f>E375</f>
        <v>0</v>
      </c>
      <c r="V375" s="282">
        <f>F375</f>
        <v>0</v>
      </c>
      <c r="W375" s="479"/>
      <c r="X375" s="456"/>
    </row>
    <row r="376" spans="1:24" ht="14.25" customHeight="1" thickBot="1">
      <c r="A376" s="515"/>
      <c r="B376" s="515"/>
      <c r="C376" s="515"/>
      <c r="D376" s="517"/>
      <c r="E376" s="286"/>
      <c r="F376" s="417"/>
      <c r="G376" s="379"/>
      <c r="L376" s="1381" t="s">
        <v>7</v>
      </c>
      <c r="M376" s="1381"/>
      <c r="N376" s="1381"/>
      <c r="U376" s="374">
        <f>E380</f>
        <v>0</v>
      </c>
      <c r="V376" s="282">
        <f>F380</f>
        <v>0</v>
      </c>
      <c r="W376" s="479"/>
      <c r="X376" s="456"/>
    </row>
    <row r="377" spans="1:24" ht="19.5" customHeight="1" thickBot="1">
      <c r="A377" s="515"/>
      <c r="B377" s="515"/>
      <c r="C377" s="515"/>
      <c r="D377" s="517"/>
      <c r="E377" s="286"/>
      <c r="F377" s="417"/>
      <c r="G377" s="379"/>
      <c r="K377" s="163">
        <v>160</v>
      </c>
      <c r="L377" s="1381"/>
      <c r="M377" s="1381"/>
      <c r="N377" s="1381"/>
      <c r="U377" s="483" t="s">
        <v>255</v>
      </c>
      <c r="V377" s="484">
        <f>V367+V368+V369+V370+V371+V372+V373+V374+V375+V376</f>
        <v>0</v>
      </c>
      <c r="W377" s="485"/>
      <c r="X377" s="454"/>
    </row>
    <row r="378" spans="1:24" ht="18" customHeight="1" thickBot="1">
      <c r="A378" s="515"/>
      <c r="B378" s="515"/>
      <c r="C378" s="515"/>
      <c r="D378" s="517"/>
      <c r="E378" s="286"/>
      <c r="F378" s="417"/>
      <c r="G378" s="379"/>
      <c r="L378" s="1381"/>
      <c r="M378" s="1381"/>
      <c r="N378" s="1381"/>
    </row>
    <row r="379" spans="1:24" ht="15" customHeight="1">
      <c r="A379" s="515"/>
      <c r="B379" s="515"/>
      <c r="C379" s="515"/>
      <c r="D379" s="517"/>
      <c r="E379" s="286"/>
      <c r="F379" s="417"/>
      <c r="G379" s="417"/>
      <c r="L379" s="175">
        <f>Prod.!AP175</f>
        <v>6</v>
      </c>
      <c r="M379" s="176">
        <f>Prod.!AQ175</f>
        <v>0</v>
      </c>
      <c r="N379" s="486">
        <f>Prod.!AR175</f>
        <v>0</v>
      </c>
    </row>
    <row r="380" spans="1:24" ht="15" customHeight="1">
      <c r="A380" s="515"/>
      <c r="B380" s="515"/>
      <c r="C380" s="515"/>
      <c r="D380" s="984"/>
      <c r="E380" s="286"/>
      <c r="F380" s="417"/>
      <c r="G380" s="1091"/>
      <c r="L380" s="170">
        <f>Prod.!AP176</f>
        <v>5</v>
      </c>
      <c r="M380" s="171">
        <f>Prod.!AQ176</f>
        <v>0</v>
      </c>
      <c r="N380" s="100">
        <f>Prod.!AR176</f>
        <v>0</v>
      </c>
    </row>
    <row r="381" spans="1:24" ht="15" customHeight="1">
      <c r="A381" s="515"/>
      <c r="B381" s="516"/>
      <c r="C381" s="515"/>
      <c r="D381" s="517"/>
      <c r="E381" s="286"/>
      <c r="F381" s="277"/>
      <c r="G381" s="160"/>
      <c r="L381" s="170">
        <f>Prod.!AP177</f>
        <v>4</v>
      </c>
      <c r="M381" s="171">
        <f>Prod.!AQ177</f>
        <v>0</v>
      </c>
      <c r="N381" s="100">
        <f>Prod.!AR177</f>
        <v>0</v>
      </c>
    </row>
    <row r="382" spans="1:24" ht="15.75" customHeight="1">
      <c r="A382" s="515"/>
      <c r="B382" s="516"/>
      <c r="C382" s="515"/>
      <c r="D382" s="517"/>
      <c r="E382" s="1287"/>
      <c r="F382" s="1287"/>
      <c r="G382" s="379"/>
      <c r="L382" s="170">
        <f>Prod.!AP178</f>
        <v>3</v>
      </c>
      <c r="M382" s="171">
        <f>Prod.!AQ178</f>
        <v>0</v>
      </c>
      <c r="N382" s="100">
        <f>Prod.!AR178</f>
        <v>0</v>
      </c>
      <c r="O382" s="293" t="e">
        <f>N383/((L382*M382)+(L381*M381)+(L380*M380)+(L379*M379))</f>
        <v>#DIV/0!</v>
      </c>
    </row>
    <row r="383" spans="1:24" ht="15.75" customHeight="1">
      <c r="A383" s="515"/>
      <c r="B383" s="515"/>
      <c r="C383" s="515"/>
      <c r="D383" s="517"/>
      <c r="E383" s="984"/>
      <c r="F383" s="1044"/>
      <c r="G383" s="417"/>
      <c r="L383" s="173"/>
      <c r="M383" s="174"/>
      <c r="N383" s="491">
        <f>Prod.!AR179</f>
        <v>0</v>
      </c>
    </row>
    <row r="384" spans="1:24" ht="15" customHeight="1">
      <c r="A384" s="515"/>
      <c r="B384" s="516"/>
      <c r="C384" s="515"/>
      <c r="D384" s="517"/>
      <c r="E384" s="984"/>
      <c r="F384" s="1044"/>
      <c r="G384" s="417"/>
    </row>
    <row r="385" spans="1:15" ht="15" customHeight="1">
      <c r="A385" s="515"/>
      <c r="B385" s="516"/>
      <c r="C385" s="515"/>
      <c r="D385" s="517"/>
      <c r="E385" s="984"/>
      <c r="F385" s="1044"/>
      <c r="G385" s="417"/>
    </row>
    <row r="386" spans="1:15" ht="14.25" customHeight="1">
      <c r="A386" s="515"/>
      <c r="B386" s="515"/>
      <c r="C386" s="515"/>
      <c r="D386" s="517"/>
      <c r="E386" s="984"/>
      <c r="F386" s="1044"/>
      <c r="G386" s="417"/>
    </row>
    <row r="387" spans="1:15" ht="15" customHeight="1">
      <c r="A387" s="515"/>
      <c r="B387" s="516"/>
      <c r="C387" s="515"/>
      <c r="D387" s="517"/>
      <c r="E387" s="984"/>
      <c r="F387" s="172"/>
      <c r="G387" s="417"/>
      <c r="L387" s="1381" t="s">
        <v>7</v>
      </c>
      <c r="M387" s="1381"/>
      <c r="N387" s="1381"/>
    </row>
    <row r="388" spans="1:15" ht="15" customHeight="1">
      <c r="A388" s="515"/>
      <c r="B388" s="516"/>
      <c r="C388" s="515"/>
      <c r="D388" s="517"/>
      <c r="E388" s="984"/>
      <c r="F388" s="493"/>
      <c r="G388" s="417"/>
      <c r="K388" s="163">
        <v>130</v>
      </c>
      <c r="L388" s="1381"/>
      <c r="M388" s="1381"/>
      <c r="N388" s="1381"/>
    </row>
    <row r="389" spans="1:15" ht="15" customHeight="1">
      <c r="A389" s="515"/>
      <c r="B389" s="516"/>
      <c r="C389" s="515"/>
      <c r="D389" s="517"/>
      <c r="E389" s="984"/>
      <c r="F389" s="517"/>
      <c r="G389" s="160"/>
      <c r="L389" s="1381"/>
      <c r="M389" s="1381"/>
      <c r="N389" s="1381"/>
    </row>
    <row r="390" spans="1:15" ht="15" customHeight="1">
      <c r="A390" s="515"/>
      <c r="B390" s="516"/>
      <c r="C390" s="515"/>
      <c r="D390" s="517"/>
      <c r="E390" s="984"/>
      <c r="F390" s="517"/>
      <c r="L390" s="175">
        <f>Prod.!AP167</f>
        <v>6</v>
      </c>
      <c r="M390" s="176">
        <f>Prod.!AQ167</f>
        <v>0</v>
      </c>
      <c r="N390" s="486">
        <f>Prod.!AR167</f>
        <v>0</v>
      </c>
    </row>
    <row r="391" spans="1:15" ht="15" customHeight="1">
      <c r="A391" s="515"/>
      <c r="B391" s="515"/>
      <c r="C391" s="515"/>
      <c r="D391" s="517"/>
      <c r="E391" s="984"/>
      <c r="F391" s="254"/>
      <c r="L391" s="170">
        <f>Prod.!AP168</f>
        <v>5</v>
      </c>
      <c r="M391" s="171">
        <f>Prod.!AQ168</f>
        <v>0</v>
      </c>
      <c r="N391" s="100">
        <f>Prod.!AR168</f>
        <v>0</v>
      </c>
      <c r="O391" s="160"/>
    </row>
    <row r="392" spans="1:15" ht="15" customHeight="1">
      <c r="A392" s="515"/>
      <c r="B392" s="515"/>
      <c r="C392" s="515"/>
      <c r="D392" s="517"/>
      <c r="E392" s="984"/>
      <c r="F392" s="254"/>
      <c r="L392" s="170">
        <f>Prod.!AP169</f>
        <v>4</v>
      </c>
      <c r="M392" s="171">
        <f>Prod.!AQ169</f>
        <v>0</v>
      </c>
      <c r="N392" s="100">
        <f>Prod.!AR169</f>
        <v>0</v>
      </c>
      <c r="O392" s="160"/>
    </row>
    <row r="393" spans="1:15" ht="15.75" customHeight="1">
      <c r="A393" s="515"/>
      <c r="B393" s="515"/>
      <c r="C393" s="515"/>
      <c r="D393" s="517"/>
      <c r="E393" s="984"/>
      <c r="F393" s="536"/>
      <c r="L393" s="170">
        <f>Prod.!AP170</f>
        <v>3</v>
      </c>
      <c r="M393" s="172">
        <f>Prod.!AQ170</f>
        <v>0</v>
      </c>
      <c r="N393" s="100">
        <f>Prod.!AR170</f>
        <v>0</v>
      </c>
      <c r="O393" t="e">
        <f>N394/((L393*M393)+(L392*M392)+(L391*M391)+(L390*M390))</f>
        <v>#DIV/0!</v>
      </c>
    </row>
    <row r="394" spans="1:15" ht="15.75" customHeight="1">
      <c r="A394" s="515"/>
      <c r="B394" s="515"/>
      <c r="C394" s="515"/>
      <c r="D394" s="434"/>
      <c r="E394" s="984"/>
      <c r="F394" s="1092"/>
      <c r="L394" s="173"/>
      <c r="M394" s="174"/>
      <c r="N394" s="491">
        <f>Prod.!AR171</f>
        <v>0</v>
      </c>
      <c r="O394" s="160"/>
    </row>
    <row r="395" spans="1:15" ht="15" customHeight="1">
      <c r="A395" s="984"/>
      <c r="B395" s="984"/>
      <c r="C395" s="984"/>
      <c r="D395" s="984"/>
      <c r="E395" s="515"/>
      <c r="F395" s="517"/>
      <c r="G395" s="1091"/>
    </row>
    <row r="396" spans="1:15" ht="15" customHeight="1">
      <c r="A396" s="984"/>
      <c r="B396" s="1093"/>
      <c r="C396" s="1093"/>
      <c r="D396" s="984"/>
      <c r="E396" s="286"/>
      <c r="F396" s="417"/>
      <c r="G396" s="253"/>
    </row>
    <row r="397" spans="1:15" ht="15" customHeight="1">
      <c r="A397" s="984"/>
      <c r="B397" s="1093"/>
      <c r="C397" s="1093"/>
      <c r="D397" s="984"/>
      <c r="E397" s="286"/>
      <c r="F397" s="417"/>
      <c r="G397" s="253"/>
    </row>
    <row r="398" spans="1:15" ht="15" customHeight="1">
      <c r="A398" s="984"/>
      <c r="B398" s="1093"/>
      <c r="C398" s="1093"/>
      <c r="D398" s="984"/>
      <c r="E398" s="286"/>
      <c r="F398" s="417"/>
      <c r="G398" s="253"/>
    </row>
    <row r="399" spans="1:15" ht="15" customHeight="1">
      <c r="A399" s="984"/>
      <c r="B399" s="1051"/>
      <c r="C399" s="1051"/>
      <c r="D399" s="984"/>
      <c r="E399" s="286"/>
      <c r="F399" s="417"/>
      <c r="G399" s="253"/>
    </row>
    <row r="400" spans="1:15" ht="15" customHeight="1">
      <c r="A400" s="984"/>
      <c r="B400" s="1051"/>
      <c r="C400" s="1051"/>
      <c r="D400" s="984"/>
      <c r="E400" s="286"/>
      <c r="F400" s="417"/>
    </row>
    <row r="401" spans="1:24" ht="15" customHeight="1">
      <c r="A401" s="1084"/>
      <c r="B401" s="515"/>
      <c r="H401" s="180"/>
    </row>
    <row r="402" spans="1:24" ht="15" customHeight="1">
      <c r="A402" s="984"/>
      <c r="B402" s="984"/>
      <c r="D402" s="434"/>
      <c r="E402" s="434"/>
      <c r="H402" s="180"/>
      <c r="J402" s="1079" t="s">
        <v>300</v>
      </c>
      <c r="K402" s="1382"/>
      <c r="L402" s="1382"/>
      <c r="M402" s="1382"/>
      <c r="N402" s="1382"/>
      <c r="O402" s="1382"/>
      <c r="P402" s="1382"/>
      <c r="Q402" s="1382"/>
      <c r="R402" s="1382"/>
    </row>
    <row r="403" spans="1:24" ht="15.75" customHeight="1" thickBot="1">
      <c r="A403" s="984"/>
      <c r="B403" s="1051"/>
      <c r="H403" s="180"/>
      <c r="J403" s="1080" t="s">
        <v>1</v>
      </c>
      <c r="K403" s="466" t="s">
        <v>45</v>
      </c>
      <c r="L403" s="467" t="s">
        <v>46</v>
      </c>
      <c r="M403" s="468" t="s">
        <v>47</v>
      </c>
      <c r="N403" s="467" t="s">
        <v>48</v>
      </c>
      <c r="O403" s="466" t="s">
        <v>45</v>
      </c>
      <c r="P403" s="467" t="s">
        <v>46</v>
      </c>
      <c r="Q403" s="468" t="s">
        <v>47</v>
      </c>
      <c r="R403" s="467" t="s">
        <v>48</v>
      </c>
    </row>
    <row r="404" spans="1:24" ht="15.75" customHeight="1" thickBot="1">
      <c r="A404" s="984"/>
      <c r="B404" s="984"/>
      <c r="C404" s="984"/>
      <c r="D404" s="984"/>
      <c r="E404" s="984"/>
      <c r="F404" s="417"/>
      <c r="G404" s="379"/>
      <c r="J404" s="1081">
        <v>160</v>
      </c>
      <c r="K404" s="158">
        <f>Prod.!P198</f>
        <v>0</v>
      </c>
      <c r="L404" s="158">
        <f>Prod.!Q198</f>
        <v>0</v>
      </c>
      <c r="M404" s="158">
        <f>Prod.!R198</f>
        <v>0</v>
      </c>
      <c r="N404" s="158">
        <f>Prod.!S198</f>
        <v>0</v>
      </c>
      <c r="O404" s="158">
        <f>Prod.!V198</f>
        <v>0</v>
      </c>
      <c r="P404" s="158">
        <f>Prod.!W198</f>
        <v>0</v>
      </c>
      <c r="Q404" s="158">
        <f>Prod.!X198</f>
        <v>0</v>
      </c>
      <c r="R404" s="158">
        <f>Prod.!Y198</f>
        <v>0</v>
      </c>
      <c r="U404" s="1383" t="s">
        <v>230</v>
      </c>
      <c r="V404" s="1383"/>
      <c r="W404" s="1383"/>
      <c r="X404" s="1383"/>
    </row>
    <row r="405" spans="1:24" ht="15.75" customHeight="1" thickBot="1">
      <c r="A405" s="515"/>
      <c r="B405" s="516"/>
      <c r="C405" s="515"/>
      <c r="D405" s="517"/>
      <c r="E405" s="286"/>
      <c r="F405" s="417"/>
      <c r="G405" s="379"/>
      <c r="J405" s="1081">
        <v>110</v>
      </c>
      <c r="K405" s="158">
        <f>Prod.!J196</f>
        <v>0</v>
      </c>
      <c r="L405" s="158">
        <f>Prod.!K196</f>
        <v>0</v>
      </c>
      <c r="M405" s="158">
        <f>Prod.!L196</f>
        <v>0</v>
      </c>
      <c r="N405" s="158">
        <f>Prod.!M196</f>
        <v>0</v>
      </c>
      <c r="U405" s="1384">
        <f>A401</f>
        <v>0</v>
      </c>
      <c r="V405" s="1384"/>
      <c r="W405" s="453" t="s">
        <v>233</v>
      </c>
      <c r="X405" s="454" t="s">
        <v>234</v>
      </c>
    </row>
    <row r="406" spans="1:24" ht="15" customHeight="1">
      <c r="A406" s="515"/>
      <c r="B406" s="516"/>
      <c r="C406" s="515"/>
      <c r="D406" s="517"/>
      <c r="E406" s="286"/>
      <c r="F406" s="417"/>
      <c r="G406" s="379"/>
      <c r="J406" s="1385"/>
      <c r="K406" s="1385"/>
      <c r="L406" s="1385"/>
      <c r="M406" s="1385"/>
      <c r="N406" s="1385"/>
      <c r="O406" s="1385"/>
      <c r="P406" s="455"/>
      <c r="U406" s="231"/>
      <c r="X406" s="456"/>
    </row>
    <row r="407" spans="1:24" ht="15" customHeight="1">
      <c r="A407" s="515"/>
      <c r="B407" s="516"/>
      <c r="C407" s="515"/>
      <c r="D407" s="517"/>
      <c r="E407" s="929"/>
      <c r="F407" s="417"/>
      <c r="G407" s="379"/>
      <c r="J407" s="181"/>
      <c r="K407" s="508"/>
      <c r="L407" s="181"/>
      <c r="M407" s="508"/>
      <c r="N407" s="181"/>
      <c r="O407" s="508"/>
      <c r="U407" s="458">
        <f>E406</f>
        <v>0</v>
      </c>
      <c r="V407" s="282">
        <f>F406</f>
        <v>0</v>
      </c>
      <c r="W407" s="459"/>
      <c r="X407" s="460"/>
    </row>
    <row r="408" spans="1:24" ht="15" customHeight="1">
      <c r="A408" s="515"/>
      <c r="B408" s="516"/>
      <c r="C408" s="515"/>
      <c r="D408" s="517"/>
      <c r="E408" s="286"/>
      <c r="F408" s="417"/>
      <c r="G408" s="1048"/>
      <c r="K408" s="1382"/>
      <c r="L408" s="1382"/>
      <c r="M408" s="1382"/>
      <c r="N408" s="1382"/>
      <c r="O408" s="1382"/>
      <c r="P408" s="1382"/>
      <c r="Q408" s="1382"/>
      <c r="R408" s="1382"/>
      <c r="U408" s="462">
        <f t="shared" ref="U408:U412" si="28">E408</f>
        <v>0</v>
      </c>
      <c r="V408" s="463">
        <f t="shared" ref="V408:V412" si="29">F408</f>
        <v>0</v>
      </c>
      <c r="W408" s="464">
        <f t="shared" ref="W408:W412" si="30">G408</f>
        <v>0</v>
      </c>
      <c r="X408" s="465"/>
    </row>
    <row r="409" spans="1:24" ht="15" customHeight="1">
      <c r="A409" s="515"/>
      <c r="B409" s="516"/>
      <c r="C409" s="515"/>
      <c r="D409" s="517"/>
      <c r="E409" s="286"/>
      <c r="F409" s="417"/>
      <c r="G409" s="1048"/>
      <c r="J409" s="1080" t="s">
        <v>1</v>
      </c>
      <c r="K409" s="466" t="s">
        <v>45</v>
      </c>
      <c r="L409" s="467" t="s">
        <v>46</v>
      </c>
      <c r="M409" s="468" t="s">
        <v>47</v>
      </c>
      <c r="N409" s="467" t="s">
        <v>48</v>
      </c>
      <c r="O409" s="466" t="s">
        <v>45</v>
      </c>
      <c r="P409" s="467" t="s">
        <v>46</v>
      </c>
      <c r="Q409" s="468" t="s">
        <v>47</v>
      </c>
      <c r="R409" s="467" t="s">
        <v>48</v>
      </c>
      <c r="U409" s="374">
        <f t="shared" si="28"/>
        <v>0</v>
      </c>
      <c r="V409" s="282">
        <f t="shared" si="29"/>
        <v>0</v>
      </c>
      <c r="W409" s="469">
        <f t="shared" si="30"/>
        <v>0</v>
      </c>
      <c r="X409" s="465">
        <f>$I$1</f>
        <v>0</v>
      </c>
    </row>
    <row r="410" spans="1:24" ht="15" customHeight="1">
      <c r="A410" s="515"/>
      <c r="B410" s="516"/>
      <c r="C410" s="515"/>
      <c r="D410" s="517"/>
      <c r="E410" s="286"/>
      <c r="F410" s="417"/>
      <c r="G410" s="1048"/>
      <c r="J410" s="1081">
        <v>130</v>
      </c>
      <c r="K410" s="471">
        <f>Prod.!P197</f>
        <v>0</v>
      </c>
      <c r="L410" s="471">
        <f>Prod.!Q197</f>
        <v>0</v>
      </c>
      <c r="M410" s="471">
        <f>Prod.!R197</f>
        <v>0</v>
      </c>
      <c r="N410" s="471">
        <f>Prod.!S197</f>
        <v>0</v>
      </c>
      <c r="O410" s="471">
        <f>Prod.!V197</f>
        <v>0</v>
      </c>
      <c r="P410" s="471">
        <f>Prod.!W197</f>
        <v>0</v>
      </c>
      <c r="Q410" s="471">
        <f>Prod.!X197</f>
        <v>0</v>
      </c>
      <c r="R410" s="471">
        <f>Prod.!Y197</f>
        <v>0</v>
      </c>
      <c r="U410" s="374">
        <f t="shared" si="28"/>
        <v>0</v>
      </c>
      <c r="V410" s="282">
        <f t="shared" si="29"/>
        <v>0</v>
      </c>
      <c r="W410" s="469">
        <f t="shared" si="30"/>
        <v>0</v>
      </c>
      <c r="X410" s="465">
        <f>IFERROR($I$2,0)</f>
        <v>0</v>
      </c>
    </row>
    <row r="411" spans="1:24" ht="15" customHeight="1">
      <c r="A411" s="515"/>
      <c r="B411" s="516"/>
      <c r="C411" s="515"/>
      <c r="D411" s="517"/>
      <c r="E411" s="1085"/>
      <c r="F411" s="517"/>
      <c r="G411" s="1086"/>
      <c r="U411" s="374">
        <f t="shared" si="28"/>
        <v>0</v>
      </c>
      <c r="V411" s="282">
        <f t="shared" si="29"/>
        <v>0</v>
      </c>
      <c r="W411" s="469">
        <f t="shared" si="30"/>
        <v>0</v>
      </c>
      <c r="X411" s="475"/>
    </row>
    <row r="412" spans="1:24" ht="15" customHeight="1">
      <c r="A412" s="515"/>
      <c r="B412" s="516"/>
      <c r="C412" s="515"/>
      <c r="D412" s="517"/>
      <c r="E412" s="1085"/>
      <c r="F412" s="1087"/>
      <c r="G412" s="1088"/>
      <c r="U412" s="374">
        <f t="shared" si="28"/>
        <v>0</v>
      </c>
      <c r="V412" s="282">
        <f t="shared" si="29"/>
        <v>0</v>
      </c>
      <c r="W412" s="469">
        <f t="shared" si="30"/>
        <v>0</v>
      </c>
      <c r="X412" s="520">
        <f>IFERROR($I$3,0)</f>
        <v>0</v>
      </c>
    </row>
    <row r="413" spans="1:24" ht="15" customHeight="1">
      <c r="A413" s="515"/>
      <c r="B413" s="515"/>
      <c r="C413" s="515"/>
      <c r="D413" s="517"/>
      <c r="E413" s="1085"/>
      <c r="F413" s="417"/>
      <c r="G413" s="1089"/>
      <c r="J413" t="s">
        <v>65</v>
      </c>
      <c r="K413" s="181">
        <f>Prod.!C196</f>
        <v>0</v>
      </c>
      <c r="L413" s="181">
        <f>Prod.!D196</f>
        <v>0</v>
      </c>
      <c r="M413" s="181">
        <f>Prod.!E196</f>
        <v>0</v>
      </c>
      <c r="N413" s="160">
        <f>Prod.!F196</f>
        <v>0</v>
      </c>
      <c r="O413" s="160">
        <f>Prod.!G196</f>
        <v>0</v>
      </c>
      <c r="U413" s="374">
        <f>E413</f>
        <v>0</v>
      </c>
      <c r="V413" s="282">
        <f>F413-V416</f>
        <v>0</v>
      </c>
      <c r="W413" s="479"/>
      <c r="X413" s="456"/>
    </row>
    <row r="414" spans="1:24" ht="15" customHeight="1">
      <c r="A414" s="515"/>
      <c r="B414" s="515"/>
      <c r="C414" s="515"/>
      <c r="D414" s="984"/>
      <c r="E414" s="286"/>
      <c r="F414" s="417"/>
      <c r="G414" s="1090"/>
      <c r="J414" t="s">
        <v>67</v>
      </c>
      <c r="K414" s="181">
        <f>Prod.!C197</f>
        <v>0</v>
      </c>
      <c r="L414" s="181">
        <f>Prod.!D197</f>
        <v>0</v>
      </c>
      <c r="M414" s="181">
        <f>Prod.!E197</f>
        <v>0</v>
      </c>
      <c r="N414" s="160">
        <f>Prod.!F197</f>
        <v>0</v>
      </c>
      <c r="O414" s="160">
        <f>Prod.!G197</f>
        <v>0</v>
      </c>
      <c r="T414" s="160"/>
      <c r="U414" s="374">
        <f>E414</f>
        <v>0</v>
      </c>
      <c r="V414" s="282">
        <f>F414</f>
        <v>0</v>
      </c>
      <c r="W414" s="479"/>
      <c r="X414" s="456"/>
    </row>
    <row r="415" spans="1:24" ht="15.75" customHeight="1" thickBot="1">
      <c r="A415" s="515"/>
      <c r="B415" s="515"/>
      <c r="C415" s="515"/>
      <c r="D415" s="517"/>
      <c r="E415" s="286"/>
      <c r="F415" s="417"/>
      <c r="G415" s="379"/>
      <c r="U415" s="374">
        <f>E415</f>
        <v>0</v>
      </c>
      <c r="V415" s="282">
        <f>F415</f>
        <v>0</v>
      </c>
      <c r="W415" s="479"/>
      <c r="X415" s="456"/>
    </row>
    <row r="416" spans="1:24" ht="14.25" customHeight="1" thickBot="1">
      <c r="A416" s="515"/>
      <c r="B416" s="515"/>
      <c r="C416" s="515"/>
      <c r="D416" s="517"/>
      <c r="E416" s="286"/>
      <c r="F416" s="417"/>
      <c r="G416" s="379"/>
      <c r="L416" s="1381" t="s">
        <v>7</v>
      </c>
      <c r="M416" s="1381"/>
      <c r="N416" s="1381"/>
      <c r="U416" s="374">
        <f>E420</f>
        <v>0</v>
      </c>
      <c r="V416" s="282">
        <f>F420</f>
        <v>0</v>
      </c>
      <c r="W416" s="479"/>
      <c r="X416" s="456"/>
    </row>
    <row r="417" spans="1:24" ht="19.5" customHeight="1" thickBot="1">
      <c r="A417" s="515"/>
      <c r="B417" s="515"/>
      <c r="C417" s="515"/>
      <c r="D417" s="517"/>
      <c r="E417" s="286"/>
      <c r="F417" s="417"/>
      <c r="G417" s="379"/>
      <c r="K417" s="163">
        <v>160</v>
      </c>
      <c r="L417" s="1381"/>
      <c r="M417" s="1381"/>
      <c r="N417" s="1381"/>
      <c r="U417" s="483" t="s">
        <v>255</v>
      </c>
      <c r="V417" s="484">
        <f>V407+V408+V409+V410+V411+V412+V413+V414+V415+V416</f>
        <v>0</v>
      </c>
      <c r="W417" s="485"/>
      <c r="X417" s="454"/>
    </row>
    <row r="418" spans="1:24" ht="18" customHeight="1" thickBot="1">
      <c r="A418" s="515"/>
      <c r="B418" s="515"/>
      <c r="C418" s="515"/>
      <c r="D418" s="517"/>
      <c r="E418" s="286"/>
      <c r="F418" s="417"/>
      <c r="G418" s="379"/>
      <c r="L418" s="1381"/>
      <c r="M418" s="1381"/>
      <c r="N418" s="1381"/>
    </row>
    <row r="419" spans="1:24" ht="15" customHeight="1">
      <c r="A419" s="515"/>
      <c r="B419" s="515"/>
      <c r="C419" s="515"/>
      <c r="D419" s="517"/>
      <c r="E419" s="286"/>
      <c r="F419" s="417"/>
      <c r="G419" s="417"/>
      <c r="L419" s="175">
        <f>Prod.!AP193</f>
        <v>6</v>
      </c>
      <c r="M419" s="176">
        <f>Prod.!AQ193</f>
        <v>0</v>
      </c>
      <c r="N419" s="486">
        <f>Prod.!AR193</f>
        <v>0</v>
      </c>
    </row>
    <row r="420" spans="1:24" ht="15" customHeight="1">
      <c r="A420" s="515"/>
      <c r="B420" s="515"/>
      <c r="C420" s="515"/>
      <c r="D420" s="984"/>
      <c r="E420" s="286"/>
      <c r="F420" s="417"/>
      <c r="G420" s="1091"/>
      <c r="L420" s="170">
        <f>Prod.!AP194</f>
        <v>5</v>
      </c>
      <c r="M420" s="171">
        <f>Prod.!AQ194</f>
        <v>0</v>
      </c>
      <c r="N420" s="100">
        <f>Prod.!AR194</f>
        <v>0</v>
      </c>
    </row>
    <row r="421" spans="1:24" ht="15" customHeight="1">
      <c r="A421" s="515"/>
      <c r="B421" s="516"/>
      <c r="C421" s="515"/>
      <c r="D421" s="517"/>
      <c r="E421" s="286"/>
      <c r="F421" s="277"/>
      <c r="G421" s="160"/>
      <c r="L421" s="170">
        <f>Prod.!AP195</f>
        <v>4</v>
      </c>
      <c r="M421" s="171">
        <f>Prod.!AQ195</f>
        <v>0</v>
      </c>
      <c r="N421" s="100">
        <f>Prod.!AR195</f>
        <v>0</v>
      </c>
    </row>
    <row r="422" spans="1:24" ht="15.75" customHeight="1">
      <c r="A422" s="515"/>
      <c r="B422" s="516"/>
      <c r="C422" s="515"/>
      <c r="D422" s="517"/>
      <c r="E422" s="1287"/>
      <c r="F422" s="1287"/>
      <c r="G422" s="379"/>
      <c r="L422" s="170">
        <f>Prod.!AP196</f>
        <v>3</v>
      </c>
      <c r="M422" s="171">
        <f>Prod.!AQ196</f>
        <v>0</v>
      </c>
      <c r="N422" s="100">
        <f>Prod.!AR196</f>
        <v>0</v>
      </c>
      <c r="O422" s="293" t="e">
        <f>N423/((L422*M422)+(L421*M421)+(L420*M420)+(L419*M419))</f>
        <v>#DIV/0!</v>
      </c>
    </row>
    <row r="423" spans="1:24" ht="15.75" customHeight="1">
      <c r="A423" s="515"/>
      <c r="B423" s="515"/>
      <c r="C423" s="515"/>
      <c r="D423" s="517"/>
      <c r="E423" s="984"/>
      <c r="F423" s="1044"/>
      <c r="G423" s="417"/>
      <c r="L423" s="173"/>
      <c r="M423" s="174"/>
      <c r="N423" s="491">
        <f>Prod.!AR197</f>
        <v>0</v>
      </c>
    </row>
    <row r="424" spans="1:24" ht="15" customHeight="1">
      <c r="A424" s="515"/>
      <c r="B424" s="516"/>
      <c r="C424" s="515"/>
      <c r="D424" s="517"/>
      <c r="E424" s="984"/>
      <c r="F424" s="1044"/>
      <c r="G424" s="417"/>
    </row>
    <row r="425" spans="1:24" ht="15" customHeight="1">
      <c r="A425" s="515"/>
      <c r="B425" s="516"/>
      <c r="C425" s="515"/>
      <c r="D425" s="517"/>
      <c r="E425" s="984"/>
      <c r="F425" s="1044"/>
      <c r="G425" s="417"/>
    </row>
    <row r="426" spans="1:24" ht="14.25" customHeight="1">
      <c r="A426" s="515"/>
      <c r="B426" s="515"/>
      <c r="C426" s="515"/>
      <c r="D426" s="517"/>
      <c r="E426" s="984"/>
      <c r="F426" s="1044"/>
      <c r="G426" s="417"/>
    </row>
    <row r="427" spans="1:24" ht="15" customHeight="1">
      <c r="A427" s="515"/>
      <c r="B427" s="516"/>
      <c r="C427" s="515"/>
      <c r="D427" s="517"/>
      <c r="E427" s="984"/>
      <c r="F427" s="172"/>
      <c r="G427" s="417"/>
      <c r="L427" s="1381" t="s">
        <v>7</v>
      </c>
      <c r="M427" s="1381"/>
      <c r="N427" s="1381"/>
    </row>
    <row r="428" spans="1:24" ht="15" customHeight="1">
      <c r="A428" s="515"/>
      <c r="B428" s="516"/>
      <c r="C428" s="515"/>
      <c r="D428" s="517"/>
      <c r="E428" s="984"/>
      <c r="F428" s="493"/>
      <c r="G428" s="417"/>
      <c r="K428" s="163">
        <v>130</v>
      </c>
      <c r="L428" s="1381"/>
      <c r="M428" s="1381"/>
      <c r="N428" s="1381"/>
    </row>
    <row r="429" spans="1:24" ht="15" customHeight="1">
      <c r="A429" s="515"/>
      <c r="B429" s="516"/>
      <c r="C429" s="515"/>
      <c r="D429" s="517"/>
      <c r="E429" s="984"/>
      <c r="F429" s="517"/>
      <c r="G429" s="160"/>
      <c r="L429" s="1381"/>
      <c r="M429" s="1381"/>
      <c r="N429" s="1381"/>
    </row>
    <row r="430" spans="1:24" ht="15" customHeight="1">
      <c r="A430" s="515"/>
      <c r="B430" s="516"/>
      <c r="C430" s="515"/>
      <c r="D430" s="517"/>
      <c r="E430" s="984"/>
      <c r="F430" s="517"/>
      <c r="L430" s="175">
        <f>Prod.!AP185</f>
        <v>6</v>
      </c>
      <c r="M430" s="176">
        <f>Prod.!AQ185</f>
        <v>0</v>
      </c>
      <c r="N430" s="486">
        <f>Prod.!AR185</f>
        <v>0</v>
      </c>
    </row>
    <row r="431" spans="1:24" ht="15" customHeight="1">
      <c r="A431" s="515"/>
      <c r="B431" s="515"/>
      <c r="C431" s="515"/>
      <c r="D431" s="517"/>
      <c r="E431" s="984"/>
      <c r="F431" s="254"/>
      <c r="L431" s="170">
        <f>Prod.!AP186</f>
        <v>5</v>
      </c>
      <c r="M431" s="171">
        <f>Prod.!AQ186</f>
        <v>0</v>
      </c>
      <c r="N431" s="100">
        <f>Prod.!AR186</f>
        <v>0</v>
      </c>
      <c r="O431" s="160"/>
    </row>
    <row r="432" spans="1:24" ht="15" customHeight="1">
      <c r="A432" s="515"/>
      <c r="B432" s="515"/>
      <c r="C432" s="515"/>
      <c r="D432" s="517"/>
      <c r="E432" s="984"/>
      <c r="F432" s="254"/>
      <c r="L432" s="170">
        <f>Prod.!AP187</f>
        <v>4</v>
      </c>
      <c r="M432" s="171">
        <f>Prod.!AQ187</f>
        <v>0</v>
      </c>
      <c r="N432" s="100">
        <f>Prod.!AR187</f>
        <v>0</v>
      </c>
      <c r="O432" s="160"/>
    </row>
    <row r="433" spans="1:24" ht="15.75" customHeight="1">
      <c r="A433" s="515"/>
      <c r="B433" s="515"/>
      <c r="C433" s="515"/>
      <c r="D433" s="517"/>
      <c r="E433" s="984"/>
      <c r="F433" s="536"/>
      <c r="L433" s="170">
        <f>Prod.!AP188</f>
        <v>3</v>
      </c>
      <c r="M433" s="172">
        <f>Prod.!AQ188</f>
        <v>0</v>
      </c>
      <c r="N433" s="100">
        <f>Prod.!AR188</f>
        <v>0</v>
      </c>
      <c r="O433" t="e">
        <f>N434/((L433*M433)+(L432*M432)+(L431*M431)+(L430*M430))</f>
        <v>#DIV/0!</v>
      </c>
    </row>
    <row r="434" spans="1:24" ht="15.75" customHeight="1">
      <c r="A434" s="515"/>
      <c r="B434" s="515"/>
      <c r="C434" s="515"/>
      <c r="D434" s="434"/>
      <c r="E434" s="984"/>
      <c r="F434" s="1092"/>
      <c r="L434" s="173"/>
      <c r="M434" s="174"/>
      <c r="N434" s="491">
        <f>Prod.!AR189</f>
        <v>0</v>
      </c>
      <c r="O434" s="160"/>
    </row>
    <row r="435" spans="1:24" ht="15" customHeight="1">
      <c r="A435" s="984"/>
      <c r="B435" s="984"/>
      <c r="C435" s="984"/>
      <c r="D435" s="984"/>
      <c r="E435" s="515"/>
      <c r="F435" s="517"/>
      <c r="G435" s="1091"/>
    </row>
    <row r="436" spans="1:24" ht="15" customHeight="1">
      <c r="A436" s="984"/>
      <c r="B436" s="1093"/>
      <c r="C436" s="1093"/>
      <c r="D436" s="984"/>
      <c r="E436" s="286"/>
      <c r="F436" s="417"/>
      <c r="G436" s="253"/>
    </row>
    <row r="437" spans="1:24" ht="15" customHeight="1">
      <c r="A437" s="984"/>
      <c r="B437" s="1093"/>
      <c r="C437" s="1093"/>
      <c r="D437" s="984"/>
      <c r="E437" s="286"/>
      <c r="F437" s="417"/>
      <c r="G437" s="253"/>
    </row>
    <row r="438" spans="1:24" ht="15" customHeight="1">
      <c r="A438" s="984"/>
      <c r="B438" s="1093"/>
      <c r="C438" s="1093"/>
      <c r="D438" s="984"/>
      <c r="E438" s="286"/>
      <c r="F438" s="417"/>
      <c r="G438" s="253"/>
    </row>
    <row r="439" spans="1:24" ht="15" customHeight="1">
      <c r="A439" s="984"/>
      <c r="B439" s="1051"/>
      <c r="C439" s="1051"/>
      <c r="D439" s="984"/>
      <c r="E439" s="286"/>
      <c r="F439" s="417"/>
      <c r="G439" s="253"/>
    </row>
    <row r="440" spans="1:24" ht="15" customHeight="1">
      <c r="A440" s="984"/>
      <c r="B440" s="1051"/>
      <c r="C440" s="1051"/>
      <c r="D440" s="984"/>
      <c r="E440" s="286"/>
      <c r="F440" s="417"/>
    </row>
    <row r="441" spans="1:24" ht="15" customHeight="1">
      <c r="A441" s="1084"/>
      <c r="B441" s="515"/>
      <c r="H441" s="180"/>
    </row>
    <row r="442" spans="1:24" ht="15" customHeight="1">
      <c r="A442" s="984"/>
      <c r="B442" s="984"/>
      <c r="D442" s="434"/>
      <c r="E442" s="434"/>
      <c r="H442" s="180"/>
      <c r="J442" s="1079" t="s">
        <v>301</v>
      </c>
      <c r="K442" s="1382"/>
      <c r="L442" s="1382"/>
      <c r="M442" s="1382"/>
      <c r="N442" s="1382"/>
      <c r="O442" s="1382"/>
      <c r="P442" s="1382"/>
      <c r="Q442" s="1382"/>
      <c r="R442" s="1382"/>
    </row>
    <row r="443" spans="1:24" ht="15.75" customHeight="1" thickBot="1">
      <c r="A443" s="984"/>
      <c r="B443" s="1051"/>
      <c r="H443" s="180"/>
      <c r="J443" s="1080" t="s">
        <v>1</v>
      </c>
      <c r="K443" s="466" t="s">
        <v>45</v>
      </c>
      <c r="L443" s="467" t="s">
        <v>46</v>
      </c>
      <c r="M443" s="468" t="s">
        <v>47</v>
      </c>
      <c r="N443" s="467" t="s">
        <v>48</v>
      </c>
      <c r="O443" s="466" t="s">
        <v>45</v>
      </c>
      <c r="P443" s="467" t="s">
        <v>46</v>
      </c>
      <c r="Q443" s="468" t="s">
        <v>47</v>
      </c>
      <c r="R443" s="467" t="s">
        <v>48</v>
      </c>
    </row>
    <row r="444" spans="1:24" ht="15.75" customHeight="1" thickBot="1">
      <c r="A444" s="984"/>
      <c r="B444" s="984"/>
      <c r="C444" s="984"/>
      <c r="D444" s="984"/>
      <c r="E444" s="984"/>
      <c r="F444" s="417"/>
      <c r="G444" s="379"/>
      <c r="J444" s="1081">
        <v>160</v>
      </c>
      <c r="K444" s="158">
        <f>Prod.!P216</f>
        <v>0</v>
      </c>
      <c r="L444" s="158">
        <f>Prod.!Q216</f>
        <v>0</v>
      </c>
      <c r="M444" s="158">
        <f>Prod.!R216</f>
        <v>0</v>
      </c>
      <c r="N444" s="158">
        <f>Prod.!S216</f>
        <v>0</v>
      </c>
      <c r="O444" s="158">
        <f>Prod.!V216</f>
        <v>0</v>
      </c>
      <c r="P444" s="158">
        <f>Prod.!W216</f>
        <v>0</v>
      </c>
      <c r="Q444" s="158">
        <f>Prod.!X216</f>
        <v>0</v>
      </c>
      <c r="R444" s="158">
        <f>Prod.!Y216</f>
        <v>0</v>
      </c>
      <c r="U444" s="1383" t="s">
        <v>230</v>
      </c>
      <c r="V444" s="1383"/>
      <c r="W444" s="1383"/>
      <c r="X444" s="1383"/>
    </row>
    <row r="445" spans="1:24" ht="15.75" customHeight="1" thickBot="1">
      <c r="A445" s="515"/>
      <c r="B445" s="516"/>
      <c r="C445" s="515"/>
      <c r="D445" s="517"/>
      <c r="E445" s="286"/>
      <c r="F445" s="417"/>
      <c r="G445" s="379"/>
      <c r="J445" s="1081">
        <v>110</v>
      </c>
      <c r="K445" s="158">
        <f>Prod.!J214</f>
        <v>0</v>
      </c>
      <c r="L445" s="158">
        <f>Prod.!K214</f>
        <v>0</v>
      </c>
      <c r="M445" s="158">
        <f>Prod.!L214</f>
        <v>0</v>
      </c>
      <c r="N445" s="158">
        <f>Prod.!M214</f>
        <v>0</v>
      </c>
      <c r="U445" s="1384">
        <f>A441</f>
        <v>0</v>
      </c>
      <c r="V445" s="1384"/>
      <c r="W445" s="453" t="s">
        <v>233</v>
      </c>
      <c r="X445" s="454" t="s">
        <v>234</v>
      </c>
    </row>
    <row r="446" spans="1:24" ht="15" customHeight="1">
      <c r="A446" s="515"/>
      <c r="B446" s="516"/>
      <c r="C446" s="515"/>
      <c r="D446" s="517"/>
      <c r="E446" s="286"/>
      <c r="F446" s="417"/>
      <c r="G446" s="379"/>
      <c r="J446" s="1385"/>
      <c r="K446" s="1385"/>
      <c r="L446" s="1385"/>
      <c r="M446" s="1385"/>
      <c r="N446" s="1385"/>
      <c r="O446" s="1385"/>
      <c r="P446" s="455"/>
      <c r="U446" s="231"/>
      <c r="X446" s="456"/>
    </row>
    <row r="447" spans="1:24" ht="15" customHeight="1">
      <c r="A447" s="515"/>
      <c r="B447" s="516"/>
      <c r="C447" s="515"/>
      <c r="D447" s="517"/>
      <c r="E447" s="929"/>
      <c r="F447" s="417"/>
      <c r="G447" s="379"/>
      <c r="J447" s="181"/>
      <c r="K447" s="508"/>
      <c r="L447" s="181"/>
      <c r="M447" s="508"/>
      <c r="N447" s="181"/>
      <c r="O447" s="508"/>
      <c r="U447" s="458">
        <f>E446</f>
        <v>0</v>
      </c>
      <c r="V447" s="282">
        <f>F446</f>
        <v>0</v>
      </c>
      <c r="W447" s="459"/>
      <c r="X447" s="460"/>
    </row>
    <row r="448" spans="1:24" ht="15" customHeight="1">
      <c r="A448" s="515"/>
      <c r="B448" s="516"/>
      <c r="C448" s="515"/>
      <c r="D448" s="517"/>
      <c r="E448" s="286"/>
      <c r="F448" s="417"/>
      <c r="G448" s="1048"/>
      <c r="K448" s="1382"/>
      <c r="L448" s="1382"/>
      <c r="M448" s="1382"/>
      <c r="N448" s="1382"/>
      <c r="O448" s="1382"/>
      <c r="P448" s="1382"/>
      <c r="Q448" s="1382"/>
      <c r="R448" s="1382"/>
      <c r="U448" s="462">
        <f t="shared" ref="U448:U452" si="31">E448</f>
        <v>0</v>
      </c>
      <c r="V448" s="463">
        <f t="shared" ref="V448:V452" si="32">F448</f>
        <v>0</v>
      </c>
      <c r="W448" s="464">
        <f t="shared" ref="W448:W452" si="33">G448</f>
        <v>0</v>
      </c>
      <c r="X448" s="465"/>
    </row>
    <row r="449" spans="1:24" ht="15" customHeight="1">
      <c r="A449" s="515"/>
      <c r="B449" s="516"/>
      <c r="C449" s="515"/>
      <c r="D449" s="517"/>
      <c r="E449" s="286"/>
      <c r="F449" s="417"/>
      <c r="G449" s="1048"/>
      <c r="J449" s="1080" t="s">
        <v>1</v>
      </c>
      <c r="K449" s="466" t="s">
        <v>45</v>
      </c>
      <c r="L449" s="467" t="s">
        <v>46</v>
      </c>
      <c r="M449" s="468" t="s">
        <v>47</v>
      </c>
      <c r="N449" s="467" t="s">
        <v>48</v>
      </c>
      <c r="O449" s="466" t="s">
        <v>45</v>
      </c>
      <c r="P449" s="467" t="s">
        <v>46</v>
      </c>
      <c r="Q449" s="468" t="s">
        <v>47</v>
      </c>
      <c r="R449" s="467" t="s">
        <v>48</v>
      </c>
      <c r="U449" s="374">
        <f t="shared" si="31"/>
        <v>0</v>
      </c>
      <c r="V449" s="282">
        <f t="shared" si="32"/>
        <v>0</v>
      </c>
      <c r="W449" s="469">
        <f t="shared" si="33"/>
        <v>0</v>
      </c>
      <c r="X449" s="465">
        <f>$I$1</f>
        <v>0</v>
      </c>
    </row>
    <row r="450" spans="1:24" ht="15" customHeight="1">
      <c r="A450" s="515"/>
      <c r="B450" s="516"/>
      <c r="C450" s="515"/>
      <c r="D450" s="517"/>
      <c r="E450" s="286"/>
      <c r="F450" s="417"/>
      <c r="G450" s="1048"/>
      <c r="J450" s="1081">
        <v>130</v>
      </c>
      <c r="K450" s="471">
        <f>Prod.!P215</f>
        <v>0</v>
      </c>
      <c r="L450" s="471">
        <f>Prod.!Q215</f>
        <v>0</v>
      </c>
      <c r="M450" s="471">
        <f>Prod.!R215</f>
        <v>0</v>
      </c>
      <c r="N450" s="471">
        <f>Prod.!S215</f>
        <v>0</v>
      </c>
      <c r="O450" s="471">
        <f>Prod.!V215</f>
        <v>0</v>
      </c>
      <c r="P450" s="471">
        <f>Prod.!W215</f>
        <v>0</v>
      </c>
      <c r="Q450" s="471">
        <f>Prod.!X215</f>
        <v>0</v>
      </c>
      <c r="R450" s="471">
        <f>Prod.!Y215</f>
        <v>0</v>
      </c>
      <c r="U450" s="374">
        <f t="shared" si="31"/>
        <v>0</v>
      </c>
      <c r="V450" s="282">
        <f t="shared" si="32"/>
        <v>0</v>
      </c>
      <c r="W450" s="469">
        <f t="shared" si="33"/>
        <v>0</v>
      </c>
      <c r="X450" s="465">
        <f>IFERROR($I$2,0)</f>
        <v>0</v>
      </c>
    </row>
    <row r="451" spans="1:24" ht="15" customHeight="1">
      <c r="A451" s="515"/>
      <c r="B451" s="516"/>
      <c r="C451" s="515"/>
      <c r="D451" s="517"/>
      <c r="E451" s="1085"/>
      <c r="F451" s="517"/>
      <c r="G451" s="1086"/>
      <c r="U451" s="374">
        <f t="shared" si="31"/>
        <v>0</v>
      </c>
      <c r="V451" s="282">
        <f t="shared" si="32"/>
        <v>0</v>
      </c>
      <c r="W451" s="469">
        <f t="shared" si="33"/>
        <v>0</v>
      </c>
      <c r="X451" s="475"/>
    </row>
    <row r="452" spans="1:24" ht="15" customHeight="1">
      <c r="A452" s="515"/>
      <c r="B452" s="516"/>
      <c r="C452" s="515"/>
      <c r="D452" s="517"/>
      <c r="E452" s="1085"/>
      <c r="F452" s="1087"/>
      <c r="G452" s="1088"/>
      <c r="U452" s="374">
        <f t="shared" si="31"/>
        <v>0</v>
      </c>
      <c r="V452" s="282">
        <f t="shared" si="32"/>
        <v>0</v>
      </c>
      <c r="W452" s="469">
        <f t="shared" si="33"/>
        <v>0</v>
      </c>
      <c r="X452" s="520">
        <f>IFERROR($I$3,0)</f>
        <v>0</v>
      </c>
    </row>
    <row r="453" spans="1:24" ht="15" customHeight="1">
      <c r="A453" s="515"/>
      <c r="B453" s="515"/>
      <c r="C453" s="515"/>
      <c r="D453" s="517"/>
      <c r="E453" s="1085"/>
      <c r="F453" s="417"/>
      <c r="G453" s="1089"/>
      <c r="J453" t="s">
        <v>65</v>
      </c>
      <c r="K453" s="181">
        <f>Prod.!C214</f>
        <v>0</v>
      </c>
      <c r="L453" s="181">
        <f>Prod.!D214</f>
        <v>0</v>
      </c>
      <c r="M453" s="181">
        <f>Prod.!E214</f>
        <v>0</v>
      </c>
      <c r="N453" s="160">
        <f>Prod.!F214</f>
        <v>0</v>
      </c>
      <c r="O453" s="160">
        <f>Prod.!G214</f>
        <v>0</v>
      </c>
      <c r="U453" s="374">
        <f>E453</f>
        <v>0</v>
      </c>
      <c r="V453" s="282">
        <f>F453-V456</f>
        <v>0</v>
      </c>
      <c r="W453" s="479"/>
      <c r="X453" s="456"/>
    </row>
    <row r="454" spans="1:24" ht="15" customHeight="1">
      <c r="A454" s="515"/>
      <c r="B454" s="515"/>
      <c r="C454" s="515"/>
      <c r="D454" s="984"/>
      <c r="E454" s="286"/>
      <c r="F454" s="417"/>
      <c r="G454" s="1090"/>
      <c r="J454" t="s">
        <v>67</v>
      </c>
      <c r="K454" s="181">
        <f>Prod.!C215</f>
        <v>0</v>
      </c>
      <c r="L454" s="181">
        <f>Prod.!D215</f>
        <v>0</v>
      </c>
      <c r="M454" s="181">
        <f>Prod.!E215</f>
        <v>0</v>
      </c>
      <c r="N454" s="160">
        <f>Prod.!F215</f>
        <v>0</v>
      </c>
      <c r="O454" s="160">
        <f>Prod.!G215</f>
        <v>0</v>
      </c>
      <c r="T454" s="160"/>
      <c r="U454" s="374">
        <f>E454</f>
        <v>0</v>
      </c>
      <c r="V454" s="282">
        <f>F454</f>
        <v>0</v>
      </c>
      <c r="W454" s="479"/>
      <c r="X454" s="456"/>
    </row>
    <row r="455" spans="1:24" ht="15.75" customHeight="1" thickBot="1">
      <c r="A455" s="515"/>
      <c r="B455" s="515"/>
      <c r="C455" s="515"/>
      <c r="D455" s="517"/>
      <c r="E455" s="286"/>
      <c r="F455" s="417"/>
      <c r="G455" s="379"/>
      <c r="U455" s="374">
        <f>E455</f>
        <v>0</v>
      </c>
      <c r="V455" s="282">
        <f>F455</f>
        <v>0</v>
      </c>
      <c r="W455" s="479"/>
      <c r="X455" s="456"/>
    </row>
    <row r="456" spans="1:24" ht="14.25" customHeight="1" thickBot="1">
      <c r="A456" s="515"/>
      <c r="B456" s="515"/>
      <c r="C456" s="515"/>
      <c r="D456" s="517"/>
      <c r="E456" s="286"/>
      <c r="F456" s="417"/>
      <c r="G456" s="379"/>
      <c r="L456" s="1381" t="s">
        <v>7</v>
      </c>
      <c r="M456" s="1381"/>
      <c r="N456" s="1381"/>
      <c r="U456" s="374">
        <f>E460</f>
        <v>0</v>
      </c>
      <c r="V456" s="282">
        <f>F460</f>
        <v>0</v>
      </c>
      <c r="W456" s="479"/>
      <c r="X456" s="456"/>
    </row>
    <row r="457" spans="1:24" ht="19.5" customHeight="1" thickBot="1">
      <c r="A457" s="515"/>
      <c r="B457" s="515"/>
      <c r="C457" s="515"/>
      <c r="D457" s="517"/>
      <c r="E457" s="286"/>
      <c r="F457" s="417"/>
      <c r="G457" s="379"/>
      <c r="K457" s="163">
        <v>160</v>
      </c>
      <c r="L457" s="1381"/>
      <c r="M457" s="1381"/>
      <c r="N457" s="1381"/>
      <c r="U457" s="483" t="s">
        <v>255</v>
      </c>
      <c r="V457" s="484">
        <f>V447+V448+V449+V450+V451+V452+V453+V454+V455+V456</f>
        <v>0</v>
      </c>
      <c r="W457" s="485"/>
      <c r="X457" s="454"/>
    </row>
    <row r="458" spans="1:24" ht="18" customHeight="1" thickBot="1">
      <c r="A458" s="515"/>
      <c r="B458" s="515"/>
      <c r="C458" s="515"/>
      <c r="D458" s="517"/>
      <c r="E458" s="286"/>
      <c r="F458" s="417"/>
      <c r="G458" s="379"/>
      <c r="L458" s="1381"/>
      <c r="M458" s="1381"/>
      <c r="N458" s="1381"/>
    </row>
    <row r="459" spans="1:24" ht="15" customHeight="1">
      <c r="A459" s="515"/>
      <c r="B459" s="515"/>
      <c r="C459" s="515"/>
      <c r="D459" s="517"/>
      <c r="E459" s="286"/>
      <c r="F459" s="417"/>
      <c r="G459" s="417"/>
      <c r="L459" s="175">
        <f>Prod.!AP211</f>
        <v>6</v>
      </c>
      <c r="M459" s="176">
        <f>Prod.!AQ211</f>
        <v>0</v>
      </c>
      <c r="N459" s="486">
        <f>Prod.!AR211</f>
        <v>0</v>
      </c>
    </row>
    <row r="460" spans="1:24" ht="15" customHeight="1">
      <c r="A460" s="515"/>
      <c r="B460" s="515"/>
      <c r="C460" s="515"/>
      <c r="D460" s="984"/>
      <c r="E460" s="286"/>
      <c r="F460" s="417"/>
      <c r="G460" s="1091"/>
      <c r="L460" s="170">
        <f>Prod.!AP212</f>
        <v>5</v>
      </c>
      <c r="M460" s="171">
        <f>Prod.!AQ212</f>
        <v>0</v>
      </c>
      <c r="N460" s="100">
        <f>Prod.!AR212</f>
        <v>0</v>
      </c>
    </row>
    <row r="461" spans="1:24" ht="15" customHeight="1">
      <c r="A461" s="515"/>
      <c r="B461" s="516"/>
      <c r="C461" s="515"/>
      <c r="D461" s="517"/>
      <c r="E461" s="286"/>
      <c r="F461" s="277"/>
      <c r="G461" s="160"/>
      <c r="L461" s="170">
        <f>Prod.!AP213</f>
        <v>4</v>
      </c>
      <c r="M461" s="171">
        <f>Prod.!AQ213</f>
        <v>0</v>
      </c>
      <c r="N461" s="100">
        <f>Prod.!AR213</f>
        <v>0</v>
      </c>
    </row>
    <row r="462" spans="1:24" ht="15.75" customHeight="1">
      <c r="A462" s="515"/>
      <c r="B462" s="516"/>
      <c r="C462" s="515"/>
      <c r="D462" s="517"/>
      <c r="E462" s="1287"/>
      <c r="F462" s="1287"/>
      <c r="G462" s="379"/>
      <c r="L462" s="170">
        <f>Prod.!AP214</f>
        <v>3</v>
      </c>
      <c r="M462" s="171">
        <f>Prod.!AQ214</f>
        <v>0</v>
      </c>
      <c r="N462" s="100">
        <f>Prod.!AR214</f>
        <v>0</v>
      </c>
      <c r="O462" s="293" t="e">
        <f>N463/((L462*M462)+(L461*M461)+(L460*M460)+(L459*M459))</f>
        <v>#DIV/0!</v>
      </c>
    </row>
    <row r="463" spans="1:24" ht="15.75" customHeight="1">
      <c r="A463" s="515"/>
      <c r="B463" s="515"/>
      <c r="C463" s="515"/>
      <c r="D463" s="517"/>
      <c r="E463" s="984"/>
      <c r="F463" s="1044"/>
      <c r="G463" s="417"/>
      <c r="L463" s="173"/>
      <c r="M463" s="174"/>
      <c r="N463" s="491">
        <f>Prod.!AR215</f>
        <v>0</v>
      </c>
    </row>
    <row r="464" spans="1:24" ht="15" customHeight="1">
      <c r="A464" s="515"/>
      <c r="B464" s="516"/>
      <c r="C464" s="515"/>
      <c r="D464" s="517"/>
      <c r="E464" s="984"/>
      <c r="F464" s="1044"/>
      <c r="G464" s="417"/>
    </row>
    <row r="465" spans="1:15" ht="15" customHeight="1">
      <c r="A465" s="515"/>
      <c r="B465" s="516"/>
      <c r="C465" s="515"/>
      <c r="D465" s="517"/>
      <c r="E465" s="984"/>
      <c r="F465" s="1044"/>
      <c r="G465" s="417"/>
    </row>
    <row r="466" spans="1:15" ht="14.25" customHeight="1">
      <c r="A466" s="515"/>
      <c r="B466" s="515"/>
      <c r="C466" s="515"/>
      <c r="D466" s="517"/>
      <c r="E466" s="984"/>
      <c r="F466" s="1044"/>
      <c r="G466" s="417"/>
    </row>
    <row r="467" spans="1:15" ht="15" customHeight="1">
      <c r="A467" s="515"/>
      <c r="B467" s="516"/>
      <c r="C467" s="515"/>
      <c r="D467" s="517"/>
      <c r="E467" s="984"/>
      <c r="F467" s="172"/>
      <c r="G467" s="417"/>
      <c r="L467" s="1381" t="s">
        <v>7</v>
      </c>
      <c r="M467" s="1381"/>
      <c r="N467" s="1381"/>
    </row>
    <row r="468" spans="1:15" ht="15" customHeight="1">
      <c r="A468" s="515"/>
      <c r="B468" s="516"/>
      <c r="C468" s="515"/>
      <c r="D468" s="517"/>
      <c r="E468" s="984"/>
      <c r="F468" s="493"/>
      <c r="G468" s="417"/>
      <c r="K468" s="163">
        <v>130</v>
      </c>
      <c r="L468" s="1381"/>
      <c r="M468" s="1381"/>
      <c r="N468" s="1381"/>
    </row>
    <row r="469" spans="1:15" ht="15" customHeight="1">
      <c r="A469" s="515"/>
      <c r="B469" s="516"/>
      <c r="C469" s="515"/>
      <c r="D469" s="517"/>
      <c r="E469" s="984"/>
      <c r="F469" s="517"/>
      <c r="G469" s="160"/>
      <c r="L469" s="1381"/>
      <c r="M469" s="1381"/>
      <c r="N469" s="1381"/>
    </row>
    <row r="470" spans="1:15" ht="15" customHeight="1">
      <c r="A470" s="515"/>
      <c r="B470" s="516"/>
      <c r="C470" s="515"/>
      <c r="D470" s="517"/>
      <c r="E470" s="984"/>
      <c r="F470" s="517"/>
      <c r="L470" s="175">
        <f>Prod.!AP203</f>
        <v>6</v>
      </c>
      <c r="M470" s="176">
        <f>Prod.!AQ203</f>
        <v>0</v>
      </c>
      <c r="N470" s="486">
        <f>Prod.!AR203</f>
        <v>0</v>
      </c>
    </row>
    <row r="471" spans="1:15" ht="15" customHeight="1">
      <c r="A471" s="515"/>
      <c r="B471" s="515"/>
      <c r="C471" s="515"/>
      <c r="D471" s="517"/>
      <c r="E471" s="984"/>
      <c r="F471" s="254"/>
      <c r="L471" s="170">
        <f>Prod.!AP204</f>
        <v>5</v>
      </c>
      <c r="M471" s="171">
        <f>Prod.!AQ204</f>
        <v>0</v>
      </c>
      <c r="N471" s="100">
        <f>Prod.!AR204</f>
        <v>0</v>
      </c>
      <c r="O471" s="160"/>
    </row>
    <row r="472" spans="1:15" ht="15" customHeight="1">
      <c r="A472" s="515"/>
      <c r="B472" s="515"/>
      <c r="C472" s="515"/>
      <c r="D472" s="517"/>
      <c r="E472" s="984"/>
      <c r="F472" s="254"/>
      <c r="L472" s="170">
        <f>Prod.!AP205</f>
        <v>4</v>
      </c>
      <c r="M472" s="171">
        <f>Prod.!AQ205</f>
        <v>0</v>
      </c>
      <c r="N472" s="100">
        <f>Prod.!AR205</f>
        <v>0</v>
      </c>
      <c r="O472" s="160"/>
    </row>
    <row r="473" spans="1:15" ht="15.75" customHeight="1">
      <c r="A473" s="515"/>
      <c r="B473" s="515"/>
      <c r="C473" s="515"/>
      <c r="D473" s="517"/>
      <c r="E473" s="984"/>
      <c r="F473" s="536"/>
      <c r="L473" s="170">
        <f>Prod.!AP206</f>
        <v>3</v>
      </c>
      <c r="M473" s="172">
        <f>Prod.!AQ206</f>
        <v>0</v>
      </c>
      <c r="N473" s="100">
        <f>Prod.!AR206</f>
        <v>0</v>
      </c>
      <c r="O473" t="e">
        <f>N474/((L473*M473)+(L472*M472)+(L471*M471)+(L470*M470))</f>
        <v>#DIV/0!</v>
      </c>
    </row>
    <row r="474" spans="1:15" ht="15.75" customHeight="1">
      <c r="A474" s="515"/>
      <c r="B474" s="515"/>
      <c r="C474" s="515"/>
      <c r="D474" s="434"/>
      <c r="E474" s="984"/>
      <c r="F474" s="1092"/>
      <c r="L474" s="173"/>
      <c r="M474" s="174"/>
      <c r="N474" s="491">
        <f>Prod.!AR207</f>
        <v>0</v>
      </c>
      <c r="O474" s="160"/>
    </row>
    <row r="475" spans="1:15" ht="15" customHeight="1">
      <c r="A475" s="984"/>
      <c r="B475" s="984"/>
      <c r="C475" s="984"/>
      <c r="D475" s="984"/>
      <c r="E475" s="515"/>
      <c r="F475" s="517"/>
      <c r="G475" s="1091"/>
    </row>
    <row r="476" spans="1:15" ht="15" customHeight="1">
      <c r="A476" s="984"/>
      <c r="B476" s="1093"/>
      <c r="C476" s="1093"/>
      <c r="D476" s="984"/>
      <c r="E476" s="286"/>
      <c r="F476" s="417"/>
      <c r="G476" s="253"/>
    </row>
    <row r="477" spans="1:15" ht="15" customHeight="1">
      <c r="A477" s="984"/>
      <c r="B477" s="1093"/>
      <c r="C477" s="1093"/>
      <c r="D477" s="984"/>
      <c r="E477" s="286"/>
      <c r="F477" s="417"/>
      <c r="G477" s="253"/>
    </row>
    <row r="478" spans="1:15" ht="15" customHeight="1">
      <c r="A478" s="984"/>
      <c r="B478" s="1093"/>
      <c r="C478" s="1093"/>
      <c r="D478" s="984"/>
      <c r="E478" s="286"/>
      <c r="F478" s="417"/>
      <c r="G478" s="253"/>
    </row>
    <row r="479" spans="1:15" ht="15" customHeight="1">
      <c r="A479" s="984"/>
      <c r="B479" s="1051"/>
      <c r="C479" s="1051"/>
      <c r="D479" s="984"/>
      <c r="E479" s="286"/>
      <c r="F479" s="417"/>
      <c r="G479" s="253"/>
    </row>
    <row r="480" spans="1:15" ht="15" customHeight="1">
      <c r="A480" s="984"/>
      <c r="B480" s="1051"/>
      <c r="C480" s="1051"/>
      <c r="D480" s="984"/>
      <c r="E480" s="286"/>
      <c r="F480" s="417"/>
    </row>
    <row r="481" spans="1:24" ht="15" customHeight="1">
      <c r="A481" s="1084"/>
      <c r="B481" s="515"/>
      <c r="H481" s="180"/>
    </row>
    <row r="482" spans="1:24" ht="15" customHeight="1">
      <c r="A482" s="984"/>
      <c r="B482" s="984"/>
      <c r="D482" s="434"/>
      <c r="E482" s="434"/>
      <c r="H482" s="180"/>
      <c r="J482" s="1079" t="s">
        <v>302</v>
      </c>
      <c r="K482" s="1382"/>
      <c r="L482" s="1382"/>
      <c r="M482" s="1382"/>
      <c r="N482" s="1382"/>
      <c r="O482" s="1382"/>
      <c r="P482" s="1382"/>
      <c r="Q482" s="1382"/>
      <c r="R482" s="1382"/>
    </row>
    <row r="483" spans="1:24" ht="15.75" customHeight="1" thickBot="1">
      <c r="A483" s="984"/>
      <c r="B483" s="1051"/>
      <c r="H483" s="180"/>
      <c r="J483" s="1080" t="s">
        <v>1</v>
      </c>
      <c r="K483" s="466" t="s">
        <v>45</v>
      </c>
      <c r="L483" s="467" t="s">
        <v>46</v>
      </c>
      <c r="M483" s="468" t="s">
        <v>47</v>
      </c>
      <c r="N483" s="467" t="s">
        <v>48</v>
      </c>
      <c r="O483" s="466" t="s">
        <v>45</v>
      </c>
      <c r="P483" s="467" t="s">
        <v>46</v>
      </c>
      <c r="Q483" s="468" t="s">
        <v>47</v>
      </c>
      <c r="R483" s="467" t="s">
        <v>48</v>
      </c>
    </row>
    <row r="484" spans="1:24" ht="15.75" customHeight="1" thickBot="1">
      <c r="A484" s="984"/>
      <c r="B484" s="984"/>
      <c r="C484" s="984"/>
      <c r="D484" s="984"/>
      <c r="E484" s="984"/>
      <c r="F484" s="417"/>
      <c r="G484" s="379"/>
      <c r="J484" s="1081">
        <v>160</v>
      </c>
      <c r="K484" s="158">
        <f>Prod.!P234</f>
        <v>0</v>
      </c>
      <c r="L484" s="158">
        <f>Prod.!Q234</f>
        <v>0</v>
      </c>
      <c r="M484" s="158">
        <f>Prod.!R234</f>
        <v>0</v>
      </c>
      <c r="N484" s="158">
        <f>Prod.!S234</f>
        <v>0</v>
      </c>
      <c r="O484" s="158">
        <f>Prod.!V234</f>
        <v>0</v>
      </c>
      <c r="P484" s="158">
        <f>Prod.!W234</f>
        <v>0</v>
      </c>
      <c r="Q484" s="158">
        <f>Prod.!X234</f>
        <v>0</v>
      </c>
      <c r="R484" s="158">
        <f>Prod.!Y234</f>
        <v>0</v>
      </c>
      <c r="U484" s="1383" t="s">
        <v>230</v>
      </c>
      <c r="V484" s="1383"/>
      <c r="W484" s="1383"/>
      <c r="X484" s="1383"/>
    </row>
    <row r="485" spans="1:24" ht="15.75" customHeight="1" thickBot="1">
      <c r="A485" s="515"/>
      <c r="B485" s="516"/>
      <c r="C485" s="515"/>
      <c r="D485" s="517"/>
      <c r="E485" s="286"/>
      <c r="F485" s="417"/>
      <c r="G485" s="379"/>
      <c r="J485" s="1081">
        <v>110</v>
      </c>
      <c r="K485" s="158">
        <f>Prod.!J232</f>
        <v>0</v>
      </c>
      <c r="L485" s="158">
        <f>Prod.!K232</f>
        <v>0</v>
      </c>
      <c r="M485" s="158">
        <f>Prod.!L232</f>
        <v>0</v>
      </c>
      <c r="N485" s="158">
        <f>Prod.!M232</f>
        <v>0</v>
      </c>
      <c r="U485" s="1384">
        <f>A481</f>
        <v>0</v>
      </c>
      <c r="V485" s="1384"/>
      <c r="W485" s="453" t="s">
        <v>233</v>
      </c>
      <c r="X485" s="454" t="s">
        <v>234</v>
      </c>
    </row>
    <row r="486" spans="1:24" ht="15" customHeight="1">
      <c r="A486" s="515"/>
      <c r="B486" s="516"/>
      <c r="C486" s="515"/>
      <c r="D486" s="517"/>
      <c r="E486" s="286"/>
      <c r="F486" s="417"/>
      <c r="G486" s="379"/>
      <c r="J486" s="1385"/>
      <c r="K486" s="1385"/>
      <c r="L486" s="1385"/>
      <c r="M486" s="1385"/>
      <c r="N486" s="1385"/>
      <c r="O486" s="1385"/>
      <c r="P486" s="455"/>
      <c r="U486" s="231"/>
      <c r="X486" s="456"/>
    </row>
    <row r="487" spans="1:24" ht="15" customHeight="1">
      <c r="A487" s="515"/>
      <c r="B487" s="516"/>
      <c r="C487" s="515"/>
      <c r="D487" s="517"/>
      <c r="E487" s="929"/>
      <c r="F487" s="417"/>
      <c r="G487" s="379"/>
      <c r="J487" s="181"/>
      <c r="K487" s="508"/>
      <c r="L487" s="181"/>
      <c r="M487" s="508"/>
      <c r="N487" s="181"/>
      <c r="O487" s="508"/>
      <c r="U487" s="458">
        <f>E486</f>
        <v>0</v>
      </c>
      <c r="V487" s="282">
        <f>F486</f>
        <v>0</v>
      </c>
      <c r="W487" s="459"/>
      <c r="X487" s="460"/>
    </row>
    <row r="488" spans="1:24" ht="15" customHeight="1">
      <c r="A488" s="515"/>
      <c r="B488" s="516"/>
      <c r="C488" s="515"/>
      <c r="D488" s="517"/>
      <c r="E488" s="286"/>
      <c r="F488" s="417"/>
      <c r="G488" s="1048"/>
      <c r="K488" s="1382"/>
      <c r="L488" s="1382"/>
      <c r="M488" s="1382"/>
      <c r="N488" s="1382"/>
      <c r="O488" s="1382"/>
      <c r="P488" s="1382"/>
      <c r="Q488" s="1382"/>
      <c r="R488" s="1382"/>
      <c r="U488" s="462">
        <f t="shared" ref="U488:U492" si="34">E488</f>
        <v>0</v>
      </c>
      <c r="V488" s="463">
        <f t="shared" ref="V488:V492" si="35">F488</f>
        <v>0</v>
      </c>
      <c r="W488" s="464">
        <f t="shared" ref="W488:W492" si="36">G488</f>
        <v>0</v>
      </c>
      <c r="X488" s="465"/>
    </row>
    <row r="489" spans="1:24" ht="15" customHeight="1">
      <c r="A489" s="515"/>
      <c r="B489" s="516"/>
      <c r="C489" s="515"/>
      <c r="D489" s="517"/>
      <c r="E489" s="286"/>
      <c r="F489" s="417"/>
      <c r="G489" s="1048"/>
      <c r="J489" s="1080" t="s">
        <v>1</v>
      </c>
      <c r="K489" s="466" t="s">
        <v>45</v>
      </c>
      <c r="L489" s="467" t="s">
        <v>46</v>
      </c>
      <c r="M489" s="468" t="s">
        <v>47</v>
      </c>
      <c r="N489" s="467" t="s">
        <v>48</v>
      </c>
      <c r="O489" s="466" t="s">
        <v>45</v>
      </c>
      <c r="P489" s="467" t="s">
        <v>46</v>
      </c>
      <c r="Q489" s="468" t="s">
        <v>47</v>
      </c>
      <c r="R489" s="467" t="s">
        <v>48</v>
      </c>
      <c r="U489" s="374">
        <f t="shared" si="34"/>
        <v>0</v>
      </c>
      <c r="V489" s="282">
        <f t="shared" si="35"/>
        <v>0</v>
      </c>
      <c r="W489" s="469">
        <f t="shared" si="36"/>
        <v>0</v>
      </c>
      <c r="X489" s="465">
        <f>$I$1</f>
        <v>0</v>
      </c>
    </row>
    <row r="490" spans="1:24" ht="15" customHeight="1">
      <c r="A490" s="515"/>
      <c r="B490" s="516"/>
      <c r="C490" s="515"/>
      <c r="D490" s="517"/>
      <c r="E490" s="286"/>
      <c r="F490" s="417"/>
      <c r="G490" s="1048"/>
      <c r="J490" s="1081">
        <v>130</v>
      </c>
      <c r="K490" s="471">
        <f>Prod.!P233</f>
        <v>0</v>
      </c>
      <c r="L490" s="471">
        <f>Prod.!Q233</f>
        <v>0</v>
      </c>
      <c r="M490" s="471">
        <f>Prod.!R233</f>
        <v>0</v>
      </c>
      <c r="N490" s="471">
        <f>Prod.!S233</f>
        <v>0</v>
      </c>
      <c r="O490" s="471">
        <f>Prod.!V233</f>
        <v>0</v>
      </c>
      <c r="P490" s="471">
        <f>Prod.!W233</f>
        <v>0</v>
      </c>
      <c r="Q490" s="471">
        <f>Prod.!X233</f>
        <v>0</v>
      </c>
      <c r="R490" s="471">
        <f>Prod.!Y233</f>
        <v>0</v>
      </c>
      <c r="U490" s="374">
        <f t="shared" si="34"/>
        <v>0</v>
      </c>
      <c r="V490" s="282">
        <f t="shared" si="35"/>
        <v>0</v>
      </c>
      <c r="W490" s="469">
        <f t="shared" si="36"/>
        <v>0</v>
      </c>
      <c r="X490" s="465">
        <f>IFERROR($I$2,0)</f>
        <v>0</v>
      </c>
    </row>
    <row r="491" spans="1:24" ht="15" customHeight="1">
      <c r="A491" s="515"/>
      <c r="B491" s="516"/>
      <c r="C491" s="515"/>
      <c r="D491" s="517"/>
      <c r="E491" s="1085"/>
      <c r="F491" s="517"/>
      <c r="G491" s="1086"/>
      <c r="U491" s="374">
        <f t="shared" si="34"/>
        <v>0</v>
      </c>
      <c r="V491" s="282">
        <f t="shared" si="35"/>
        <v>0</v>
      </c>
      <c r="W491" s="469">
        <f t="shared" si="36"/>
        <v>0</v>
      </c>
      <c r="X491" s="475"/>
    </row>
    <row r="492" spans="1:24" ht="15" customHeight="1">
      <c r="A492" s="515"/>
      <c r="B492" s="516"/>
      <c r="C492" s="515"/>
      <c r="D492" s="517"/>
      <c r="E492" s="1085"/>
      <c r="F492" s="1087"/>
      <c r="G492" s="1088"/>
      <c r="U492" s="374">
        <f t="shared" si="34"/>
        <v>0</v>
      </c>
      <c r="V492" s="282">
        <f t="shared" si="35"/>
        <v>0</v>
      </c>
      <c r="W492" s="469">
        <f t="shared" si="36"/>
        <v>0</v>
      </c>
      <c r="X492" s="520">
        <f>IFERROR($I$3,0)</f>
        <v>0</v>
      </c>
    </row>
    <row r="493" spans="1:24" ht="15" customHeight="1">
      <c r="A493" s="515"/>
      <c r="B493" s="515"/>
      <c r="C493" s="515"/>
      <c r="D493" s="517"/>
      <c r="E493" s="1085"/>
      <c r="F493" s="417"/>
      <c r="G493" s="1089"/>
      <c r="J493" t="s">
        <v>65</v>
      </c>
      <c r="K493" s="181">
        <f>Prod.!C232</f>
        <v>0</v>
      </c>
      <c r="L493" s="181">
        <f>Prod.!D232</f>
        <v>0</v>
      </c>
      <c r="M493" s="181">
        <f>Prod.!E232</f>
        <v>0</v>
      </c>
      <c r="N493" s="160">
        <f>Prod.!F232</f>
        <v>0</v>
      </c>
      <c r="O493" s="160">
        <f>Prod.!G232</f>
        <v>0</v>
      </c>
      <c r="U493" s="374">
        <f>E493</f>
        <v>0</v>
      </c>
      <c r="V493" s="282">
        <f>F493-V496</f>
        <v>0</v>
      </c>
      <c r="W493" s="479"/>
      <c r="X493" s="456"/>
    </row>
    <row r="494" spans="1:24" ht="15" customHeight="1">
      <c r="A494" s="515"/>
      <c r="B494" s="515"/>
      <c r="C494" s="515"/>
      <c r="D494" s="984"/>
      <c r="E494" s="286"/>
      <c r="F494" s="417"/>
      <c r="G494" s="1090"/>
      <c r="J494" t="s">
        <v>67</v>
      </c>
      <c r="K494" s="181">
        <f>Prod.!C233</f>
        <v>0</v>
      </c>
      <c r="L494" s="181">
        <f>Prod.!D233</f>
        <v>0</v>
      </c>
      <c r="M494" s="181">
        <f>Prod.!E233</f>
        <v>0</v>
      </c>
      <c r="N494" s="160">
        <f>Prod.!F233</f>
        <v>0</v>
      </c>
      <c r="O494" s="160">
        <f>Prod.!G233</f>
        <v>0</v>
      </c>
      <c r="T494" s="160"/>
      <c r="U494" s="374">
        <f>E494</f>
        <v>0</v>
      </c>
      <c r="V494" s="282">
        <f>F494</f>
        <v>0</v>
      </c>
      <c r="W494" s="479"/>
      <c r="X494" s="456"/>
    </row>
    <row r="495" spans="1:24" ht="15.75" customHeight="1" thickBot="1">
      <c r="A495" s="515"/>
      <c r="B495" s="515"/>
      <c r="C495" s="515"/>
      <c r="D495" s="517"/>
      <c r="E495" s="286"/>
      <c r="F495" s="417"/>
      <c r="G495" s="379"/>
      <c r="U495" s="374">
        <f>E495</f>
        <v>0</v>
      </c>
      <c r="V495" s="282">
        <f>F495</f>
        <v>0</v>
      </c>
      <c r="W495" s="479"/>
      <c r="X495" s="456"/>
    </row>
    <row r="496" spans="1:24" ht="14.25" customHeight="1" thickBot="1">
      <c r="A496" s="515"/>
      <c r="B496" s="515"/>
      <c r="C496" s="515"/>
      <c r="D496" s="517"/>
      <c r="E496" s="286"/>
      <c r="F496" s="417"/>
      <c r="G496" s="379"/>
      <c r="L496" s="1381" t="s">
        <v>7</v>
      </c>
      <c r="M496" s="1381"/>
      <c r="N496" s="1381"/>
      <c r="U496" s="374">
        <f>E500</f>
        <v>0</v>
      </c>
      <c r="V496" s="282">
        <f>F500</f>
        <v>0</v>
      </c>
      <c r="W496" s="479"/>
      <c r="X496" s="456"/>
    </row>
    <row r="497" spans="1:24" ht="19.5" customHeight="1" thickBot="1">
      <c r="A497" s="515"/>
      <c r="B497" s="515"/>
      <c r="C497" s="515"/>
      <c r="D497" s="517"/>
      <c r="E497" s="286"/>
      <c r="F497" s="417"/>
      <c r="G497" s="379"/>
      <c r="K497" s="163">
        <v>160</v>
      </c>
      <c r="L497" s="1381"/>
      <c r="M497" s="1381"/>
      <c r="N497" s="1381"/>
      <c r="U497" s="483" t="s">
        <v>255</v>
      </c>
      <c r="V497" s="484">
        <f>V487+V488+V489+V490+V491+V492+V493+V494+V495+V496</f>
        <v>0</v>
      </c>
      <c r="W497" s="485"/>
      <c r="X497" s="454"/>
    </row>
    <row r="498" spans="1:24" ht="18" customHeight="1" thickBot="1">
      <c r="A498" s="515"/>
      <c r="B498" s="515"/>
      <c r="C498" s="515"/>
      <c r="D498" s="517"/>
      <c r="E498" s="286"/>
      <c r="F498" s="417"/>
      <c r="G498" s="379"/>
      <c r="L498" s="1381"/>
      <c r="M498" s="1381"/>
      <c r="N498" s="1381"/>
    </row>
    <row r="499" spans="1:24" ht="15" customHeight="1">
      <c r="A499" s="515"/>
      <c r="B499" s="515"/>
      <c r="C499" s="515"/>
      <c r="D499" s="517"/>
      <c r="E499" s="286"/>
      <c r="F499" s="417"/>
      <c r="G499" s="417"/>
      <c r="L499" s="175">
        <f>Prod.!AP229</f>
        <v>6</v>
      </c>
      <c r="M499" s="176">
        <f>Prod.!AQ229</f>
        <v>0</v>
      </c>
      <c r="N499" s="486">
        <f>Prod.!AR229</f>
        <v>0</v>
      </c>
    </row>
    <row r="500" spans="1:24" ht="15" customHeight="1">
      <c r="A500" s="515"/>
      <c r="B500" s="515"/>
      <c r="C500" s="515"/>
      <c r="D500" s="984"/>
      <c r="E500" s="286"/>
      <c r="F500" s="417"/>
      <c r="G500" s="1091"/>
      <c r="L500" s="170">
        <f>Prod.!AP230</f>
        <v>5</v>
      </c>
      <c r="M500" s="171">
        <f>Prod.!AQ230</f>
        <v>0</v>
      </c>
      <c r="N500" s="100">
        <f>Prod.!AR230</f>
        <v>0</v>
      </c>
    </row>
    <row r="501" spans="1:24" ht="15" customHeight="1">
      <c r="A501" s="515"/>
      <c r="B501" s="516"/>
      <c r="C501" s="515"/>
      <c r="D501" s="517"/>
      <c r="E501" s="286"/>
      <c r="F501" s="277"/>
      <c r="G501" s="160"/>
      <c r="L501" s="170">
        <f>Prod.!AP231</f>
        <v>4</v>
      </c>
      <c r="M501" s="171">
        <f>Prod.!AQ231</f>
        <v>0</v>
      </c>
      <c r="N501" s="100">
        <f>Prod.!AR231</f>
        <v>0</v>
      </c>
    </row>
    <row r="502" spans="1:24" ht="15.75" customHeight="1">
      <c r="A502" s="515"/>
      <c r="B502" s="516"/>
      <c r="C502" s="515"/>
      <c r="D502" s="517"/>
      <c r="E502" s="1287"/>
      <c r="F502" s="1287"/>
      <c r="G502" s="379"/>
      <c r="L502" s="170">
        <f>Prod.!AP232</f>
        <v>3</v>
      </c>
      <c r="M502" s="171">
        <f>Prod.!AQ232</f>
        <v>0</v>
      </c>
      <c r="N502" s="100">
        <f>Prod.!AR232</f>
        <v>0</v>
      </c>
      <c r="O502" s="293" t="e">
        <f>N503/((L502*M502)+(L501*M501)+(L500*M500)+(L499*M499))</f>
        <v>#DIV/0!</v>
      </c>
    </row>
    <row r="503" spans="1:24" ht="15.75" customHeight="1">
      <c r="A503" s="515"/>
      <c r="B503" s="515"/>
      <c r="C503" s="515"/>
      <c r="D503" s="517"/>
      <c r="E503" s="984"/>
      <c r="F503" s="1044"/>
      <c r="G503" s="417"/>
      <c r="L503" s="173"/>
      <c r="M503" s="174"/>
      <c r="N503" s="491">
        <f>Prod.!AR233</f>
        <v>0</v>
      </c>
    </row>
    <row r="504" spans="1:24" ht="15" customHeight="1">
      <c r="A504" s="515"/>
      <c r="B504" s="516"/>
      <c r="C504" s="515"/>
      <c r="D504" s="517"/>
      <c r="E504" s="984"/>
      <c r="F504" s="1044"/>
      <c r="G504" s="417"/>
    </row>
    <row r="505" spans="1:24" ht="15" customHeight="1">
      <c r="A505" s="515"/>
      <c r="B505" s="516"/>
      <c r="C505" s="515"/>
      <c r="D505" s="517"/>
      <c r="E505" s="984"/>
      <c r="F505" s="1044"/>
      <c r="G505" s="417"/>
    </row>
    <row r="506" spans="1:24" ht="14.25" customHeight="1">
      <c r="A506" s="515"/>
      <c r="B506" s="515"/>
      <c r="C506" s="515"/>
      <c r="D506" s="517"/>
      <c r="E506" s="984"/>
      <c r="F506" s="1044"/>
      <c r="G506" s="417"/>
    </row>
    <row r="507" spans="1:24" ht="15" customHeight="1">
      <c r="A507" s="515"/>
      <c r="B507" s="516"/>
      <c r="C507" s="515"/>
      <c r="D507" s="517"/>
      <c r="E507" s="984"/>
      <c r="F507" s="172"/>
      <c r="G507" s="417"/>
      <c r="L507" s="1381" t="s">
        <v>7</v>
      </c>
      <c r="M507" s="1381"/>
      <c r="N507" s="1381"/>
    </row>
    <row r="508" spans="1:24" ht="15" customHeight="1">
      <c r="A508" s="515"/>
      <c r="B508" s="516"/>
      <c r="C508" s="515"/>
      <c r="D508" s="517"/>
      <c r="E508" s="984"/>
      <c r="F508" s="493"/>
      <c r="G508" s="417"/>
      <c r="K508" s="163">
        <v>130</v>
      </c>
      <c r="L508" s="1381"/>
      <c r="M508" s="1381"/>
      <c r="N508" s="1381"/>
    </row>
    <row r="509" spans="1:24" ht="15" customHeight="1">
      <c r="A509" s="515"/>
      <c r="B509" s="516"/>
      <c r="C509" s="515"/>
      <c r="D509" s="517"/>
      <c r="E509" s="984"/>
      <c r="F509" s="517"/>
      <c r="G509" s="160"/>
      <c r="L509" s="1381"/>
      <c r="M509" s="1381"/>
      <c r="N509" s="1381"/>
    </row>
    <row r="510" spans="1:24" ht="15" customHeight="1">
      <c r="A510" s="515"/>
      <c r="B510" s="516"/>
      <c r="C510" s="515"/>
      <c r="D510" s="517"/>
      <c r="E510" s="984"/>
      <c r="F510" s="517"/>
      <c r="L510" s="175">
        <f>Prod.!AP221</f>
        <v>6</v>
      </c>
      <c r="M510" s="176">
        <f>Prod.!AQ221</f>
        <v>0</v>
      </c>
      <c r="N510" s="486">
        <f>Prod.!AR221</f>
        <v>0</v>
      </c>
    </row>
    <row r="511" spans="1:24" ht="15" customHeight="1">
      <c r="A511" s="515"/>
      <c r="B511" s="515"/>
      <c r="C511" s="515"/>
      <c r="D511" s="517"/>
      <c r="E511" s="984"/>
      <c r="F511" s="254"/>
      <c r="L511" s="170">
        <f>Prod.!AP222</f>
        <v>5</v>
      </c>
      <c r="M511" s="171">
        <f>Prod.!AQ222</f>
        <v>0</v>
      </c>
      <c r="N511" s="100">
        <f>Prod.!AR222</f>
        <v>0</v>
      </c>
      <c r="O511" s="160"/>
    </row>
    <row r="512" spans="1:24" ht="15" customHeight="1">
      <c r="A512" s="515"/>
      <c r="B512" s="515"/>
      <c r="C512" s="515"/>
      <c r="D512" s="517"/>
      <c r="E512" s="984"/>
      <c r="F512" s="254"/>
      <c r="L512" s="170">
        <f>Prod.!AP223</f>
        <v>4</v>
      </c>
      <c r="M512" s="171">
        <f>Prod.!AQ223</f>
        <v>0</v>
      </c>
      <c r="N512" s="100">
        <f>Prod.!AR223</f>
        <v>0</v>
      </c>
      <c r="O512" s="160"/>
    </row>
    <row r="513" spans="1:24" ht="15.75" customHeight="1">
      <c r="A513" s="515"/>
      <c r="B513" s="515"/>
      <c r="C513" s="515"/>
      <c r="D513" s="517"/>
      <c r="E513" s="984"/>
      <c r="F513" s="536"/>
      <c r="L513" s="170">
        <f>Prod.!AP224</f>
        <v>3</v>
      </c>
      <c r="M513" s="172">
        <f>Prod.!AQ224</f>
        <v>0</v>
      </c>
      <c r="N513" s="100">
        <f>Prod.!AR224</f>
        <v>0</v>
      </c>
      <c r="O513" t="e">
        <f>N514/((L513*M513)+(L512*M512)+(L511*M511)+(L510*M510))</f>
        <v>#DIV/0!</v>
      </c>
    </row>
    <row r="514" spans="1:24" ht="15.75" customHeight="1">
      <c r="A514" s="515"/>
      <c r="B514" s="515"/>
      <c r="C514" s="515"/>
      <c r="D514" s="434"/>
      <c r="E514" s="984"/>
      <c r="F514" s="1092"/>
      <c r="L514" s="173"/>
      <c r="M514" s="174"/>
      <c r="N514" s="491">
        <f>Prod.!AR225</f>
        <v>0</v>
      </c>
      <c r="O514" s="160"/>
    </row>
    <row r="515" spans="1:24" ht="15" customHeight="1">
      <c r="A515" s="984"/>
      <c r="B515" s="984"/>
      <c r="C515" s="984"/>
      <c r="D515" s="984"/>
      <c r="E515" s="515"/>
      <c r="F515" s="517"/>
      <c r="G515" s="1091"/>
    </row>
    <row r="516" spans="1:24" ht="15" customHeight="1">
      <c r="A516" s="984"/>
      <c r="B516" s="1093"/>
      <c r="C516" s="1093"/>
      <c r="D516" s="984"/>
      <c r="E516" s="286"/>
      <c r="F516" s="417"/>
      <c r="G516" s="253"/>
    </row>
    <row r="517" spans="1:24" ht="15" customHeight="1">
      <c r="A517" s="984"/>
      <c r="B517" s="1093"/>
      <c r="C517" s="1093"/>
      <c r="D517" s="984"/>
      <c r="E517" s="286"/>
      <c r="F517" s="417"/>
      <c r="G517" s="253"/>
    </row>
    <row r="518" spans="1:24" ht="15" customHeight="1">
      <c r="A518" s="984"/>
      <c r="B518" s="1093"/>
      <c r="C518" s="1093"/>
      <c r="D518" s="984"/>
      <c r="E518" s="286"/>
      <c r="F518" s="417"/>
      <c r="G518" s="253"/>
    </row>
    <row r="519" spans="1:24" ht="15" customHeight="1">
      <c r="A519" s="984"/>
      <c r="B519" s="1051"/>
      <c r="C519" s="1051"/>
      <c r="D519" s="984"/>
      <c r="E519" s="286"/>
      <c r="F519" s="417"/>
      <c r="G519" s="253"/>
    </row>
    <row r="520" spans="1:24" ht="15" customHeight="1">
      <c r="A520" s="984"/>
      <c r="B520" s="1051"/>
      <c r="C520" s="1051"/>
      <c r="D520" s="984"/>
      <c r="E520" s="286"/>
      <c r="F520" s="417"/>
    </row>
    <row r="521" spans="1:24" ht="15" customHeight="1">
      <c r="A521" s="1084"/>
      <c r="B521" s="515"/>
      <c r="H521" s="180"/>
    </row>
    <row r="522" spans="1:24" ht="15" customHeight="1">
      <c r="A522" s="984"/>
      <c r="B522" s="984"/>
      <c r="D522" s="434"/>
      <c r="E522" s="434"/>
      <c r="H522" s="180"/>
      <c r="J522" s="1079" t="s">
        <v>303</v>
      </c>
      <c r="K522" s="1382"/>
      <c r="L522" s="1382"/>
      <c r="M522" s="1382"/>
      <c r="N522" s="1382"/>
      <c r="O522" s="1382"/>
      <c r="P522" s="1382"/>
      <c r="Q522" s="1382"/>
      <c r="R522" s="1382"/>
    </row>
    <row r="523" spans="1:24" ht="15.75" customHeight="1" thickBot="1">
      <c r="A523" s="984"/>
      <c r="B523" s="1051"/>
      <c r="H523" s="180"/>
      <c r="J523" s="1080" t="s">
        <v>1</v>
      </c>
      <c r="K523" s="466" t="s">
        <v>45</v>
      </c>
      <c r="L523" s="467" t="s">
        <v>46</v>
      </c>
      <c r="M523" s="468" t="s">
        <v>47</v>
      </c>
      <c r="N523" s="467" t="s">
        <v>48</v>
      </c>
      <c r="O523" s="466" t="s">
        <v>45</v>
      </c>
      <c r="P523" s="467" t="s">
        <v>46</v>
      </c>
      <c r="Q523" s="468" t="s">
        <v>47</v>
      </c>
      <c r="R523" s="467" t="s">
        <v>48</v>
      </c>
    </row>
    <row r="524" spans="1:24" ht="15.75" customHeight="1" thickBot="1">
      <c r="A524" s="984"/>
      <c r="B524" s="984"/>
      <c r="C524" s="984"/>
      <c r="D524" s="984"/>
      <c r="E524" s="984"/>
      <c r="F524" s="417"/>
      <c r="G524" s="379"/>
      <c r="J524" s="1082">
        <v>160</v>
      </c>
      <c r="K524" s="156">
        <f>Prod.!P252</f>
        <v>0</v>
      </c>
      <c r="L524" s="156">
        <f>Prod.!Q252</f>
        <v>0</v>
      </c>
      <c r="M524" s="156">
        <f>Prod.!R252</f>
        <v>0</v>
      </c>
      <c r="N524" s="156">
        <f>Prod.!S252</f>
        <v>0</v>
      </c>
      <c r="O524" s="158">
        <f>Prod.!V252</f>
        <v>0</v>
      </c>
      <c r="P524" s="158">
        <f>Prod.!W252</f>
        <v>0</v>
      </c>
      <c r="Q524" s="158">
        <f>Prod.!X252</f>
        <v>0</v>
      </c>
      <c r="R524" s="158">
        <f>Prod.!Y252</f>
        <v>0</v>
      </c>
      <c r="U524" s="1383" t="s">
        <v>230</v>
      </c>
      <c r="V524" s="1383"/>
      <c r="W524" s="1383"/>
      <c r="X524" s="1383"/>
    </row>
    <row r="525" spans="1:24" ht="15.75" customHeight="1" thickBot="1">
      <c r="A525" s="515"/>
      <c r="B525" s="516"/>
      <c r="C525" s="515"/>
      <c r="D525" s="517"/>
      <c r="E525" s="286"/>
      <c r="F525" s="417"/>
      <c r="G525" s="379"/>
      <c r="J525" s="1083">
        <v>110</v>
      </c>
      <c r="K525" s="158">
        <f>Prod.!J250</f>
        <v>0</v>
      </c>
      <c r="L525" s="158">
        <f>Prod.!K250</f>
        <v>0</v>
      </c>
      <c r="M525" s="158">
        <f>Prod.!L250</f>
        <v>0</v>
      </c>
      <c r="N525" s="158">
        <f>Prod.!M250</f>
        <v>0</v>
      </c>
      <c r="U525" s="1384">
        <f>A521</f>
        <v>0</v>
      </c>
      <c r="V525" s="1384"/>
      <c r="W525" s="453" t="s">
        <v>233</v>
      </c>
      <c r="X525" s="454" t="s">
        <v>234</v>
      </c>
    </row>
    <row r="526" spans="1:24" ht="15" customHeight="1">
      <c r="A526" s="515"/>
      <c r="B526" s="516"/>
      <c r="C526" s="515"/>
      <c r="D526" s="517"/>
      <c r="E526" s="286"/>
      <c r="F526" s="417"/>
      <c r="G526" s="379"/>
      <c r="J526" s="414"/>
      <c r="K526" s="414"/>
      <c r="L526" s="1385"/>
      <c r="M526" s="1385"/>
      <c r="N526" s="1385"/>
      <c r="O526" s="1385"/>
      <c r="P526" s="455"/>
      <c r="U526" s="231"/>
      <c r="X526" s="456"/>
    </row>
    <row r="527" spans="1:24" ht="15" customHeight="1">
      <c r="A527" s="515"/>
      <c r="B527" s="516"/>
      <c r="C527" s="515"/>
      <c r="D527" s="517"/>
      <c r="E527" s="929"/>
      <c r="F527" s="417"/>
      <c r="G527" s="379"/>
      <c r="J527" s="181"/>
      <c r="K527" s="508"/>
      <c r="L527" s="181"/>
      <c r="M527" s="508"/>
      <c r="N527" s="181"/>
      <c r="O527" s="508"/>
      <c r="U527" s="458">
        <f>E526</f>
        <v>0</v>
      </c>
      <c r="V527" s="282">
        <f>F526</f>
        <v>0</v>
      </c>
      <c r="W527" s="459"/>
      <c r="X527" s="460"/>
    </row>
    <row r="528" spans="1:24" ht="15" customHeight="1">
      <c r="A528" s="515"/>
      <c r="B528" s="516"/>
      <c r="C528" s="515"/>
      <c r="D528" s="517"/>
      <c r="E528" s="286"/>
      <c r="F528" s="417"/>
      <c r="G528" s="1048"/>
      <c r="K528" s="1382"/>
      <c r="L528" s="1382"/>
      <c r="M528" s="1382"/>
      <c r="N528" s="1382"/>
      <c r="O528" s="1382"/>
      <c r="P528" s="1382"/>
      <c r="Q528" s="1382"/>
      <c r="R528" s="1382"/>
      <c r="U528" s="462">
        <f t="shared" ref="U528:U532" si="37">E528</f>
        <v>0</v>
      </c>
      <c r="V528" s="463">
        <f t="shared" ref="V528:V532" si="38">F528</f>
        <v>0</v>
      </c>
      <c r="W528" s="464">
        <f t="shared" ref="W528:W532" si="39">G528</f>
        <v>0</v>
      </c>
      <c r="X528" s="465"/>
    </row>
    <row r="529" spans="1:24" ht="15" customHeight="1">
      <c r="A529" s="515"/>
      <c r="B529" s="516"/>
      <c r="C529" s="515"/>
      <c r="D529" s="517"/>
      <c r="E529" s="286"/>
      <c r="F529" s="417"/>
      <c r="G529" s="1048"/>
      <c r="J529" s="1080" t="s">
        <v>1</v>
      </c>
      <c r="K529" s="466" t="s">
        <v>45</v>
      </c>
      <c r="L529" s="467" t="s">
        <v>46</v>
      </c>
      <c r="M529" s="468" t="s">
        <v>47</v>
      </c>
      <c r="N529" s="467" t="s">
        <v>48</v>
      </c>
      <c r="O529" s="466" t="s">
        <v>45</v>
      </c>
      <c r="P529" s="467" t="s">
        <v>46</v>
      </c>
      <c r="Q529" s="468" t="s">
        <v>47</v>
      </c>
      <c r="R529" s="467" t="s">
        <v>48</v>
      </c>
      <c r="U529" s="374">
        <f t="shared" si="37"/>
        <v>0</v>
      </c>
      <c r="V529" s="282">
        <f t="shared" si="38"/>
        <v>0</v>
      </c>
      <c r="W529" s="469">
        <f t="shared" si="39"/>
        <v>0</v>
      </c>
      <c r="X529" s="465">
        <f>$I$1</f>
        <v>0</v>
      </c>
    </row>
    <row r="530" spans="1:24" ht="15" customHeight="1">
      <c r="A530" s="515"/>
      <c r="B530" s="516"/>
      <c r="C530" s="515"/>
      <c r="D530" s="517"/>
      <c r="E530" s="286"/>
      <c r="F530" s="417"/>
      <c r="G530" s="1048"/>
      <c r="J530" s="1081">
        <v>130</v>
      </c>
      <c r="K530" s="471">
        <f>Prod.!P251</f>
        <v>0</v>
      </c>
      <c r="L530" s="471">
        <f>Prod.!Q251</f>
        <v>0</v>
      </c>
      <c r="M530" s="471">
        <f>Prod.!R251</f>
        <v>0</v>
      </c>
      <c r="N530" s="471">
        <f>Prod.!S251</f>
        <v>0</v>
      </c>
      <c r="O530" s="471">
        <f>Prod.!V251</f>
        <v>0</v>
      </c>
      <c r="P530" s="471">
        <f>Prod.!W251</f>
        <v>0</v>
      </c>
      <c r="Q530" s="471">
        <f>Prod.!X251</f>
        <v>0</v>
      </c>
      <c r="R530" s="471">
        <f>Prod.!Y251</f>
        <v>0</v>
      </c>
      <c r="U530" s="374">
        <f t="shared" si="37"/>
        <v>0</v>
      </c>
      <c r="V530" s="282">
        <f t="shared" si="38"/>
        <v>0</v>
      </c>
      <c r="W530" s="469">
        <f t="shared" si="39"/>
        <v>0</v>
      </c>
      <c r="X530" s="465">
        <f>IFERROR($I$2,0)</f>
        <v>0</v>
      </c>
    </row>
    <row r="531" spans="1:24" ht="15" customHeight="1">
      <c r="A531" s="515"/>
      <c r="B531" s="516"/>
      <c r="C531" s="515"/>
      <c r="D531" s="517"/>
      <c r="E531" s="1085"/>
      <c r="F531" s="517"/>
      <c r="G531" s="1086"/>
      <c r="U531" s="374">
        <f t="shared" si="37"/>
        <v>0</v>
      </c>
      <c r="V531" s="282">
        <f t="shared" si="38"/>
        <v>0</v>
      </c>
      <c r="W531" s="469">
        <f t="shared" si="39"/>
        <v>0</v>
      </c>
      <c r="X531" s="475"/>
    </row>
    <row r="532" spans="1:24" ht="15" customHeight="1">
      <c r="A532" s="515"/>
      <c r="B532" s="516"/>
      <c r="C532" s="515"/>
      <c r="D532" s="517"/>
      <c r="E532" s="1085"/>
      <c r="F532" s="1087"/>
      <c r="G532" s="1088"/>
      <c r="U532" s="374">
        <f t="shared" si="37"/>
        <v>0</v>
      </c>
      <c r="V532" s="282">
        <f t="shared" si="38"/>
        <v>0</v>
      </c>
      <c r="W532" s="469">
        <f t="shared" si="39"/>
        <v>0</v>
      </c>
      <c r="X532" s="520">
        <f>IFERROR($I$3,0)</f>
        <v>0</v>
      </c>
    </row>
    <row r="533" spans="1:24" ht="15" customHeight="1">
      <c r="A533" s="515"/>
      <c r="B533" s="515"/>
      <c r="C533" s="515"/>
      <c r="D533" s="517"/>
      <c r="E533" s="1085"/>
      <c r="F533" s="417"/>
      <c r="G533" s="1089"/>
      <c r="J533" t="s">
        <v>65</v>
      </c>
      <c r="K533" s="181">
        <f>Prod.!C250</f>
        <v>0</v>
      </c>
      <c r="L533" s="181">
        <f>Prod.!D250</f>
        <v>0</v>
      </c>
      <c r="M533" s="181">
        <f>Prod.!E250</f>
        <v>0</v>
      </c>
      <c r="N533" s="160">
        <f>Prod.!F250</f>
        <v>0</v>
      </c>
      <c r="O533" s="160">
        <f>Prod.!G250</f>
        <v>0</v>
      </c>
      <c r="U533" s="374">
        <f>E533</f>
        <v>0</v>
      </c>
      <c r="V533" s="282">
        <f>F533-V536</f>
        <v>0</v>
      </c>
      <c r="W533" s="479"/>
      <c r="X533" s="456"/>
    </row>
    <row r="534" spans="1:24" ht="15" customHeight="1">
      <c r="A534" s="515"/>
      <c r="B534" s="515"/>
      <c r="C534" s="515"/>
      <c r="D534" s="984"/>
      <c r="E534" s="286"/>
      <c r="F534" s="417"/>
      <c r="G534" s="1090"/>
      <c r="J534" t="s">
        <v>67</v>
      </c>
      <c r="K534" s="181">
        <f>Prod.!C251</f>
        <v>0</v>
      </c>
      <c r="L534" s="181">
        <f>Prod.!D251</f>
        <v>0</v>
      </c>
      <c r="M534" s="181">
        <f>Prod.!E251</f>
        <v>0</v>
      </c>
      <c r="N534" s="160">
        <f>Prod.!F251</f>
        <v>0</v>
      </c>
      <c r="O534" s="160">
        <f>Prod.!G251</f>
        <v>0</v>
      </c>
      <c r="T534" s="160"/>
      <c r="U534" s="374">
        <f>E534</f>
        <v>0</v>
      </c>
      <c r="V534" s="282">
        <f>F534</f>
        <v>0</v>
      </c>
      <c r="W534" s="479"/>
      <c r="X534" s="456"/>
    </row>
    <row r="535" spans="1:24" ht="15.75" customHeight="1" thickBot="1">
      <c r="A535" s="515"/>
      <c r="B535" s="515"/>
      <c r="C535" s="515"/>
      <c r="D535" s="517"/>
      <c r="E535" s="286"/>
      <c r="F535" s="417"/>
      <c r="G535" s="379"/>
      <c r="U535" s="374">
        <f>E535</f>
        <v>0</v>
      </c>
      <c r="V535" s="282">
        <f>F535</f>
        <v>0</v>
      </c>
      <c r="W535" s="479"/>
      <c r="X535" s="456"/>
    </row>
    <row r="536" spans="1:24" ht="14.25" customHeight="1" thickBot="1">
      <c r="A536" s="515"/>
      <c r="B536" s="515"/>
      <c r="C536" s="515"/>
      <c r="D536" s="517"/>
      <c r="E536" s="286"/>
      <c r="F536" s="417"/>
      <c r="G536" s="379"/>
      <c r="L536" s="1381" t="s">
        <v>7</v>
      </c>
      <c r="M536" s="1381"/>
      <c r="N536" s="1381"/>
      <c r="U536" s="374">
        <f>E540</f>
        <v>0</v>
      </c>
      <c r="V536" s="282">
        <f>F540</f>
        <v>0</v>
      </c>
      <c r="W536" s="479"/>
      <c r="X536" s="456"/>
    </row>
    <row r="537" spans="1:24" ht="19.5" customHeight="1" thickBot="1">
      <c r="A537" s="515"/>
      <c r="B537" s="515"/>
      <c r="C537" s="515"/>
      <c r="D537" s="517"/>
      <c r="E537" s="286"/>
      <c r="F537" s="417"/>
      <c r="G537" s="379"/>
      <c r="K537" s="163">
        <v>160</v>
      </c>
      <c r="L537" s="1381"/>
      <c r="M537" s="1381"/>
      <c r="N537" s="1381"/>
      <c r="U537" s="483" t="s">
        <v>255</v>
      </c>
      <c r="V537" s="484">
        <f>V527+V528+V529+V530+V531+V532+V533+V534+V535+V536</f>
        <v>0</v>
      </c>
      <c r="W537" s="485"/>
      <c r="X537" s="454"/>
    </row>
    <row r="538" spans="1:24" ht="18" customHeight="1" thickBot="1">
      <c r="A538" s="515"/>
      <c r="B538" s="515"/>
      <c r="C538" s="515"/>
      <c r="D538" s="517"/>
      <c r="E538" s="286"/>
      <c r="F538" s="417"/>
      <c r="G538" s="379"/>
      <c r="L538" s="1381"/>
      <c r="M538" s="1381"/>
      <c r="N538" s="1381"/>
    </row>
    <row r="539" spans="1:24" ht="15" customHeight="1">
      <c r="A539" s="515"/>
      <c r="B539" s="515"/>
      <c r="C539" s="515"/>
      <c r="D539" s="517"/>
      <c r="E539" s="286"/>
      <c r="F539" s="417"/>
      <c r="G539" s="417"/>
      <c r="L539" s="175">
        <f>Prod.!AP247</f>
        <v>6</v>
      </c>
      <c r="M539" s="176">
        <f>Prod.!AQ247</f>
        <v>0</v>
      </c>
      <c r="N539" s="486">
        <f>Prod.!AR247</f>
        <v>0</v>
      </c>
    </row>
    <row r="540" spans="1:24" ht="15" customHeight="1">
      <c r="A540" s="515"/>
      <c r="B540" s="515"/>
      <c r="C540" s="515"/>
      <c r="D540" s="984"/>
      <c r="E540" s="286"/>
      <c r="F540" s="417"/>
      <c r="G540" s="1091"/>
      <c r="L540" s="170">
        <f>Prod.!AP248</f>
        <v>5</v>
      </c>
      <c r="M540" s="171">
        <f>Prod.!AQ248</f>
        <v>0</v>
      </c>
      <c r="N540" s="100">
        <f>Prod.!AR248</f>
        <v>0</v>
      </c>
    </row>
    <row r="541" spans="1:24" ht="15" customHeight="1">
      <c r="A541" s="515"/>
      <c r="B541" s="516"/>
      <c r="C541" s="515"/>
      <c r="D541" s="517"/>
      <c r="E541" s="286"/>
      <c r="F541" s="277"/>
      <c r="G541" s="160"/>
      <c r="L541" s="170">
        <f>Prod.!AP249</f>
        <v>4</v>
      </c>
      <c r="M541" s="171">
        <f>Prod.!AQ249</f>
        <v>0</v>
      </c>
      <c r="N541" s="100">
        <f>Prod.!AR249</f>
        <v>0</v>
      </c>
    </row>
    <row r="542" spans="1:24" ht="15.75" customHeight="1">
      <c r="A542" s="515"/>
      <c r="B542" s="516"/>
      <c r="C542" s="515"/>
      <c r="D542" s="517"/>
      <c r="E542" s="1287"/>
      <c r="F542" s="1287"/>
      <c r="G542" s="379"/>
      <c r="L542" s="170">
        <f>Prod.!AP250</f>
        <v>3</v>
      </c>
      <c r="M542" s="171">
        <f>Prod.!AQ250</f>
        <v>0</v>
      </c>
      <c r="N542" s="100">
        <f>Prod.!AR250</f>
        <v>0</v>
      </c>
      <c r="O542" s="293" t="e">
        <f>N543/((L542*M542)+(L541*M541)+(L540*M540)+(L539*M539))</f>
        <v>#DIV/0!</v>
      </c>
    </row>
    <row r="543" spans="1:24" ht="15.75" customHeight="1">
      <c r="A543" s="515"/>
      <c r="B543" s="515"/>
      <c r="C543" s="515"/>
      <c r="D543" s="517"/>
      <c r="E543" s="984"/>
      <c r="F543" s="1044"/>
      <c r="G543" s="417"/>
      <c r="L543" s="173"/>
      <c r="M543" s="174"/>
      <c r="N543" s="491">
        <f>Prod.!AR251</f>
        <v>0</v>
      </c>
    </row>
    <row r="544" spans="1:24" ht="15" customHeight="1">
      <c r="A544" s="515"/>
      <c r="B544" s="516"/>
      <c r="C544" s="515"/>
      <c r="D544" s="517"/>
      <c r="E544" s="984"/>
      <c r="F544" s="1044"/>
      <c r="G544" s="417"/>
    </row>
    <row r="545" spans="1:15" ht="15" customHeight="1">
      <c r="A545" s="515"/>
      <c r="B545" s="516"/>
      <c r="C545" s="515"/>
      <c r="D545" s="517"/>
      <c r="E545" s="984"/>
      <c r="F545" s="1044"/>
      <c r="G545" s="417"/>
    </row>
    <row r="546" spans="1:15" ht="14.25" customHeight="1">
      <c r="A546" s="515"/>
      <c r="B546" s="515"/>
      <c r="C546" s="515"/>
      <c r="D546" s="517"/>
      <c r="E546" s="984"/>
      <c r="F546" s="1044"/>
      <c r="G546" s="417"/>
    </row>
    <row r="547" spans="1:15" ht="15" customHeight="1">
      <c r="A547" s="515"/>
      <c r="B547" s="516"/>
      <c r="C547" s="515"/>
      <c r="D547" s="517"/>
      <c r="E547" s="984"/>
      <c r="F547" s="172"/>
      <c r="G547" s="417"/>
      <c r="L547" s="1381" t="s">
        <v>7</v>
      </c>
      <c r="M547" s="1381"/>
      <c r="N547" s="1381"/>
    </row>
    <row r="548" spans="1:15" ht="15" customHeight="1">
      <c r="A548" s="515"/>
      <c r="B548" s="516"/>
      <c r="C548" s="515"/>
      <c r="D548" s="517"/>
      <c r="E548" s="984"/>
      <c r="F548" s="493"/>
      <c r="G548" s="417"/>
      <c r="K548" s="163">
        <v>130</v>
      </c>
      <c r="L548" s="1381"/>
      <c r="M548" s="1381"/>
      <c r="N548" s="1381"/>
    </row>
    <row r="549" spans="1:15" ht="15" customHeight="1">
      <c r="A549" s="515"/>
      <c r="B549" s="516"/>
      <c r="C549" s="515"/>
      <c r="D549" s="517"/>
      <c r="E549" s="984"/>
      <c r="F549" s="517"/>
      <c r="G549" s="160"/>
      <c r="L549" s="1381"/>
      <c r="M549" s="1381"/>
      <c r="N549" s="1381"/>
    </row>
    <row r="550" spans="1:15" ht="15" customHeight="1">
      <c r="A550" s="515"/>
      <c r="B550" s="516"/>
      <c r="C550" s="515"/>
      <c r="D550" s="517"/>
      <c r="E550" s="984"/>
      <c r="F550" s="517"/>
      <c r="L550" s="175">
        <f>Prod.!AP239</f>
        <v>6</v>
      </c>
      <c r="M550" s="176">
        <f>Prod.!AQ239</f>
        <v>0</v>
      </c>
      <c r="N550" s="486">
        <f>Prod.!AR239</f>
        <v>0</v>
      </c>
    </row>
    <row r="551" spans="1:15" ht="15" customHeight="1">
      <c r="A551" s="515"/>
      <c r="B551" s="515"/>
      <c r="C551" s="515"/>
      <c r="D551" s="517"/>
      <c r="E551" s="984"/>
      <c r="F551" s="254"/>
      <c r="L551" s="170">
        <f>Prod.!AP240</f>
        <v>5</v>
      </c>
      <c r="M551" s="171">
        <f>Prod.!AQ240</f>
        <v>0</v>
      </c>
      <c r="N551" s="100">
        <f>Prod.!AR240</f>
        <v>0</v>
      </c>
      <c r="O551" s="160"/>
    </row>
    <row r="552" spans="1:15" ht="15" customHeight="1">
      <c r="A552" s="515"/>
      <c r="B552" s="515"/>
      <c r="C552" s="515"/>
      <c r="D552" s="517"/>
      <c r="E552" s="984"/>
      <c r="F552" s="254"/>
      <c r="L552" s="170">
        <f>Prod.!AP241</f>
        <v>4</v>
      </c>
      <c r="M552" s="171">
        <f>Prod.!AQ241</f>
        <v>0</v>
      </c>
      <c r="N552" s="100">
        <f>Prod.!AR241</f>
        <v>0</v>
      </c>
      <c r="O552" s="160"/>
    </row>
    <row r="553" spans="1:15" ht="15.75" customHeight="1">
      <c r="A553" s="515"/>
      <c r="B553" s="515"/>
      <c r="C553" s="515"/>
      <c r="D553" s="517"/>
      <c r="E553" s="984"/>
      <c r="F553" s="536"/>
      <c r="L553" s="170">
        <f>Prod.!AP242</f>
        <v>3</v>
      </c>
      <c r="M553" s="172">
        <f>Prod.!AQ242</f>
        <v>0</v>
      </c>
      <c r="N553" s="100">
        <f>Prod.!AR242</f>
        <v>0</v>
      </c>
      <c r="O553" t="e">
        <f>N554/((L553*M553)+(L552*M552)+(L551*M551)+(L550*M550))</f>
        <v>#DIV/0!</v>
      </c>
    </row>
    <row r="554" spans="1:15" ht="15.75" customHeight="1">
      <c r="A554" s="515"/>
      <c r="B554" s="515"/>
      <c r="C554" s="515"/>
      <c r="D554" s="434"/>
      <c r="E554" s="984"/>
      <c r="F554" s="1092"/>
      <c r="L554" s="173"/>
      <c r="M554" s="174"/>
      <c r="N554" s="491">
        <f>Prod.!AR243</f>
        <v>0</v>
      </c>
      <c r="O554" s="160"/>
    </row>
    <row r="555" spans="1:15" ht="15" customHeight="1">
      <c r="A555" s="984"/>
      <c r="B555" s="984"/>
      <c r="C555" s="984"/>
      <c r="D555" s="984"/>
      <c r="E555" s="515"/>
      <c r="F555" s="517"/>
      <c r="G555" s="1091"/>
    </row>
    <row r="556" spans="1:15" ht="15" customHeight="1">
      <c r="A556" s="984"/>
      <c r="B556" s="1093"/>
      <c r="C556" s="1093"/>
      <c r="D556" s="984"/>
      <c r="E556" s="286"/>
      <c r="F556" s="417"/>
      <c r="G556" s="253"/>
    </row>
    <row r="557" spans="1:15" ht="15" customHeight="1">
      <c r="A557" s="984"/>
      <c r="B557" s="1093"/>
      <c r="C557" s="1093"/>
      <c r="D557" s="984"/>
      <c r="E557" s="286"/>
      <c r="F557" s="417"/>
      <c r="G557" s="253"/>
    </row>
    <row r="558" spans="1:15" ht="15" customHeight="1">
      <c r="A558" s="984"/>
      <c r="B558" s="1093"/>
      <c r="C558" s="1093"/>
      <c r="D558" s="984"/>
      <c r="E558" s="286"/>
      <c r="F558" s="417"/>
      <c r="G558" s="253"/>
    </row>
    <row r="559" spans="1:15" ht="15" customHeight="1">
      <c r="A559" s="984"/>
      <c r="B559" s="1051"/>
      <c r="C559" s="1051"/>
      <c r="D559" s="984"/>
      <c r="E559" s="286"/>
      <c r="F559" s="417"/>
      <c r="G559" s="253"/>
    </row>
    <row r="560" spans="1:15" ht="15" customHeight="1">
      <c r="A560" s="984"/>
      <c r="B560" s="1051"/>
      <c r="C560" s="1051"/>
      <c r="D560" s="984"/>
      <c r="E560" s="286"/>
      <c r="F560" s="417"/>
    </row>
    <row r="561" spans="1:24" ht="15" customHeight="1">
      <c r="A561" s="1084"/>
      <c r="B561" s="515"/>
      <c r="H561" s="180"/>
    </row>
    <row r="562" spans="1:24" ht="15" customHeight="1">
      <c r="A562" s="984"/>
      <c r="B562" s="984"/>
      <c r="D562" s="434"/>
      <c r="E562" s="434"/>
      <c r="H562" s="180"/>
      <c r="J562" s="1079" t="s">
        <v>304</v>
      </c>
      <c r="K562" s="1382"/>
      <c r="L562" s="1382"/>
      <c r="M562" s="1382"/>
      <c r="N562" s="1382"/>
      <c r="O562" s="1382"/>
      <c r="P562" s="1382"/>
      <c r="Q562" s="1382"/>
      <c r="R562" s="1382"/>
    </row>
    <row r="563" spans="1:24" ht="15.75" customHeight="1" thickBot="1">
      <c r="A563" s="984"/>
      <c r="B563" s="1051"/>
      <c r="H563" s="180"/>
      <c r="J563" s="1080" t="s">
        <v>1</v>
      </c>
      <c r="K563" s="466" t="s">
        <v>45</v>
      </c>
      <c r="L563" s="467" t="s">
        <v>46</v>
      </c>
      <c r="M563" s="468" t="s">
        <v>47</v>
      </c>
      <c r="N563" s="511" t="s">
        <v>48</v>
      </c>
      <c r="O563" s="512" t="s">
        <v>45</v>
      </c>
      <c r="P563" s="511" t="s">
        <v>46</v>
      </c>
      <c r="Q563" s="513" t="s">
        <v>47</v>
      </c>
      <c r="R563" s="511" t="s">
        <v>48</v>
      </c>
    </row>
    <row r="564" spans="1:24" ht="15.75" customHeight="1" thickBot="1">
      <c r="A564" s="984"/>
      <c r="B564" s="984"/>
      <c r="C564" s="984"/>
      <c r="D564" s="984"/>
      <c r="E564" s="984"/>
      <c r="F564" s="417"/>
      <c r="G564" s="379"/>
      <c r="J564" s="1082">
        <v>160</v>
      </c>
      <c r="K564" s="156">
        <f>Prod.!P270</f>
        <v>0</v>
      </c>
      <c r="L564" s="156">
        <f>Prod.!Q270</f>
        <v>0</v>
      </c>
      <c r="M564" s="156">
        <f>Prod.!R270</f>
        <v>0</v>
      </c>
      <c r="N564" s="158">
        <f>Prod.!S270</f>
        <v>0</v>
      </c>
      <c r="O564" s="158">
        <f>Prod.!V270</f>
        <v>0</v>
      </c>
      <c r="P564" s="158">
        <f>Prod.!W270</f>
        <v>0</v>
      </c>
      <c r="Q564" s="158">
        <f>Prod.!X270</f>
        <v>0</v>
      </c>
      <c r="R564" s="158">
        <f>Prod.!Y270</f>
        <v>0</v>
      </c>
      <c r="U564" s="1383" t="s">
        <v>230</v>
      </c>
      <c r="V564" s="1383"/>
      <c r="W564" s="1383"/>
      <c r="X564" s="1383"/>
    </row>
    <row r="565" spans="1:24" ht="15.75" customHeight="1" thickBot="1">
      <c r="A565" s="515"/>
      <c r="B565" s="516"/>
      <c r="C565" s="515"/>
      <c r="D565" s="517"/>
      <c r="E565" s="286"/>
      <c r="F565" s="417"/>
      <c r="G565" s="379"/>
      <c r="J565" s="1083">
        <v>110</v>
      </c>
      <c r="K565" s="158">
        <f>Prod.!J268</f>
        <v>0</v>
      </c>
      <c r="L565" s="158">
        <f>Prod.!K268</f>
        <v>0</v>
      </c>
      <c r="M565" s="158">
        <f>Prod.!L268</f>
        <v>0</v>
      </c>
      <c r="N565" s="158">
        <f>Prod.!M268</f>
        <v>0</v>
      </c>
      <c r="U565" s="1384">
        <f>A561</f>
        <v>0</v>
      </c>
      <c r="V565" s="1384"/>
      <c r="W565" s="453" t="s">
        <v>233</v>
      </c>
      <c r="X565" s="454" t="s">
        <v>234</v>
      </c>
    </row>
    <row r="566" spans="1:24" ht="15" customHeight="1">
      <c r="A566" s="515"/>
      <c r="B566" s="516"/>
      <c r="C566" s="515"/>
      <c r="D566" s="517"/>
      <c r="E566" s="286"/>
      <c r="F566" s="417"/>
      <c r="G566" s="379"/>
      <c r="J566" s="414"/>
      <c r="K566" s="414"/>
      <c r="L566" s="1385"/>
      <c r="M566" s="1385"/>
      <c r="N566" s="1385"/>
      <c r="O566" s="1385"/>
      <c r="P566" s="455"/>
      <c r="U566" s="231"/>
      <c r="X566" s="456"/>
    </row>
    <row r="567" spans="1:24" ht="15" customHeight="1">
      <c r="A567" s="515"/>
      <c r="B567" s="516"/>
      <c r="C567" s="515"/>
      <c r="D567" s="517"/>
      <c r="E567" s="929"/>
      <c r="F567" s="417"/>
      <c r="G567" s="379"/>
      <c r="J567" s="181"/>
      <c r="K567" s="508"/>
      <c r="L567" s="181"/>
      <c r="M567" s="508"/>
      <c r="N567" s="181"/>
      <c r="O567" s="508"/>
      <c r="U567" s="458">
        <f>E566</f>
        <v>0</v>
      </c>
      <c r="V567" s="282">
        <f>F566</f>
        <v>0</v>
      </c>
      <c r="W567" s="459"/>
      <c r="X567" s="460"/>
    </row>
    <row r="568" spans="1:24" ht="15" customHeight="1">
      <c r="A568" s="515"/>
      <c r="B568" s="516"/>
      <c r="C568" s="515"/>
      <c r="D568" s="517"/>
      <c r="E568" s="286"/>
      <c r="F568" s="417"/>
      <c r="G568" s="1048"/>
      <c r="K568" s="1382"/>
      <c r="L568" s="1382"/>
      <c r="M568" s="1382"/>
      <c r="N568" s="1382"/>
      <c r="O568" s="1382"/>
      <c r="P568" s="1382"/>
      <c r="Q568" s="1382"/>
      <c r="R568" s="1382"/>
      <c r="U568" s="462">
        <f t="shared" ref="U568:U572" si="40">E568</f>
        <v>0</v>
      </c>
      <c r="V568" s="463">
        <f t="shared" ref="V568:V572" si="41">F568</f>
        <v>0</v>
      </c>
      <c r="W568" s="464">
        <f t="shared" ref="W568:W572" si="42">G568</f>
        <v>0</v>
      </c>
      <c r="X568" s="465"/>
    </row>
    <row r="569" spans="1:24" ht="15" customHeight="1">
      <c r="A569" s="515"/>
      <c r="B569" s="516"/>
      <c r="C569" s="515"/>
      <c r="D569" s="517"/>
      <c r="E569" s="286"/>
      <c r="F569" s="417"/>
      <c r="G569" s="1048"/>
      <c r="J569" s="1080" t="s">
        <v>1</v>
      </c>
      <c r="K569" s="466" t="s">
        <v>45</v>
      </c>
      <c r="L569" s="467" t="s">
        <v>46</v>
      </c>
      <c r="M569" s="468" t="s">
        <v>47</v>
      </c>
      <c r="N569" s="467" t="s">
        <v>48</v>
      </c>
      <c r="O569" s="466" t="s">
        <v>45</v>
      </c>
      <c r="P569" s="467" t="s">
        <v>46</v>
      </c>
      <c r="Q569" s="468" t="s">
        <v>47</v>
      </c>
      <c r="R569" s="467" t="s">
        <v>48</v>
      </c>
      <c r="U569" s="374">
        <f t="shared" si="40"/>
        <v>0</v>
      </c>
      <c r="V569" s="282">
        <f t="shared" si="41"/>
        <v>0</v>
      </c>
      <c r="W569" s="469">
        <f t="shared" si="42"/>
        <v>0</v>
      </c>
      <c r="X569" s="465">
        <f>$I$1</f>
        <v>0</v>
      </c>
    </row>
    <row r="570" spans="1:24" ht="15" customHeight="1">
      <c r="A570" s="515"/>
      <c r="B570" s="516"/>
      <c r="C570" s="515"/>
      <c r="D570" s="517"/>
      <c r="E570" s="286"/>
      <c r="F570" s="417"/>
      <c r="G570" s="1048"/>
      <c r="J570" s="1081">
        <v>130</v>
      </c>
      <c r="K570" s="471">
        <f>Prod.!P269</f>
        <v>0</v>
      </c>
      <c r="L570" s="471">
        <f>Prod.!Q269</f>
        <v>0</v>
      </c>
      <c r="M570" s="471">
        <f>Prod.!R269</f>
        <v>0</v>
      </c>
      <c r="N570" s="471">
        <f>Prod.!S269</f>
        <v>0</v>
      </c>
      <c r="O570" s="471">
        <f>Prod.!V269</f>
        <v>0</v>
      </c>
      <c r="P570" s="471">
        <f>Prod.!W269</f>
        <v>0</v>
      </c>
      <c r="Q570" s="471">
        <f>Prod.!X269</f>
        <v>0</v>
      </c>
      <c r="R570" s="471">
        <f>Prod.!Y269</f>
        <v>0</v>
      </c>
      <c r="U570" s="374">
        <f t="shared" si="40"/>
        <v>0</v>
      </c>
      <c r="V570" s="282">
        <f t="shared" si="41"/>
        <v>0</v>
      </c>
      <c r="W570" s="469">
        <f t="shared" si="42"/>
        <v>0</v>
      </c>
      <c r="X570" s="465">
        <f>IFERROR($I$2,0)</f>
        <v>0</v>
      </c>
    </row>
    <row r="571" spans="1:24" ht="15" customHeight="1">
      <c r="A571" s="515"/>
      <c r="B571" s="516"/>
      <c r="C571" s="515"/>
      <c r="D571" s="517"/>
      <c r="E571" s="1085"/>
      <c r="F571" s="517"/>
      <c r="G571" s="1086"/>
      <c r="U571" s="374">
        <f t="shared" si="40"/>
        <v>0</v>
      </c>
      <c r="V571" s="282">
        <f t="shared" si="41"/>
        <v>0</v>
      </c>
      <c r="W571" s="469">
        <f t="shared" si="42"/>
        <v>0</v>
      </c>
      <c r="X571" s="475"/>
    </row>
    <row r="572" spans="1:24" ht="15" customHeight="1">
      <c r="A572" s="515"/>
      <c r="B572" s="516"/>
      <c r="C572" s="515"/>
      <c r="D572" s="517"/>
      <c r="E572" s="1085"/>
      <c r="F572" s="1087"/>
      <c r="G572" s="1088"/>
      <c r="U572" s="374">
        <f t="shared" si="40"/>
        <v>0</v>
      </c>
      <c r="V572" s="282">
        <f t="shared" si="41"/>
        <v>0</v>
      </c>
      <c r="W572" s="469">
        <f t="shared" si="42"/>
        <v>0</v>
      </c>
      <c r="X572" s="520">
        <f>IFERROR($I$3,0)</f>
        <v>0</v>
      </c>
    </row>
    <row r="573" spans="1:24" ht="15" customHeight="1">
      <c r="A573" s="515"/>
      <c r="B573" s="515"/>
      <c r="C573" s="515"/>
      <c r="D573" s="517"/>
      <c r="E573" s="1085"/>
      <c r="F573" s="417"/>
      <c r="G573" s="1089"/>
      <c r="J573" t="s">
        <v>65</v>
      </c>
      <c r="K573" s="181">
        <f>Prod.!C268</f>
        <v>0</v>
      </c>
      <c r="L573" s="181">
        <f>Prod.!D268</f>
        <v>0</v>
      </c>
      <c r="M573" s="181">
        <f>Prod.!E268</f>
        <v>0</v>
      </c>
      <c r="N573" s="160">
        <f>Prod.!F268</f>
        <v>0</v>
      </c>
      <c r="O573" s="160">
        <f>Prod.!G268</f>
        <v>0</v>
      </c>
      <c r="U573" s="374">
        <f>E573</f>
        <v>0</v>
      </c>
      <c r="V573" s="282">
        <f>F573-V576</f>
        <v>0</v>
      </c>
      <c r="W573" s="479"/>
      <c r="X573" s="456"/>
    </row>
    <row r="574" spans="1:24" ht="15" customHeight="1">
      <c r="A574" s="515"/>
      <c r="B574" s="515"/>
      <c r="C574" s="515"/>
      <c r="D574" s="984"/>
      <c r="E574" s="286"/>
      <c r="F574" s="417"/>
      <c r="G574" s="1090"/>
      <c r="J574" t="s">
        <v>67</v>
      </c>
      <c r="K574" s="181">
        <f>Prod.!C269</f>
        <v>0</v>
      </c>
      <c r="L574" s="181">
        <f>Prod.!D269</f>
        <v>0</v>
      </c>
      <c r="M574" s="181">
        <f>Prod.!E269</f>
        <v>0</v>
      </c>
      <c r="N574" s="160">
        <f>Prod.!F269</f>
        <v>0</v>
      </c>
      <c r="O574" s="160">
        <f>Prod.!G269</f>
        <v>0</v>
      </c>
      <c r="T574" s="160"/>
      <c r="U574" s="374">
        <f>E574</f>
        <v>0</v>
      </c>
      <c r="V574" s="282">
        <f>F574</f>
        <v>0</v>
      </c>
      <c r="W574" s="479"/>
      <c r="X574" s="456"/>
    </row>
    <row r="575" spans="1:24" ht="15.75" customHeight="1" thickBot="1">
      <c r="A575" s="515"/>
      <c r="B575" s="515"/>
      <c r="C575" s="515"/>
      <c r="D575" s="517"/>
      <c r="E575" s="286"/>
      <c r="F575" s="417"/>
      <c r="G575" s="379"/>
      <c r="U575" s="374">
        <f>E575</f>
        <v>0</v>
      </c>
      <c r="V575" s="282">
        <f>F575</f>
        <v>0</v>
      </c>
      <c r="W575" s="479"/>
      <c r="X575" s="456"/>
    </row>
    <row r="576" spans="1:24" ht="14.25" customHeight="1" thickBot="1">
      <c r="A576" s="515"/>
      <c r="B576" s="515"/>
      <c r="C576" s="515"/>
      <c r="D576" s="517"/>
      <c r="E576" s="286"/>
      <c r="F576" s="417"/>
      <c r="G576" s="379"/>
      <c r="L576" s="1381" t="s">
        <v>7</v>
      </c>
      <c r="M576" s="1381"/>
      <c r="N576" s="1381"/>
      <c r="U576" s="374">
        <f>E580</f>
        <v>0</v>
      </c>
      <c r="V576" s="282">
        <f>F580</f>
        <v>0</v>
      </c>
      <c r="W576" s="479"/>
      <c r="X576" s="456"/>
    </row>
    <row r="577" spans="1:24" ht="19.5" customHeight="1" thickBot="1">
      <c r="A577" s="515"/>
      <c r="B577" s="515"/>
      <c r="C577" s="515"/>
      <c r="D577" s="517"/>
      <c r="E577" s="286"/>
      <c r="F577" s="417"/>
      <c r="G577" s="379"/>
      <c r="K577" s="163">
        <v>160</v>
      </c>
      <c r="L577" s="1381"/>
      <c r="M577" s="1381"/>
      <c r="N577" s="1381"/>
      <c r="U577" s="483" t="s">
        <v>255</v>
      </c>
      <c r="V577" s="484">
        <f>V567+V568+V569+V570+V571+V572+V573+V574+V575+V576</f>
        <v>0</v>
      </c>
      <c r="W577" s="485"/>
      <c r="X577" s="454"/>
    </row>
    <row r="578" spans="1:24" ht="18" customHeight="1" thickBot="1">
      <c r="A578" s="515"/>
      <c r="B578" s="515"/>
      <c r="C578" s="515"/>
      <c r="D578" s="517"/>
      <c r="E578" s="286"/>
      <c r="F578" s="417"/>
      <c r="G578" s="379"/>
      <c r="L578" s="1381"/>
      <c r="M578" s="1381"/>
      <c r="N578" s="1381"/>
    </row>
    <row r="579" spans="1:24" ht="15" customHeight="1">
      <c r="A579" s="515"/>
      <c r="B579" s="515"/>
      <c r="C579" s="515"/>
      <c r="D579" s="517"/>
      <c r="E579" s="286"/>
      <c r="F579" s="417"/>
      <c r="G579" s="417"/>
      <c r="L579" s="175">
        <f>Prod.!AP265</f>
        <v>6</v>
      </c>
      <c r="M579" s="176">
        <f>Prod.!AQ265</f>
        <v>0</v>
      </c>
      <c r="N579" s="486">
        <f>Prod.!AR265</f>
        <v>0</v>
      </c>
    </row>
    <row r="580" spans="1:24" ht="15" customHeight="1">
      <c r="A580" s="515"/>
      <c r="B580" s="515"/>
      <c r="C580" s="515"/>
      <c r="D580" s="984"/>
      <c r="E580" s="286"/>
      <c r="F580" s="417"/>
      <c r="G580" s="1091"/>
      <c r="L580" s="170">
        <f>Prod.!AP266</f>
        <v>5</v>
      </c>
      <c r="M580" s="171">
        <f>Prod.!AQ266</f>
        <v>0</v>
      </c>
      <c r="N580" s="100">
        <f>Prod.!AR266</f>
        <v>0</v>
      </c>
    </row>
    <row r="581" spans="1:24" ht="15" customHeight="1">
      <c r="A581" s="515"/>
      <c r="B581" s="516"/>
      <c r="C581" s="515"/>
      <c r="D581" s="517"/>
      <c r="E581" s="286"/>
      <c r="F581" s="277"/>
      <c r="G581" s="160"/>
      <c r="L581" s="170">
        <f>Prod.!AP267</f>
        <v>4</v>
      </c>
      <c r="M581" s="171">
        <f>Prod.!AQ267</f>
        <v>0</v>
      </c>
      <c r="N581" s="100">
        <f>Prod.!AR267</f>
        <v>0</v>
      </c>
    </row>
    <row r="582" spans="1:24" ht="15.75" customHeight="1">
      <c r="A582" s="515"/>
      <c r="B582" s="516"/>
      <c r="C582" s="515"/>
      <c r="D582" s="517"/>
      <c r="E582" s="1287"/>
      <c r="F582" s="1287"/>
      <c r="G582" s="379"/>
      <c r="L582" s="170">
        <f>Prod.!AP268</f>
        <v>3</v>
      </c>
      <c r="M582" s="171">
        <f>Prod.!AQ268</f>
        <v>0</v>
      </c>
      <c r="N582" s="100">
        <f>Prod.!AR268</f>
        <v>0</v>
      </c>
      <c r="O582" s="293" t="e">
        <f>N583/((L582*M582)+(L581*M581)+(L580*M580)+(L579*M579))</f>
        <v>#DIV/0!</v>
      </c>
    </row>
    <row r="583" spans="1:24" ht="15.75" customHeight="1">
      <c r="A583" s="515"/>
      <c r="B583" s="515"/>
      <c r="C583" s="515"/>
      <c r="D583" s="517"/>
      <c r="E583" s="984"/>
      <c r="F583" s="1044"/>
      <c r="G583" s="417"/>
      <c r="L583" s="173"/>
      <c r="M583" s="174"/>
      <c r="N583" s="491">
        <f>Prod.!AR269</f>
        <v>0</v>
      </c>
    </row>
    <row r="584" spans="1:24" ht="15" customHeight="1">
      <c r="A584" s="515"/>
      <c r="B584" s="516"/>
      <c r="C584" s="515"/>
      <c r="D584" s="517"/>
      <c r="E584" s="984"/>
      <c r="F584" s="1044"/>
      <c r="G584" s="417"/>
    </row>
    <row r="585" spans="1:24" ht="15" customHeight="1">
      <c r="A585" s="515"/>
      <c r="B585" s="516"/>
      <c r="C585" s="515"/>
      <c r="D585" s="517"/>
      <c r="E585" s="984"/>
      <c r="F585" s="1044"/>
      <c r="G585" s="417"/>
    </row>
    <row r="586" spans="1:24" ht="14.25" customHeight="1">
      <c r="A586" s="515"/>
      <c r="B586" s="515"/>
      <c r="C586" s="515"/>
      <c r="D586" s="517"/>
      <c r="E586" s="984"/>
      <c r="F586" s="1044"/>
      <c r="G586" s="417"/>
    </row>
    <row r="587" spans="1:24" ht="15" customHeight="1">
      <c r="A587" s="515"/>
      <c r="B587" s="516"/>
      <c r="C587" s="515"/>
      <c r="D587" s="517"/>
      <c r="E587" s="984"/>
      <c r="F587" s="172"/>
      <c r="G587" s="417"/>
      <c r="L587" s="1381" t="s">
        <v>7</v>
      </c>
      <c r="M587" s="1381"/>
      <c r="N587" s="1381"/>
    </row>
    <row r="588" spans="1:24" ht="15" customHeight="1">
      <c r="A588" s="515"/>
      <c r="B588" s="516"/>
      <c r="C588" s="515"/>
      <c r="D588" s="517"/>
      <c r="E588" s="984"/>
      <c r="F588" s="493"/>
      <c r="G588" s="417"/>
      <c r="K588" s="163">
        <v>130</v>
      </c>
      <c r="L588" s="1381"/>
      <c r="M588" s="1381"/>
      <c r="N588" s="1381"/>
    </row>
    <row r="589" spans="1:24" ht="15" customHeight="1">
      <c r="A589" s="515"/>
      <c r="B589" s="516"/>
      <c r="C589" s="515"/>
      <c r="D589" s="517"/>
      <c r="E589" s="984"/>
      <c r="F589" s="517"/>
      <c r="G589" s="160"/>
      <c r="L589" s="1381"/>
      <c r="M589" s="1381"/>
      <c r="N589" s="1381"/>
    </row>
    <row r="590" spans="1:24" ht="15" customHeight="1">
      <c r="A590" s="515"/>
      <c r="B590" s="516"/>
      <c r="C590" s="515"/>
      <c r="D590" s="517"/>
      <c r="E590" s="984"/>
      <c r="F590" s="517"/>
      <c r="L590" s="175">
        <f>Prod.!AP257</f>
        <v>6</v>
      </c>
      <c r="M590" s="176">
        <f>Prod.!AQ257</f>
        <v>0</v>
      </c>
      <c r="N590" s="486">
        <f>Prod.!AR257</f>
        <v>0</v>
      </c>
    </row>
    <row r="591" spans="1:24" ht="15" customHeight="1">
      <c r="A591" s="515"/>
      <c r="B591" s="515"/>
      <c r="C591" s="515"/>
      <c r="D591" s="517"/>
      <c r="E591" s="984"/>
      <c r="F591" s="254"/>
      <c r="L591" s="170">
        <f>Prod.!AP258</f>
        <v>5</v>
      </c>
      <c r="M591" s="171">
        <f>Prod.!AQ258</f>
        <v>0</v>
      </c>
      <c r="N591" s="100">
        <f>Prod.!AR258</f>
        <v>0</v>
      </c>
      <c r="O591" s="160"/>
    </row>
    <row r="592" spans="1:24" ht="15" customHeight="1">
      <c r="A592" s="515"/>
      <c r="B592" s="515"/>
      <c r="C592" s="515"/>
      <c r="D592" s="517"/>
      <c r="E592" s="984"/>
      <c r="F592" s="254"/>
      <c r="L592" s="170">
        <f>Prod.!AP259</f>
        <v>4</v>
      </c>
      <c r="M592" s="171">
        <f>Prod.!AQ259</f>
        <v>0</v>
      </c>
      <c r="N592" s="100">
        <f>Prod.!AR259</f>
        <v>0</v>
      </c>
      <c r="O592" s="160"/>
    </row>
    <row r="593" spans="1:24" ht="15.75" customHeight="1">
      <c r="A593" s="515"/>
      <c r="B593" s="515"/>
      <c r="C593" s="515"/>
      <c r="D593" s="517"/>
      <c r="E593" s="984"/>
      <c r="F593" s="536"/>
      <c r="L593" s="170">
        <f>Prod.!AP260</f>
        <v>3</v>
      </c>
      <c r="M593" s="172">
        <f>Prod.!AQ260</f>
        <v>0</v>
      </c>
      <c r="N593" s="100">
        <f>Prod.!AR260</f>
        <v>0</v>
      </c>
      <c r="O593" t="e">
        <f>N594/((L593*M593)+(L592*M592)+(L591*M591)+(L590*M590))</f>
        <v>#DIV/0!</v>
      </c>
    </row>
    <row r="594" spans="1:24" ht="15.75" customHeight="1">
      <c r="A594" s="515"/>
      <c r="B594" s="515"/>
      <c r="C594" s="515"/>
      <c r="D594" s="434"/>
      <c r="E594" s="984"/>
      <c r="F594" s="1092"/>
      <c r="L594" s="173"/>
      <c r="M594" s="174"/>
      <c r="N594" s="491">
        <f>Prod.!AR261</f>
        <v>0</v>
      </c>
      <c r="O594" s="160"/>
    </row>
    <row r="595" spans="1:24" ht="15" customHeight="1">
      <c r="A595" s="984"/>
      <c r="B595" s="984"/>
      <c r="C595" s="984"/>
      <c r="D595" s="984"/>
      <c r="E595" s="515"/>
      <c r="F595" s="517"/>
      <c r="G595" s="1091"/>
    </row>
    <row r="596" spans="1:24" ht="15" customHeight="1">
      <c r="A596" s="984"/>
      <c r="B596" s="1093"/>
      <c r="C596" s="1093"/>
      <c r="D596" s="984"/>
      <c r="E596" s="286"/>
      <c r="F596" s="417"/>
      <c r="G596" s="253"/>
    </row>
    <row r="597" spans="1:24" ht="15" customHeight="1">
      <c r="A597" s="984"/>
      <c r="B597" s="1093"/>
      <c r="C597" s="1093"/>
      <c r="D597" s="984"/>
      <c r="E597" s="286"/>
      <c r="F597" s="417"/>
      <c r="G597" s="253"/>
    </row>
    <row r="598" spans="1:24" ht="15" customHeight="1">
      <c r="A598" s="984"/>
      <c r="B598" s="1093"/>
      <c r="C598" s="1093"/>
      <c r="D598" s="984"/>
      <c r="E598" s="286"/>
      <c r="F598" s="417"/>
      <c r="G598" s="253"/>
    </row>
    <row r="599" spans="1:24" ht="15" customHeight="1">
      <c r="A599" s="984"/>
      <c r="B599" s="1051"/>
      <c r="C599" s="1051"/>
      <c r="D599" s="984"/>
      <c r="E599" s="286"/>
      <c r="F599" s="417"/>
      <c r="G599" s="253"/>
    </row>
    <row r="600" spans="1:24" ht="15" customHeight="1">
      <c r="A600" s="984"/>
      <c r="B600" s="1051"/>
      <c r="C600" s="1051"/>
      <c r="D600" s="984"/>
      <c r="E600" s="286"/>
      <c r="F600" s="417"/>
    </row>
    <row r="601" spans="1:24" ht="15" customHeight="1">
      <c r="A601" s="1084"/>
      <c r="B601" s="515"/>
      <c r="H601" s="180"/>
    </row>
    <row r="602" spans="1:24" ht="15" customHeight="1">
      <c r="A602" s="984"/>
      <c r="B602" s="984"/>
      <c r="D602" s="434"/>
      <c r="E602" s="434"/>
      <c r="H602" s="180"/>
      <c r="J602" s="1079" t="s">
        <v>305</v>
      </c>
      <c r="K602" s="1382"/>
      <c r="L602" s="1382"/>
      <c r="M602" s="1382"/>
      <c r="N602" s="1382"/>
      <c r="O602" s="1382"/>
      <c r="P602" s="1382"/>
      <c r="Q602" s="1382"/>
      <c r="R602" s="1382"/>
    </row>
    <row r="603" spans="1:24" ht="15.75" customHeight="1" thickBot="1">
      <c r="A603" s="984"/>
      <c r="B603" s="1051"/>
      <c r="H603" s="180"/>
      <c r="J603" s="1080" t="s">
        <v>1</v>
      </c>
      <c r="K603" s="466" t="s">
        <v>45</v>
      </c>
      <c r="L603" s="467" t="s">
        <v>46</v>
      </c>
      <c r="M603" s="468" t="s">
        <v>47</v>
      </c>
      <c r="N603" s="511" t="s">
        <v>48</v>
      </c>
      <c r="O603" s="512" t="s">
        <v>45</v>
      </c>
      <c r="P603" s="511" t="s">
        <v>46</v>
      </c>
      <c r="Q603" s="513" t="s">
        <v>47</v>
      </c>
      <c r="R603" s="511" t="s">
        <v>48</v>
      </c>
    </row>
    <row r="604" spans="1:24" ht="15.75" customHeight="1" thickBot="1">
      <c r="A604" s="984"/>
      <c r="B604" s="984"/>
      <c r="C604" s="984"/>
      <c r="D604" s="984"/>
      <c r="E604" s="984"/>
      <c r="F604" s="417"/>
      <c r="G604" s="379"/>
      <c r="J604" s="1082">
        <v>160</v>
      </c>
      <c r="K604" s="158">
        <f>Prod.!P288</f>
        <v>0</v>
      </c>
      <c r="L604" s="158">
        <f>Prod.!Q288</f>
        <v>0</v>
      </c>
      <c r="M604" s="158">
        <f>Prod.!R288</f>
        <v>0</v>
      </c>
      <c r="N604" s="158">
        <f>Prod.!S288</f>
        <v>0</v>
      </c>
      <c r="O604" s="158">
        <f>Prod.!V288</f>
        <v>0</v>
      </c>
      <c r="P604" s="158">
        <f>Prod.!W288</f>
        <v>0</v>
      </c>
      <c r="Q604" s="158">
        <f>Prod.!X288</f>
        <v>0</v>
      </c>
      <c r="R604" s="158">
        <f>Prod.!Y288</f>
        <v>0</v>
      </c>
      <c r="U604" s="1383" t="s">
        <v>230</v>
      </c>
      <c r="V604" s="1383"/>
      <c r="W604" s="1383"/>
      <c r="X604" s="1383"/>
    </row>
    <row r="605" spans="1:24" ht="15.75" customHeight="1" thickBot="1">
      <c r="A605" s="515"/>
      <c r="B605" s="516"/>
      <c r="C605" s="515"/>
      <c r="D605" s="517"/>
      <c r="E605" s="286"/>
      <c r="F605" s="417"/>
      <c r="G605" s="379"/>
      <c r="J605" s="1083">
        <v>110</v>
      </c>
      <c r="K605" s="514">
        <f>Prod.!J286</f>
        <v>0</v>
      </c>
      <c r="L605" s="514">
        <f>Prod.!K286</f>
        <v>0</v>
      </c>
      <c r="M605" s="514">
        <f>Prod.!L286</f>
        <v>0</v>
      </c>
      <c r="N605" s="514">
        <f>Prod.!M286</f>
        <v>0</v>
      </c>
      <c r="U605" s="1384">
        <f>A601</f>
        <v>0</v>
      </c>
      <c r="V605" s="1384"/>
      <c r="W605" s="453" t="s">
        <v>233</v>
      </c>
      <c r="X605" s="454" t="s">
        <v>234</v>
      </c>
    </row>
    <row r="606" spans="1:24" ht="15" customHeight="1">
      <c r="A606" s="515"/>
      <c r="B606" s="516"/>
      <c r="C606" s="515"/>
      <c r="D606" s="517"/>
      <c r="E606" s="286"/>
      <c r="F606" s="417"/>
      <c r="G606" s="379"/>
      <c r="J606" s="414"/>
      <c r="K606" s="414"/>
      <c r="L606" s="1385"/>
      <c r="M606" s="1385"/>
      <c r="N606" s="1385"/>
      <c r="O606" s="1385"/>
      <c r="P606" s="455"/>
      <c r="U606" s="231"/>
      <c r="X606" s="456"/>
    </row>
    <row r="607" spans="1:24" ht="15" customHeight="1">
      <c r="A607" s="515"/>
      <c r="B607" s="516"/>
      <c r="C607" s="515"/>
      <c r="D607" s="517"/>
      <c r="E607" s="929"/>
      <c r="F607" s="417"/>
      <c r="G607" s="379"/>
      <c r="J607" s="181"/>
      <c r="K607" s="508"/>
      <c r="L607" s="181"/>
      <c r="M607" s="508"/>
      <c r="N607" s="181"/>
      <c r="O607" s="508"/>
      <c r="U607" s="458">
        <f>E606</f>
        <v>0</v>
      </c>
      <c r="V607" s="282">
        <f>F606</f>
        <v>0</v>
      </c>
      <c r="W607" s="459"/>
      <c r="X607" s="460"/>
    </row>
    <row r="608" spans="1:24" ht="15" customHeight="1">
      <c r="A608" s="515"/>
      <c r="B608" s="516"/>
      <c r="C608" s="515"/>
      <c r="D608" s="517"/>
      <c r="E608" s="286"/>
      <c r="F608" s="417"/>
      <c r="G608" s="1048"/>
      <c r="K608" s="1382"/>
      <c r="L608" s="1382"/>
      <c r="M608" s="1382"/>
      <c r="N608" s="1382"/>
      <c r="O608" s="1382"/>
      <c r="P608" s="1382"/>
      <c r="Q608" s="1382"/>
      <c r="R608" s="1382"/>
      <c r="U608" s="462">
        <f t="shared" ref="U608:U612" si="43">E608</f>
        <v>0</v>
      </c>
      <c r="V608" s="463">
        <f t="shared" ref="V608:V612" si="44">F608</f>
        <v>0</v>
      </c>
      <c r="W608" s="464">
        <f t="shared" ref="W608:W612" si="45">G608</f>
        <v>0</v>
      </c>
      <c r="X608" s="465"/>
    </row>
    <row r="609" spans="1:24" ht="15" customHeight="1">
      <c r="A609" s="515"/>
      <c r="B609" s="516"/>
      <c r="C609" s="515"/>
      <c r="D609" s="517"/>
      <c r="E609" s="286"/>
      <c r="F609" s="417"/>
      <c r="G609" s="1048"/>
      <c r="J609" s="1080" t="s">
        <v>1</v>
      </c>
      <c r="K609" s="466" t="s">
        <v>45</v>
      </c>
      <c r="L609" s="467" t="s">
        <v>46</v>
      </c>
      <c r="M609" s="468" t="s">
        <v>47</v>
      </c>
      <c r="N609" s="467" t="s">
        <v>48</v>
      </c>
      <c r="O609" s="466" t="s">
        <v>45</v>
      </c>
      <c r="P609" s="467" t="s">
        <v>46</v>
      </c>
      <c r="Q609" s="468" t="s">
        <v>47</v>
      </c>
      <c r="R609" s="467" t="s">
        <v>48</v>
      </c>
      <c r="U609" s="374">
        <f t="shared" si="43"/>
        <v>0</v>
      </c>
      <c r="V609" s="282">
        <f t="shared" si="44"/>
        <v>0</v>
      </c>
      <c r="W609" s="469">
        <f t="shared" si="45"/>
        <v>0</v>
      </c>
      <c r="X609" s="465">
        <f>$I$1</f>
        <v>0</v>
      </c>
    </row>
    <row r="610" spans="1:24" ht="15" customHeight="1">
      <c r="A610" s="515"/>
      <c r="B610" s="516"/>
      <c r="C610" s="515"/>
      <c r="D610" s="517"/>
      <c r="E610" s="286"/>
      <c r="F610" s="417"/>
      <c r="G610" s="1048"/>
      <c r="J610" s="1081">
        <v>130</v>
      </c>
      <c r="K610" s="471">
        <f>Prod.!P287</f>
        <v>0</v>
      </c>
      <c r="L610" s="471">
        <f>Prod.!Q287</f>
        <v>0</v>
      </c>
      <c r="M610" s="471">
        <f>Prod.!R287</f>
        <v>0</v>
      </c>
      <c r="N610" s="471">
        <f>Prod.!S287</f>
        <v>0</v>
      </c>
      <c r="O610" s="471">
        <f>Prod.!V287</f>
        <v>0</v>
      </c>
      <c r="P610" s="471">
        <f>Prod.!W287</f>
        <v>0</v>
      </c>
      <c r="Q610" s="471">
        <f>Prod.!X287</f>
        <v>0</v>
      </c>
      <c r="R610" s="471">
        <f>Prod.!Y287</f>
        <v>0</v>
      </c>
      <c r="U610" s="374">
        <f t="shared" si="43"/>
        <v>0</v>
      </c>
      <c r="V610" s="282">
        <f t="shared" si="44"/>
        <v>0</v>
      </c>
      <c r="W610" s="469">
        <f t="shared" si="45"/>
        <v>0</v>
      </c>
      <c r="X610" s="465">
        <f>IFERROR($I$2,0)</f>
        <v>0</v>
      </c>
    </row>
    <row r="611" spans="1:24" ht="15" customHeight="1">
      <c r="A611" s="515"/>
      <c r="B611" s="516"/>
      <c r="C611" s="515"/>
      <c r="D611" s="517"/>
      <c r="E611" s="1085"/>
      <c r="F611" s="517"/>
      <c r="G611" s="1086"/>
      <c r="U611" s="374">
        <f t="shared" si="43"/>
        <v>0</v>
      </c>
      <c r="V611" s="282">
        <f t="shared" si="44"/>
        <v>0</v>
      </c>
      <c r="W611" s="469">
        <f t="shared" si="45"/>
        <v>0</v>
      </c>
      <c r="X611" s="475"/>
    </row>
    <row r="612" spans="1:24" ht="15" customHeight="1">
      <c r="A612" s="515"/>
      <c r="B612" s="516"/>
      <c r="C612" s="515"/>
      <c r="D612" s="517"/>
      <c r="E612" s="1085"/>
      <c r="F612" s="1087"/>
      <c r="G612" s="1088"/>
      <c r="U612" s="374">
        <f t="shared" si="43"/>
        <v>0</v>
      </c>
      <c r="V612" s="282">
        <f t="shared" si="44"/>
        <v>0</v>
      </c>
      <c r="W612" s="469">
        <f t="shared" si="45"/>
        <v>0</v>
      </c>
      <c r="X612" s="520">
        <f>IFERROR($I$3,0)</f>
        <v>0</v>
      </c>
    </row>
    <row r="613" spans="1:24" ht="15" customHeight="1">
      <c r="A613" s="515"/>
      <c r="B613" s="515"/>
      <c r="C613" s="515"/>
      <c r="D613" s="517"/>
      <c r="E613" s="1085"/>
      <c r="F613" s="417"/>
      <c r="G613" s="1089"/>
      <c r="J613" t="s">
        <v>65</v>
      </c>
      <c r="K613" s="181">
        <f>Prod.!C286</f>
        <v>0</v>
      </c>
      <c r="L613" s="181">
        <f>Prod.!D286</f>
        <v>0</v>
      </c>
      <c r="M613" s="181">
        <f>Prod.!E286</f>
        <v>0</v>
      </c>
      <c r="N613" s="160">
        <f>Prod.!F286</f>
        <v>0</v>
      </c>
      <c r="O613" s="160">
        <f>Prod.!G286</f>
        <v>0</v>
      </c>
      <c r="U613" s="374">
        <f>E613</f>
        <v>0</v>
      </c>
      <c r="V613" s="282">
        <f>F613-V616</f>
        <v>0</v>
      </c>
      <c r="W613" s="479"/>
      <c r="X613" s="456"/>
    </row>
    <row r="614" spans="1:24" ht="15" customHeight="1">
      <c r="A614" s="515"/>
      <c r="B614" s="515"/>
      <c r="C614" s="515"/>
      <c r="D614" s="984"/>
      <c r="E614" s="286"/>
      <c r="F614" s="417"/>
      <c r="G614" s="1090"/>
      <c r="J614" t="s">
        <v>67</v>
      </c>
      <c r="K614" s="181">
        <f>Prod.!C287</f>
        <v>0</v>
      </c>
      <c r="L614" s="181">
        <f>Prod.!D287</f>
        <v>0</v>
      </c>
      <c r="M614" s="181">
        <f>Prod.!E287</f>
        <v>0</v>
      </c>
      <c r="N614" s="160">
        <f>Prod.!F287</f>
        <v>0</v>
      </c>
      <c r="O614" s="160">
        <f>Prod.!G287</f>
        <v>0</v>
      </c>
      <c r="T614" s="160"/>
      <c r="U614" s="374">
        <f>E614</f>
        <v>0</v>
      </c>
      <c r="V614" s="282">
        <f>F614</f>
        <v>0</v>
      </c>
      <c r="W614" s="479"/>
      <c r="X614" s="456"/>
    </row>
    <row r="615" spans="1:24" ht="15.75" customHeight="1" thickBot="1">
      <c r="A615" s="515"/>
      <c r="B615" s="515"/>
      <c r="C615" s="515"/>
      <c r="D615" s="517"/>
      <c r="E615" s="286"/>
      <c r="F615" s="417"/>
      <c r="G615" s="379"/>
      <c r="U615" s="374">
        <f>E615</f>
        <v>0</v>
      </c>
      <c r="V615" s="282">
        <f>F615</f>
        <v>0</v>
      </c>
      <c r="W615" s="479"/>
      <c r="X615" s="456"/>
    </row>
    <row r="616" spans="1:24" ht="14.25" customHeight="1" thickBot="1">
      <c r="A616" s="515"/>
      <c r="B616" s="515"/>
      <c r="C616" s="515"/>
      <c r="D616" s="517"/>
      <c r="E616" s="286"/>
      <c r="F616" s="417"/>
      <c r="G616" s="379"/>
      <c r="L616" s="1381" t="s">
        <v>7</v>
      </c>
      <c r="M616" s="1381"/>
      <c r="N616" s="1381"/>
      <c r="U616" s="374">
        <f>E620</f>
        <v>0</v>
      </c>
      <c r="V616" s="282">
        <f>F620</f>
        <v>0</v>
      </c>
      <c r="W616" s="479"/>
      <c r="X616" s="456"/>
    </row>
    <row r="617" spans="1:24" ht="19.5" customHeight="1" thickBot="1">
      <c r="A617" s="515"/>
      <c r="B617" s="515"/>
      <c r="C617" s="515"/>
      <c r="D617" s="517"/>
      <c r="E617" s="286"/>
      <c r="F617" s="417"/>
      <c r="G617" s="379"/>
      <c r="K617" s="163">
        <v>160</v>
      </c>
      <c r="L617" s="1381"/>
      <c r="M617" s="1381"/>
      <c r="N617" s="1381"/>
      <c r="U617" s="483" t="s">
        <v>255</v>
      </c>
      <c r="V617" s="484">
        <f>V607+V608+V609+V610+V611+V612+V613+V614+V615+V616</f>
        <v>0</v>
      </c>
      <c r="W617" s="485"/>
      <c r="X617" s="454"/>
    </row>
    <row r="618" spans="1:24" ht="18" customHeight="1" thickBot="1">
      <c r="A618" s="515"/>
      <c r="B618" s="515"/>
      <c r="C618" s="515"/>
      <c r="D618" s="517"/>
      <c r="E618" s="286"/>
      <c r="F618" s="417"/>
      <c r="G618" s="379"/>
      <c r="L618" s="1381"/>
      <c r="M618" s="1381"/>
      <c r="N618" s="1381"/>
    </row>
    <row r="619" spans="1:24" ht="15" customHeight="1">
      <c r="A619" s="515"/>
      <c r="B619" s="515"/>
      <c r="C619" s="515"/>
      <c r="D619" s="517"/>
      <c r="E619" s="286"/>
      <c r="F619" s="417"/>
      <c r="G619" s="417"/>
      <c r="L619" s="175">
        <f>Prod.!AP283</f>
        <v>6</v>
      </c>
      <c r="M619" s="176">
        <f>Prod.!AQ283</f>
        <v>0</v>
      </c>
      <c r="N619" s="486">
        <f>Prod.!AR283</f>
        <v>0</v>
      </c>
    </row>
    <row r="620" spans="1:24" ht="15" customHeight="1">
      <c r="A620" s="515"/>
      <c r="B620" s="515"/>
      <c r="C620" s="515"/>
      <c r="D620" s="984"/>
      <c r="E620" s="286"/>
      <c r="F620" s="417"/>
      <c r="G620" s="1091"/>
      <c r="L620" s="170">
        <f>Prod.!AP284</f>
        <v>5</v>
      </c>
      <c r="M620" s="171">
        <f>Prod.!AQ284</f>
        <v>0</v>
      </c>
      <c r="N620" s="100">
        <f>Prod.!AR284</f>
        <v>0</v>
      </c>
    </row>
    <row r="621" spans="1:24" ht="15" customHeight="1">
      <c r="A621" s="515"/>
      <c r="B621" s="516"/>
      <c r="C621" s="515"/>
      <c r="D621" s="517"/>
      <c r="E621" s="286"/>
      <c r="F621" s="277"/>
      <c r="G621" s="160"/>
      <c r="L621" s="170">
        <f>Prod.!AP285</f>
        <v>4</v>
      </c>
      <c r="M621" s="171">
        <f>Prod.!AQ285</f>
        <v>0</v>
      </c>
      <c r="N621" s="100">
        <f>Prod.!AR285</f>
        <v>0</v>
      </c>
    </row>
    <row r="622" spans="1:24" ht="15.75" customHeight="1">
      <c r="A622" s="515"/>
      <c r="B622" s="516"/>
      <c r="C622" s="515"/>
      <c r="D622" s="517"/>
      <c r="E622" s="1287"/>
      <c r="F622" s="1287"/>
      <c r="G622" s="379"/>
      <c r="L622" s="170">
        <f>Prod.!AP286</f>
        <v>3</v>
      </c>
      <c r="M622" s="171">
        <f>Prod.!AQ286</f>
        <v>0</v>
      </c>
      <c r="N622" s="100">
        <f>Prod.!AR286</f>
        <v>0</v>
      </c>
      <c r="O622" s="293" t="e">
        <f>N623/((L622*M622)+(L621*M621)+(L620*M620)+(L619*M619))</f>
        <v>#DIV/0!</v>
      </c>
    </row>
    <row r="623" spans="1:24" ht="15.75" customHeight="1">
      <c r="A623" s="515"/>
      <c r="B623" s="515"/>
      <c r="C623" s="515"/>
      <c r="D623" s="517"/>
      <c r="E623" s="984"/>
      <c r="F623" s="1044"/>
      <c r="G623" s="417"/>
      <c r="L623" s="173"/>
      <c r="M623" s="174"/>
      <c r="N623" s="491">
        <f>Prod.!AR287</f>
        <v>0</v>
      </c>
    </row>
    <row r="624" spans="1:24" ht="15" customHeight="1">
      <c r="A624" s="515"/>
      <c r="B624" s="516"/>
      <c r="C624" s="515"/>
      <c r="D624" s="517"/>
      <c r="E624" s="984"/>
      <c r="F624" s="1044"/>
      <c r="G624" s="417"/>
    </row>
    <row r="625" spans="1:15" ht="15" customHeight="1">
      <c r="A625" s="515"/>
      <c r="B625" s="516"/>
      <c r="C625" s="515"/>
      <c r="D625" s="517"/>
      <c r="E625" s="984"/>
      <c r="F625" s="1044"/>
      <c r="G625" s="417"/>
    </row>
    <row r="626" spans="1:15" ht="14.25" customHeight="1">
      <c r="A626" s="515"/>
      <c r="B626" s="515"/>
      <c r="C626" s="515"/>
      <c r="D626" s="517"/>
      <c r="E626" s="984"/>
      <c r="F626" s="1044"/>
      <c r="G626" s="417"/>
    </row>
    <row r="627" spans="1:15" ht="15" customHeight="1">
      <c r="A627" s="515"/>
      <c r="B627" s="516"/>
      <c r="C627" s="515"/>
      <c r="D627" s="517"/>
      <c r="E627" s="984"/>
      <c r="F627" s="172"/>
      <c r="G627" s="417"/>
      <c r="L627" s="1381" t="s">
        <v>7</v>
      </c>
      <c r="M627" s="1381"/>
      <c r="N627" s="1381"/>
    </row>
    <row r="628" spans="1:15" ht="15" customHeight="1">
      <c r="A628" s="515"/>
      <c r="B628" s="516"/>
      <c r="C628" s="515"/>
      <c r="D628" s="517"/>
      <c r="E628" s="984"/>
      <c r="F628" s="493"/>
      <c r="G628" s="417"/>
      <c r="K628" s="163">
        <v>130</v>
      </c>
      <c r="L628" s="1381"/>
      <c r="M628" s="1381"/>
      <c r="N628" s="1381"/>
    </row>
    <row r="629" spans="1:15" ht="15" customHeight="1">
      <c r="A629" s="515"/>
      <c r="B629" s="516"/>
      <c r="C629" s="515"/>
      <c r="D629" s="517"/>
      <c r="E629" s="984"/>
      <c r="F629" s="517"/>
      <c r="G629" s="160"/>
      <c r="L629" s="1381"/>
      <c r="M629" s="1381"/>
      <c r="N629" s="1381"/>
    </row>
    <row r="630" spans="1:15" ht="15" customHeight="1">
      <c r="A630" s="515"/>
      <c r="B630" s="516"/>
      <c r="C630" s="515"/>
      <c r="D630" s="517"/>
      <c r="E630" s="984"/>
      <c r="F630" s="517"/>
      <c r="L630" s="175">
        <f>Prod.!AP275</f>
        <v>6</v>
      </c>
      <c r="M630" s="176">
        <f>Prod.!AQ275</f>
        <v>0</v>
      </c>
      <c r="N630" s="486">
        <f>Prod.!AR275</f>
        <v>0</v>
      </c>
    </row>
    <row r="631" spans="1:15" ht="15" customHeight="1">
      <c r="A631" s="515"/>
      <c r="B631" s="515"/>
      <c r="C631" s="515"/>
      <c r="D631" s="517"/>
      <c r="E631" s="984"/>
      <c r="F631" s="254"/>
      <c r="L631" s="170">
        <f>Prod.!AP276</f>
        <v>5</v>
      </c>
      <c r="M631" s="171">
        <f>Prod.!AQ276</f>
        <v>0</v>
      </c>
      <c r="N631" s="100">
        <f>Prod.!AR276</f>
        <v>0</v>
      </c>
      <c r="O631" s="160"/>
    </row>
    <row r="632" spans="1:15" ht="15" customHeight="1">
      <c r="A632" s="515"/>
      <c r="B632" s="515"/>
      <c r="C632" s="515"/>
      <c r="D632" s="517"/>
      <c r="E632" s="984"/>
      <c r="F632" s="254"/>
      <c r="L632" s="170">
        <f>Prod.!AP277</f>
        <v>4</v>
      </c>
      <c r="M632" s="171">
        <f>Prod.!AQ277</f>
        <v>0</v>
      </c>
      <c r="N632" s="100">
        <f>Prod.!AR277</f>
        <v>0</v>
      </c>
      <c r="O632" s="160"/>
    </row>
    <row r="633" spans="1:15" ht="15.75" customHeight="1">
      <c r="A633" s="515"/>
      <c r="B633" s="515"/>
      <c r="C633" s="515"/>
      <c r="D633" s="517"/>
      <c r="E633" s="984"/>
      <c r="F633" s="536"/>
      <c r="L633" s="170">
        <f>Prod.!AP278</f>
        <v>3</v>
      </c>
      <c r="M633" s="172">
        <f>Prod.!AQ278</f>
        <v>0</v>
      </c>
      <c r="N633" s="100">
        <f>Prod.!AR278</f>
        <v>0</v>
      </c>
      <c r="O633" t="e">
        <f>N634/((L633*M633)+(L632*M632)+(L631*M631)+(L630*M630))</f>
        <v>#DIV/0!</v>
      </c>
    </row>
    <row r="634" spans="1:15" ht="15.75" customHeight="1">
      <c r="A634" s="515"/>
      <c r="B634" s="515"/>
      <c r="C634" s="515"/>
      <c r="D634" s="434"/>
      <c r="E634" s="984"/>
      <c r="F634" s="1092"/>
      <c r="L634" s="173"/>
      <c r="M634" s="174"/>
      <c r="N634" s="491">
        <f>Prod.!AR279</f>
        <v>0</v>
      </c>
      <c r="O634" s="160"/>
    </row>
    <row r="635" spans="1:15" ht="15" customHeight="1">
      <c r="A635" s="984"/>
      <c r="B635" s="984"/>
      <c r="C635" s="984"/>
      <c r="D635" s="984"/>
      <c r="E635" s="515"/>
      <c r="F635" s="517"/>
      <c r="G635" s="1091"/>
    </row>
    <row r="636" spans="1:15" ht="15" customHeight="1">
      <c r="A636" s="984"/>
      <c r="B636" s="1093"/>
      <c r="C636" s="1093"/>
      <c r="D636" s="984"/>
      <c r="E636" s="286"/>
      <c r="F636" s="417"/>
      <c r="G636" s="253"/>
    </row>
    <row r="637" spans="1:15" ht="15" customHeight="1">
      <c r="A637" s="984"/>
      <c r="B637" s="1093"/>
      <c r="C637" s="1093"/>
      <c r="D637" s="984"/>
      <c r="E637" s="286"/>
      <c r="F637" s="417"/>
      <c r="G637" s="253"/>
    </row>
    <row r="638" spans="1:15" ht="15" customHeight="1">
      <c r="A638" s="984"/>
      <c r="B638" s="1093"/>
      <c r="C638" s="1093"/>
      <c r="D638" s="984"/>
      <c r="E638" s="286"/>
      <c r="F638" s="417"/>
      <c r="G638" s="253"/>
    </row>
    <row r="639" spans="1:15" ht="15" customHeight="1">
      <c r="A639" s="984"/>
      <c r="B639" s="1051"/>
      <c r="C639" s="1051"/>
      <c r="D639" s="984"/>
      <c r="E639" s="286"/>
      <c r="F639" s="417"/>
      <c r="G639" s="253"/>
    </row>
    <row r="640" spans="1:15" ht="15" customHeight="1">
      <c r="A640" s="984"/>
      <c r="B640" s="1051"/>
      <c r="C640" s="1051"/>
      <c r="D640" s="984"/>
      <c r="E640" s="286"/>
      <c r="F640" s="417"/>
    </row>
    <row r="641" spans="1:24" ht="15" customHeight="1">
      <c r="A641" s="1084"/>
      <c r="B641" s="515"/>
      <c r="H641" s="180"/>
    </row>
    <row r="642" spans="1:24" ht="15" customHeight="1">
      <c r="A642" s="984"/>
      <c r="B642" s="984"/>
      <c r="D642" s="434"/>
      <c r="E642" s="434"/>
      <c r="H642" s="180"/>
      <c r="J642" s="1079" t="s">
        <v>306</v>
      </c>
      <c r="K642" s="1382"/>
      <c r="L642" s="1382"/>
      <c r="M642" s="1382"/>
      <c r="N642" s="1382"/>
      <c r="O642" s="1382"/>
      <c r="P642" s="1382"/>
      <c r="Q642" s="1382"/>
      <c r="R642" s="1382"/>
    </row>
    <row r="643" spans="1:24" ht="15.75" customHeight="1" thickBot="1">
      <c r="A643" s="984"/>
      <c r="B643" s="1051"/>
      <c r="H643" s="180"/>
      <c r="J643" s="1080" t="s">
        <v>1</v>
      </c>
      <c r="K643" s="466" t="s">
        <v>45</v>
      </c>
      <c r="L643" s="467" t="s">
        <v>46</v>
      </c>
      <c r="M643" s="468" t="s">
        <v>47</v>
      </c>
      <c r="N643" s="511" t="s">
        <v>48</v>
      </c>
      <c r="O643" s="512" t="s">
        <v>45</v>
      </c>
      <c r="P643" s="511" t="s">
        <v>46</v>
      </c>
      <c r="Q643" s="513" t="s">
        <v>47</v>
      </c>
      <c r="R643" s="511" t="s">
        <v>48</v>
      </c>
    </row>
    <row r="644" spans="1:24" ht="15.75" customHeight="1" thickBot="1">
      <c r="A644" s="984"/>
      <c r="B644" s="984"/>
      <c r="C644" s="984"/>
      <c r="D644" s="984"/>
      <c r="E644" s="984"/>
      <c r="F644" s="417"/>
      <c r="G644" s="379"/>
      <c r="J644" s="1082">
        <v>160</v>
      </c>
      <c r="K644" s="158">
        <f>Prod.!P306</f>
        <v>0</v>
      </c>
      <c r="L644" s="158">
        <f>Prod.!Q306</f>
        <v>0</v>
      </c>
      <c r="M644" s="158">
        <f>Prod.!R306</f>
        <v>0</v>
      </c>
      <c r="N644" s="158">
        <f>Prod.!S306</f>
        <v>0</v>
      </c>
      <c r="O644" s="158">
        <f>Prod.!V306</f>
        <v>0</v>
      </c>
      <c r="P644" s="158">
        <f>Prod.!W306</f>
        <v>0</v>
      </c>
      <c r="Q644" s="158">
        <f>Prod.!X306</f>
        <v>0</v>
      </c>
      <c r="R644" s="158">
        <f>Prod.!Y306</f>
        <v>0</v>
      </c>
      <c r="U644" s="1383" t="s">
        <v>230</v>
      </c>
      <c r="V644" s="1383"/>
      <c r="W644" s="1383"/>
      <c r="X644" s="1383"/>
    </row>
    <row r="645" spans="1:24" ht="15.75" customHeight="1" thickBot="1">
      <c r="A645" s="515"/>
      <c r="B645" s="516"/>
      <c r="C645" s="515"/>
      <c r="D645" s="517"/>
      <c r="E645" s="286"/>
      <c r="F645" s="417"/>
      <c r="G645" s="379"/>
      <c r="J645" s="1083">
        <v>110</v>
      </c>
      <c r="K645" s="514">
        <f>Prod.!J304</f>
        <v>0</v>
      </c>
      <c r="L645" s="514">
        <f>Prod.!K304</f>
        <v>0</v>
      </c>
      <c r="M645" s="514">
        <f>Prod.!L304</f>
        <v>0</v>
      </c>
      <c r="N645" s="514">
        <f>Prod.!M304</f>
        <v>0</v>
      </c>
      <c r="U645" s="1384">
        <f>A641</f>
        <v>0</v>
      </c>
      <c r="V645" s="1384"/>
      <c r="W645" s="453" t="s">
        <v>233</v>
      </c>
      <c r="X645" s="454" t="s">
        <v>234</v>
      </c>
    </row>
    <row r="646" spans="1:24" ht="15" customHeight="1">
      <c r="A646" s="515"/>
      <c r="B646" s="516"/>
      <c r="C646" s="515"/>
      <c r="D646" s="517"/>
      <c r="E646" s="286"/>
      <c r="F646" s="417"/>
      <c r="G646" s="379"/>
      <c r="J646" s="414"/>
      <c r="K646" s="414"/>
      <c r="L646" s="1385"/>
      <c r="M646" s="1385"/>
      <c r="N646" s="1385"/>
      <c r="O646" s="1385"/>
      <c r="P646" s="455"/>
      <c r="U646" s="231"/>
      <c r="X646" s="456"/>
    </row>
    <row r="647" spans="1:24" ht="15" customHeight="1">
      <c r="A647" s="515"/>
      <c r="B647" s="516"/>
      <c r="C647" s="515"/>
      <c r="D647" s="517"/>
      <c r="E647" s="929"/>
      <c r="F647" s="417"/>
      <c r="G647" s="379"/>
      <c r="J647" s="181"/>
      <c r="K647" s="508"/>
      <c r="L647" s="181"/>
      <c r="M647" s="508"/>
      <c r="N647" s="181"/>
      <c r="O647" s="508"/>
      <c r="U647" s="458">
        <f>E646</f>
        <v>0</v>
      </c>
      <c r="V647" s="282">
        <f>F646</f>
        <v>0</v>
      </c>
      <c r="W647" s="459"/>
      <c r="X647" s="460"/>
    </row>
    <row r="648" spans="1:24" ht="15" customHeight="1">
      <c r="A648" s="515"/>
      <c r="B648" s="516"/>
      <c r="C648" s="515"/>
      <c r="D648" s="517"/>
      <c r="E648" s="286"/>
      <c r="F648" s="417"/>
      <c r="G648" s="1048"/>
      <c r="K648" s="1382"/>
      <c r="L648" s="1382"/>
      <c r="M648" s="1382"/>
      <c r="N648" s="1382"/>
      <c r="O648" s="1382"/>
      <c r="P648" s="1382"/>
      <c r="Q648" s="1382"/>
      <c r="R648" s="1382"/>
      <c r="U648" s="462">
        <f t="shared" ref="U648:U652" si="46">E648</f>
        <v>0</v>
      </c>
      <c r="V648" s="463">
        <f t="shared" ref="V648:V652" si="47">F648</f>
        <v>0</v>
      </c>
      <c r="W648" s="464">
        <f t="shared" ref="W648:W652" si="48">G648</f>
        <v>0</v>
      </c>
      <c r="X648" s="465"/>
    </row>
    <row r="649" spans="1:24" ht="15" customHeight="1">
      <c r="A649" s="515"/>
      <c r="B649" s="516"/>
      <c r="C649" s="515"/>
      <c r="D649" s="517"/>
      <c r="E649" s="286"/>
      <c r="F649" s="417"/>
      <c r="G649" s="1048"/>
      <c r="J649" s="1080" t="s">
        <v>1</v>
      </c>
      <c r="K649" s="466" t="s">
        <v>45</v>
      </c>
      <c r="L649" s="467" t="s">
        <v>46</v>
      </c>
      <c r="M649" s="468" t="s">
        <v>47</v>
      </c>
      <c r="N649" s="467" t="s">
        <v>48</v>
      </c>
      <c r="O649" s="466" t="s">
        <v>45</v>
      </c>
      <c r="P649" s="467" t="s">
        <v>46</v>
      </c>
      <c r="Q649" s="468" t="s">
        <v>47</v>
      </c>
      <c r="R649" s="467" t="s">
        <v>48</v>
      </c>
      <c r="U649" s="374">
        <f t="shared" si="46"/>
        <v>0</v>
      </c>
      <c r="V649" s="282">
        <f t="shared" si="47"/>
        <v>0</v>
      </c>
      <c r="W649" s="469">
        <f t="shared" si="48"/>
        <v>0</v>
      </c>
      <c r="X649" s="465">
        <f>$I$1</f>
        <v>0</v>
      </c>
    </row>
    <row r="650" spans="1:24" ht="15" customHeight="1">
      <c r="A650" s="515"/>
      <c r="B650" s="516"/>
      <c r="C650" s="515"/>
      <c r="D650" s="517"/>
      <c r="E650" s="286"/>
      <c r="F650" s="417"/>
      <c r="G650" s="1048"/>
      <c r="J650" s="1081">
        <v>130</v>
      </c>
      <c r="K650" s="471">
        <f>Prod.!P305</f>
        <v>0</v>
      </c>
      <c r="L650" s="471">
        <f>Prod.!Q305</f>
        <v>0</v>
      </c>
      <c r="M650" s="471">
        <f>Prod.!R305</f>
        <v>0</v>
      </c>
      <c r="N650" s="471">
        <f>Prod.!S305</f>
        <v>0</v>
      </c>
      <c r="O650" s="471">
        <f>Prod.!V305</f>
        <v>0</v>
      </c>
      <c r="P650" s="471">
        <f>Prod.!W305</f>
        <v>0</v>
      </c>
      <c r="Q650" s="471">
        <f>Prod.!X305</f>
        <v>0</v>
      </c>
      <c r="R650" s="471">
        <f>Prod.!Y305</f>
        <v>0</v>
      </c>
      <c r="U650" s="374">
        <f t="shared" si="46"/>
        <v>0</v>
      </c>
      <c r="V650" s="282">
        <f t="shared" si="47"/>
        <v>0</v>
      </c>
      <c r="W650" s="469">
        <f t="shared" si="48"/>
        <v>0</v>
      </c>
      <c r="X650" s="465">
        <f>IFERROR($I$2,0)</f>
        <v>0</v>
      </c>
    </row>
    <row r="651" spans="1:24" ht="15" customHeight="1">
      <c r="A651" s="515"/>
      <c r="B651" s="516"/>
      <c r="C651" s="515"/>
      <c r="D651" s="517"/>
      <c r="E651" s="1085"/>
      <c r="F651" s="517"/>
      <c r="G651" s="1086"/>
      <c r="U651" s="374">
        <f t="shared" si="46"/>
        <v>0</v>
      </c>
      <c r="V651" s="282">
        <f t="shared" si="47"/>
        <v>0</v>
      </c>
      <c r="W651" s="469">
        <f t="shared" si="48"/>
        <v>0</v>
      </c>
      <c r="X651" s="475"/>
    </row>
    <row r="652" spans="1:24" ht="15" customHeight="1">
      <c r="A652" s="515"/>
      <c r="B652" s="516"/>
      <c r="C652" s="515"/>
      <c r="D652" s="517"/>
      <c r="E652" s="1085"/>
      <c r="F652" s="1087"/>
      <c r="G652" s="1088"/>
      <c r="U652" s="374">
        <f t="shared" si="46"/>
        <v>0</v>
      </c>
      <c r="V652" s="282">
        <f t="shared" si="47"/>
        <v>0</v>
      </c>
      <c r="W652" s="469">
        <f t="shared" si="48"/>
        <v>0</v>
      </c>
      <c r="X652" s="520">
        <f>IFERROR($I$3,0)</f>
        <v>0</v>
      </c>
    </row>
    <row r="653" spans="1:24" ht="15" customHeight="1">
      <c r="A653" s="515"/>
      <c r="B653" s="515"/>
      <c r="C653" s="515"/>
      <c r="D653" s="517"/>
      <c r="E653" s="1085"/>
      <c r="F653" s="417"/>
      <c r="G653" s="1089"/>
      <c r="J653" t="s">
        <v>65</v>
      </c>
      <c r="K653" s="181">
        <f>Prod.!C304</f>
        <v>0</v>
      </c>
      <c r="L653" s="181">
        <f>Prod.!D304</f>
        <v>0</v>
      </c>
      <c r="M653" s="181">
        <f>Prod.!E304</f>
        <v>0</v>
      </c>
      <c r="N653" s="160">
        <f>Prod.!F304</f>
        <v>0</v>
      </c>
      <c r="O653" s="160">
        <f>Prod.!G304</f>
        <v>0</v>
      </c>
      <c r="U653" s="374">
        <f>E653</f>
        <v>0</v>
      </c>
      <c r="V653" s="282">
        <f>F653-V656</f>
        <v>0</v>
      </c>
      <c r="W653" s="479"/>
      <c r="X653" s="456"/>
    </row>
    <row r="654" spans="1:24" ht="15" customHeight="1">
      <c r="A654" s="515"/>
      <c r="B654" s="515"/>
      <c r="C654" s="515"/>
      <c r="D654" s="984"/>
      <c r="E654" s="286"/>
      <c r="F654" s="417"/>
      <c r="G654" s="1090"/>
      <c r="J654" t="s">
        <v>67</v>
      </c>
      <c r="K654" s="181">
        <f>Prod.!C305</f>
        <v>0</v>
      </c>
      <c r="L654" s="181">
        <f>Prod.!D305</f>
        <v>0</v>
      </c>
      <c r="M654" s="181">
        <f>Prod.!E305</f>
        <v>0</v>
      </c>
      <c r="N654" s="160">
        <f>Prod.!F305</f>
        <v>0</v>
      </c>
      <c r="O654" s="160">
        <f>Prod.!G305</f>
        <v>0</v>
      </c>
      <c r="T654" s="160"/>
      <c r="U654" s="374">
        <f>E654</f>
        <v>0</v>
      </c>
      <c r="V654" s="282">
        <f>F654</f>
        <v>0</v>
      </c>
      <c r="W654" s="479"/>
      <c r="X654" s="456"/>
    </row>
    <row r="655" spans="1:24" ht="15.75" customHeight="1" thickBot="1">
      <c r="A655" s="515"/>
      <c r="B655" s="515"/>
      <c r="C655" s="515"/>
      <c r="D655" s="517"/>
      <c r="E655" s="286"/>
      <c r="F655" s="417"/>
      <c r="G655" s="379"/>
      <c r="U655" s="374">
        <f>E655</f>
        <v>0</v>
      </c>
      <c r="V655" s="282">
        <f>F655</f>
        <v>0</v>
      </c>
      <c r="W655" s="479"/>
      <c r="X655" s="456"/>
    </row>
    <row r="656" spans="1:24" ht="14.25" customHeight="1" thickBot="1">
      <c r="A656" s="515"/>
      <c r="B656" s="515"/>
      <c r="C656" s="515"/>
      <c r="D656" s="517"/>
      <c r="E656" s="286"/>
      <c r="F656" s="417"/>
      <c r="G656" s="379"/>
      <c r="L656" s="1381" t="s">
        <v>7</v>
      </c>
      <c r="M656" s="1381"/>
      <c r="N656" s="1381"/>
      <c r="U656" s="374">
        <f>E660</f>
        <v>0</v>
      </c>
      <c r="V656" s="282">
        <f>F660</f>
        <v>0</v>
      </c>
      <c r="W656" s="479"/>
      <c r="X656" s="456"/>
    </row>
    <row r="657" spans="1:24" ht="19.5" customHeight="1" thickBot="1">
      <c r="A657" s="515"/>
      <c r="B657" s="515"/>
      <c r="C657" s="515"/>
      <c r="D657" s="517"/>
      <c r="E657" s="286"/>
      <c r="F657" s="417"/>
      <c r="G657" s="379"/>
      <c r="K657" s="163">
        <v>160</v>
      </c>
      <c r="L657" s="1381"/>
      <c r="M657" s="1381"/>
      <c r="N657" s="1381"/>
      <c r="U657" s="483" t="s">
        <v>255</v>
      </c>
      <c r="V657" s="484">
        <f>V647+V648+V649+V650+V651+V652+V653+V654+V655+V656</f>
        <v>0</v>
      </c>
      <c r="W657" s="485"/>
      <c r="X657" s="454"/>
    </row>
    <row r="658" spans="1:24" ht="18" customHeight="1" thickBot="1">
      <c r="A658" s="515"/>
      <c r="B658" s="515"/>
      <c r="C658" s="515"/>
      <c r="D658" s="517"/>
      <c r="E658" s="286"/>
      <c r="F658" s="417"/>
      <c r="G658" s="379"/>
      <c r="L658" s="1381"/>
      <c r="M658" s="1381"/>
      <c r="N658" s="1381"/>
    </row>
    <row r="659" spans="1:24" ht="15" customHeight="1">
      <c r="A659" s="515"/>
      <c r="B659" s="515"/>
      <c r="C659" s="515"/>
      <c r="D659" s="517"/>
      <c r="E659" s="286"/>
      <c r="F659" s="417"/>
      <c r="G659" s="417"/>
      <c r="L659" s="175">
        <f>Prod.!AP301</f>
        <v>6</v>
      </c>
      <c r="M659" s="176">
        <f>Prod.!AQ301</f>
        <v>0</v>
      </c>
      <c r="N659" s="486">
        <f>Prod.!AR301</f>
        <v>0</v>
      </c>
    </row>
    <row r="660" spans="1:24" ht="15" customHeight="1">
      <c r="A660" s="515"/>
      <c r="B660" s="515"/>
      <c r="C660" s="515"/>
      <c r="D660" s="984"/>
      <c r="E660" s="286"/>
      <c r="F660" s="417"/>
      <c r="G660" s="1091"/>
      <c r="L660" s="170">
        <f>Prod.!AP302</f>
        <v>5</v>
      </c>
      <c r="M660" s="171">
        <f>Prod.!AQ302</f>
        <v>0</v>
      </c>
      <c r="N660" s="100">
        <f>Prod.!AR302</f>
        <v>0</v>
      </c>
    </row>
    <row r="661" spans="1:24" ht="15" customHeight="1">
      <c r="A661" s="515"/>
      <c r="B661" s="516"/>
      <c r="C661" s="515"/>
      <c r="D661" s="517"/>
      <c r="E661" s="286"/>
      <c r="F661" s="277"/>
      <c r="G661" s="160"/>
      <c r="L661" s="170">
        <f>Prod.!AP303</f>
        <v>4</v>
      </c>
      <c r="M661" s="171">
        <f>Prod.!AQ303</f>
        <v>0</v>
      </c>
      <c r="N661" s="100">
        <f>Prod.!AR303</f>
        <v>0</v>
      </c>
    </row>
    <row r="662" spans="1:24" ht="15.75" customHeight="1">
      <c r="A662" s="515"/>
      <c r="B662" s="516"/>
      <c r="C662" s="515"/>
      <c r="D662" s="517"/>
      <c r="E662" s="1287"/>
      <c r="F662" s="1287"/>
      <c r="G662" s="379"/>
      <c r="L662" s="170">
        <f>Prod.!AP304</f>
        <v>3</v>
      </c>
      <c r="M662" s="171">
        <f>Prod.!AQ304</f>
        <v>0</v>
      </c>
      <c r="N662" s="100">
        <f>Prod.!AR304</f>
        <v>0</v>
      </c>
      <c r="O662" t="e">
        <f>N663/((L662*M662)+(L661*M661)+(L660*M660)+(L659*M659))</f>
        <v>#DIV/0!</v>
      </c>
    </row>
    <row r="663" spans="1:24" ht="15.75" customHeight="1">
      <c r="A663" s="515"/>
      <c r="B663" s="515"/>
      <c r="C663" s="515"/>
      <c r="D663" s="517"/>
      <c r="E663" s="984"/>
      <c r="F663" s="1044"/>
      <c r="G663" s="417"/>
      <c r="L663" s="173"/>
      <c r="M663" s="174"/>
      <c r="N663" s="491">
        <f>Prod.!AR305</f>
        <v>0</v>
      </c>
    </row>
    <row r="664" spans="1:24" ht="15" customHeight="1">
      <c r="A664" s="515"/>
      <c r="B664" s="516"/>
      <c r="C664" s="515"/>
      <c r="D664" s="517"/>
      <c r="E664" s="984"/>
      <c r="F664" s="1044"/>
      <c r="G664" s="417"/>
    </row>
    <row r="665" spans="1:24" ht="15" customHeight="1">
      <c r="A665" s="515"/>
      <c r="B665" s="516"/>
      <c r="C665" s="515"/>
      <c r="D665" s="517"/>
      <c r="E665" s="984"/>
      <c r="F665" s="1044"/>
      <c r="G665" s="417"/>
    </row>
    <row r="666" spans="1:24" ht="14.25" customHeight="1">
      <c r="A666" s="515"/>
      <c r="B666" s="515"/>
      <c r="C666" s="515"/>
      <c r="D666" s="517"/>
      <c r="E666" s="984"/>
      <c r="F666" s="1044"/>
      <c r="G666" s="417"/>
    </row>
    <row r="667" spans="1:24" ht="15" customHeight="1">
      <c r="A667" s="515"/>
      <c r="B667" s="516"/>
      <c r="C667" s="515"/>
      <c r="D667" s="517"/>
      <c r="E667" s="984"/>
      <c r="F667" s="172"/>
      <c r="G667" s="417"/>
      <c r="L667" s="1381" t="s">
        <v>7</v>
      </c>
      <c r="M667" s="1381"/>
      <c r="N667" s="1381"/>
    </row>
    <row r="668" spans="1:24" ht="15" customHeight="1">
      <c r="A668" s="515"/>
      <c r="B668" s="516"/>
      <c r="C668" s="515"/>
      <c r="D668" s="517"/>
      <c r="E668" s="984"/>
      <c r="F668" s="493"/>
      <c r="G668" s="417"/>
      <c r="K668" s="163">
        <v>130</v>
      </c>
      <c r="L668" s="1381"/>
      <c r="M668" s="1381"/>
      <c r="N668" s="1381"/>
    </row>
    <row r="669" spans="1:24" ht="15" customHeight="1">
      <c r="A669" s="515"/>
      <c r="B669" s="516"/>
      <c r="C669" s="515"/>
      <c r="D669" s="517"/>
      <c r="E669" s="984"/>
      <c r="F669" s="517"/>
      <c r="G669" s="160"/>
      <c r="L669" s="1381"/>
      <c r="M669" s="1381"/>
      <c r="N669" s="1381"/>
    </row>
    <row r="670" spans="1:24" ht="15" customHeight="1">
      <c r="A670" s="515"/>
      <c r="B670" s="516"/>
      <c r="C670" s="515"/>
      <c r="D670" s="517"/>
      <c r="E670" s="984"/>
      <c r="F670" s="517"/>
      <c r="L670" s="175">
        <f>Prod.!AP293</f>
        <v>6</v>
      </c>
      <c r="M670" s="176">
        <f>Prod.!AQ293</f>
        <v>0</v>
      </c>
      <c r="N670" s="486">
        <f>Prod.!AR293</f>
        <v>0</v>
      </c>
    </row>
    <row r="671" spans="1:24" ht="15" customHeight="1">
      <c r="A671" s="515"/>
      <c r="B671" s="515"/>
      <c r="C671" s="515"/>
      <c r="D671" s="517"/>
      <c r="E671" s="984"/>
      <c r="F671" s="254"/>
      <c r="L671" s="170">
        <f>Prod.!AP294</f>
        <v>5</v>
      </c>
      <c r="M671" s="171">
        <f>Prod.!AQ294</f>
        <v>0</v>
      </c>
      <c r="N671" s="100">
        <f>Prod.!AR294</f>
        <v>0</v>
      </c>
      <c r="O671" s="160"/>
    </row>
    <row r="672" spans="1:24" ht="15" customHeight="1">
      <c r="A672" s="515"/>
      <c r="B672" s="515"/>
      <c r="C672" s="515"/>
      <c r="D672" s="517"/>
      <c r="E672" s="984"/>
      <c r="F672" s="254"/>
      <c r="L672" s="170">
        <f>Prod.!AP295</f>
        <v>4</v>
      </c>
      <c r="M672" s="171">
        <f>Prod.!AQ295</f>
        <v>0</v>
      </c>
      <c r="N672" s="100">
        <f>Prod.!AR295</f>
        <v>0</v>
      </c>
      <c r="O672" s="160"/>
    </row>
    <row r="673" spans="1:24" ht="15.75" customHeight="1">
      <c r="A673" s="515"/>
      <c r="B673" s="515"/>
      <c r="C673" s="515"/>
      <c r="D673" s="517"/>
      <c r="E673" s="984"/>
      <c r="F673" s="536"/>
      <c r="L673" s="170">
        <f>Prod.!AP296</f>
        <v>3</v>
      </c>
      <c r="M673" s="172">
        <f>Prod.!AQ296</f>
        <v>0</v>
      </c>
      <c r="N673" s="100">
        <f>Prod.!AR296</f>
        <v>0</v>
      </c>
      <c r="O673" t="e">
        <f>N674/((L673*M673)+(L672*M672)+(L671*M671)+(L670*M670))</f>
        <v>#DIV/0!</v>
      </c>
    </row>
    <row r="674" spans="1:24" ht="15.75" customHeight="1">
      <c r="A674" s="515"/>
      <c r="B674" s="515"/>
      <c r="C674" s="515"/>
      <c r="D674" s="434"/>
      <c r="E674" s="984"/>
      <c r="F674" s="1092"/>
      <c r="L674" s="173"/>
      <c r="M674" s="174"/>
      <c r="N674" s="491">
        <f>Prod.!AR297</f>
        <v>0</v>
      </c>
      <c r="O674" s="160"/>
    </row>
    <row r="675" spans="1:24" ht="15" customHeight="1">
      <c r="A675" s="984"/>
      <c r="B675" s="984"/>
      <c r="C675" s="984"/>
      <c r="D675" s="984"/>
      <c r="E675" s="515"/>
      <c r="F675" s="517"/>
      <c r="G675" s="1091"/>
    </row>
    <row r="676" spans="1:24" ht="15" customHeight="1">
      <c r="A676" s="984"/>
      <c r="B676" s="1093"/>
      <c r="C676" s="1093"/>
      <c r="D676" s="984"/>
      <c r="E676" s="286"/>
      <c r="F676" s="417"/>
      <c r="G676" s="253"/>
    </row>
    <row r="677" spans="1:24" ht="15" customHeight="1">
      <c r="A677" s="984"/>
      <c r="B677" s="1093"/>
      <c r="C677" s="1093"/>
      <c r="D677" s="984"/>
      <c r="E677" s="286"/>
      <c r="F677" s="417"/>
      <c r="G677" s="253"/>
    </row>
    <row r="678" spans="1:24" ht="15" customHeight="1">
      <c r="A678" s="984"/>
      <c r="B678" s="1093"/>
      <c r="C678" s="1093"/>
      <c r="D678" s="984"/>
      <c r="E678" s="286"/>
      <c r="F678" s="417"/>
      <c r="G678" s="253"/>
    </row>
    <row r="679" spans="1:24" ht="15" customHeight="1">
      <c r="A679" s="984"/>
      <c r="B679" s="1051"/>
      <c r="C679" s="1051"/>
      <c r="D679" s="984"/>
      <c r="E679" s="286"/>
      <c r="F679" s="417"/>
      <c r="G679" s="253"/>
    </row>
    <row r="680" spans="1:24" ht="15" customHeight="1">
      <c r="A680" s="984"/>
      <c r="B680" s="1051"/>
      <c r="C680" s="1051"/>
      <c r="D680" s="984"/>
      <c r="E680" s="286"/>
      <c r="F680" s="417"/>
    </row>
    <row r="681" spans="1:24" ht="15" customHeight="1">
      <c r="A681" s="1084"/>
      <c r="B681" s="515"/>
      <c r="H681" s="180"/>
    </row>
    <row r="682" spans="1:24" ht="15" customHeight="1">
      <c r="A682" s="984"/>
      <c r="B682" s="984"/>
      <c r="D682" s="434"/>
      <c r="E682" s="434"/>
      <c r="H682" s="180"/>
      <c r="J682" s="1079" t="s">
        <v>307</v>
      </c>
      <c r="K682" s="1382"/>
      <c r="L682" s="1382"/>
      <c r="M682" s="1382"/>
      <c r="N682" s="1382"/>
      <c r="O682" s="1382"/>
      <c r="P682" s="1382"/>
      <c r="Q682" s="1382"/>
      <c r="R682" s="1382"/>
    </row>
    <row r="683" spans="1:24" ht="15.75" customHeight="1" thickBot="1">
      <c r="A683" s="984"/>
      <c r="B683" s="1051"/>
      <c r="H683" s="180"/>
      <c r="J683" s="1080" t="s">
        <v>1</v>
      </c>
      <c r="K683" s="466" t="s">
        <v>45</v>
      </c>
      <c r="L683" s="467" t="s">
        <v>46</v>
      </c>
      <c r="M683" s="468" t="s">
        <v>47</v>
      </c>
      <c r="N683" s="511" t="s">
        <v>48</v>
      </c>
      <c r="O683" s="512" t="s">
        <v>45</v>
      </c>
      <c r="P683" s="511" t="s">
        <v>46</v>
      </c>
      <c r="Q683" s="513" t="s">
        <v>47</v>
      </c>
      <c r="R683" s="511" t="s">
        <v>48</v>
      </c>
    </row>
    <row r="684" spans="1:24" ht="15.75" customHeight="1" thickBot="1">
      <c r="A684" s="984"/>
      <c r="B684" s="984"/>
      <c r="C684" s="984"/>
      <c r="D684" s="984"/>
      <c r="E684" s="984"/>
      <c r="F684" s="417"/>
      <c r="G684" s="379"/>
      <c r="J684" s="1082">
        <v>160</v>
      </c>
      <c r="K684" s="158">
        <f>Prod.!P324</f>
        <v>0</v>
      </c>
      <c r="L684" s="158">
        <f>Prod.!Q324</f>
        <v>0</v>
      </c>
      <c r="M684" s="158">
        <f>Prod.!R324</f>
        <v>0</v>
      </c>
      <c r="N684" s="158">
        <f>Prod.!S324</f>
        <v>0</v>
      </c>
      <c r="O684" s="158">
        <f>Prod.!V324</f>
        <v>0</v>
      </c>
      <c r="P684" s="158">
        <f>Prod.!W324</f>
        <v>0</v>
      </c>
      <c r="Q684" s="158">
        <f>Prod.!X324</f>
        <v>0</v>
      </c>
      <c r="R684" s="158">
        <f>Prod.!Y324</f>
        <v>0</v>
      </c>
      <c r="U684" s="1383" t="s">
        <v>230</v>
      </c>
      <c r="V684" s="1383"/>
      <c r="W684" s="1383"/>
      <c r="X684" s="1383"/>
    </row>
    <row r="685" spans="1:24" ht="15.75" customHeight="1" thickBot="1">
      <c r="A685" s="515"/>
      <c r="B685" s="516"/>
      <c r="C685" s="515"/>
      <c r="D685" s="517"/>
      <c r="E685" s="286"/>
      <c r="F685" s="417"/>
      <c r="G685" s="379"/>
      <c r="J685" s="1083">
        <v>110</v>
      </c>
      <c r="K685" s="514">
        <f>Prod.!J322</f>
        <v>0</v>
      </c>
      <c r="L685" s="514">
        <f>Prod.!K322</f>
        <v>0</v>
      </c>
      <c r="M685" s="514">
        <f>Prod.!L322</f>
        <v>0</v>
      </c>
      <c r="N685" s="514">
        <f>Prod.!M322</f>
        <v>0</v>
      </c>
      <c r="U685" s="1384">
        <f>A681</f>
        <v>0</v>
      </c>
      <c r="V685" s="1384"/>
      <c r="W685" s="453" t="s">
        <v>233</v>
      </c>
      <c r="X685" s="454" t="s">
        <v>234</v>
      </c>
    </row>
    <row r="686" spans="1:24" ht="15" customHeight="1">
      <c r="A686" s="515"/>
      <c r="B686" s="516"/>
      <c r="C686" s="515"/>
      <c r="D686" s="517"/>
      <c r="E686" s="286"/>
      <c r="F686" s="417"/>
      <c r="G686" s="379"/>
      <c r="J686" s="414"/>
      <c r="K686" s="414"/>
      <c r="L686" s="1385"/>
      <c r="M686" s="1385"/>
      <c r="N686" s="1385"/>
      <c r="O686" s="1385"/>
      <c r="P686" s="455"/>
      <c r="U686" s="231"/>
      <c r="X686" s="456"/>
    </row>
    <row r="687" spans="1:24" ht="15" customHeight="1">
      <c r="A687" s="515"/>
      <c r="B687" s="516"/>
      <c r="C687" s="515"/>
      <c r="D687" s="517"/>
      <c r="E687" s="929"/>
      <c r="F687" s="417"/>
      <c r="G687" s="379"/>
      <c r="J687" s="181"/>
      <c r="K687" s="508"/>
      <c r="L687" s="181"/>
      <c r="M687" s="508"/>
      <c r="N687" s="181"/>
      <c r="O687" s="508"/>
      <c r="U687" s="458">
        <f>E686</f>
        <v>0</v>
      </c>
      <c r="V687" s="282">
        <f>F686</f>
        <v>0</v>
      </c>
      <c r="W687" s="459"/>
      <c r="X687" s="460"/>
    </row>
    <row r="688" spans="1:24" ht="15" customHeight="1">
      <c r="A688" s="515"/>
      <c r="B688" s="516"/>
      <c r="C688" s="515"/>
      <c r="D688" s="517"/>
      <c r="E688" s="286"/>
      <c r="F688" s="417"/>
      <c r="G688" s="1048"/>
      <c r="K688" s="1382"/>
      <c r="L688" s="1382"/>
      <c r="M688" s="1382"/>
      <c r="N688" s="1382"/>
      <c r="O688" s="1382"/>
      <c r="P688" s="1382"/>
      <c r="Q688" s="1382"/>
      <c r="R688" s="1382"/>
      <c r="U688" s="462">
        <f t="shared" ref="U688:U692" si="49">E688</f>
        <v>0</v>
      </c>
      <c r="V688" s="463">
        <f t="shared" ref="V688:V692" si="50">F688</f>
        <v>0</v>
      </c>
      <c r="W688" s="464">
        <f t="shared" ref="W688:W692" si="51">G688</f>
        <v>0</v>
      </c>
      <c r="X688" s="465"/>
    </row>
    <row r="689" spans="1:24" ht="15" customHeight="1">
      <c r="A689" s="515"/>
      <c r="B689" s="516"/>
      <c r="C689" s="515"/>
      <c r="D689" s="517"/>
      <c r="E689" s="286"/>
      <c r="F689" s="417"/>
      <c r="G689" s="1048"/>
      <c r="J689" s="1080" t="s">
        <v>1</v>
      </c>
      <c r="K689" s="466" t="s">
        <v>45</v>
      </c>
      <c r="L689" s="467" t="s">
        <v>46</v>
      </c>
      <c r="M689" s="468" t="s">
        <v>47</v>
      </c>
      <c r="N689" s="467" t="s">
        <v>48</v>
      </c>
      <c r="O689" s="466" t="s">
        <v>45</v>
      </c>
      <c r="P689" s="467" t="s">
        <v>46</v>
      </c>
      <c r="Q689" s="468" t="s">
        <v>47</v>
      </c>
      <c r="R689" s="467" t="s">
        <v>48</v>
      </c>
      <c r="U689" s="374">
        <f t="shared" si="49"/>
        <v>0</v>
      </c>
      <c r="V689" s="282">
        <f t="shared" si="50"/>
        <v>0</v>
      </c>
      <c r="W689" s="469">
        <f t="shared" si="51"/>
        <v>0</v>
      </c>
      <c r="X689" s="465">
        <f>$I$1</f>
        <v>0</v>
      </c>
    </row>
    <row r="690" spans="1:24" ht="15" customHeight="1">
      <c r="A690" s="515"/>
      <c r="B690" s="516"/>
      <c r="C690" s="515"/>
      <c r="D690" s="517"/>
      <c r="E690" s="286"/>
      <c r="F690" s="417"/>
      <c r="G690" s="1048"/>
      <c r="J690" s="1081">
        <v>130</v>
      </c>
      <c r="K690" s="471">
        <f>Prod.!P323</f>
        <v>0</v>
      </c>
      <c r="L690" s="471">
        <f>Prod.!Q323</f>
        <v>0</v>
      </c>
      <c r="M690" s="471">
        <f>Prod.!R323</f>
        <v>0</v>
      </c>
      <c r="N690" s="471">
        <f>Prod.!S323</f>
        <v>0</v>
      </c>
      <c r="O690" s="471">
        <f>Prod.!V323</f>
        <v>0</v>
      </c>
      <c r="P690" s="471">
        <f>Prod.!W323</f>
        <v>0</v>
      </c>
      <c r="Q690" s="471">
        <f>Prod.!X323</f>
        <v>0</v>
      </c>
      <c r="R690" s="471">
        <f>Prod.!Y323</f>
        <v>0</v>
      </c>
      <c r="U690" s="374">
        <f t="shared" si="49"/>
        <v>0</v>
      </c>
      <c r="V690" s="282">
        <f t="shared" si="50"/>
        <v>0</v>
      </c>
      <c r="W690" s="469">
        <f t="shared" si="51"/>
        <v>0</v>
      </c>
      <c r="X690" s="465">
        <f>IFERROR($I$2,0)</f>
        <v>0</v>
      </c>
    </row>
    <row r="691" spans="1:24" ht="15" customHeight="1">
      <c r="A691" s="515"/>
      <c r="B691" s="516"/>
      <c r="C691" s="515"/>
      <c r="D691" s="517"/>
      <c r="E691" s="1085"/>
      <c r="F691" s="517"/>
      <c r="G691" s="1086"/>
      <c r="U691" s="374">
        <f t="shared" si="49"/>
        <v>0</v>
      </c>
      <c r="V691" s="282">
        <f t="shared" si="50"/>
        <v>0</v>
      </c>
      <c r="W691" s="469">
        <f t="shared" si="51"/>
        <v>0</v>
      </c>
      <c r="X691" s="475"/>
    </row>
    <row r="692" spans="1:24" ht="15" customHeight="1">
      <c r="A692" s="515"/>
      <c r="B692" s="516"/>
      <c r="C692" s="515"/>
      <c r="D692" s="517"/>
      <c r="E692" s="1085"/>
      <c r="F692" s="1087"/>
      <c r="G692" s="1088"/>
      <c r="U692" s="374">
        <f t="shared" si="49"/>
        <v>0</v>
      </c>
      <c r="V692" s="282">
        <f t="shared" si="50"/>
        <v>0</v>
      </c>
      <c r="W692" s="469">
        <f t="shared" si="51"/>
        <v>0</v>
      </c>
      <c r="X692" s="520">
        <f>IFERROR($I$3,0)</f>
        <v>0</v>
      </c>
    </row>
    <row r="693" spans="1:24" ht="15" customHeight="1">
      <c r="A693" s="515"/>
      <c r="B693" s="515"/>
      <c r="C693" s="515"/>
      <c r="D693" s="517"/>
      <c r="E693" s="1085"/>
      <c r="F693" s="417"/>
      <c r="G693" s="1089"/>
      <c r="J693" t="s">
        <v>65</v>
      </c>
      <c r="K693" s="181">
        <f>Prod.!C322</f>
        <v>0</v>
      </c>
      <c r="L693" s="181">
        <f>Prod.!D322</f>
        <v>0</v>
      </c>
      <c r="M693" s="181">
        <f>Prod.!E322</f>
        <v>0</v>
      </c>
      <c r="N693" s="160">
        <f>Prod.!F322</f>
        <v>0</v>
      </c>
      <c r="O693" s="160">
        <f>Prod.!G322</f>
        <v>0</v>
      </c>
      <c r="U693" s="374">
        <f>E693</f>
        <v>0</v>
      </c>
      <c r="V693" s="282">
        <f>F693-V696</f>
        <v>0</v>
      </c>
      <c r="W693" s="479"/>
      <c r="X693" s="456"/>
    </row>
    <row r="694" spans="1:24" ht="15" customHeight="1">
      <c r="A694" s="515"/>
      <c r="B694" s="515"/>
      <c r="C694" s="515"/>
      <c r="D694" s="984"/>
      <c r="E694" s="286"/>
      <c r="F694" s="417"/>
      <c r="G694" s="1090"/>
      <c r="J694" t="s">
        <v>67</v>
      </c>
      <c r="K694" s="181">
        <f>Prod.!C323</f>
        <v>0</v>
      </c>
      <c r="L694" s="181">
        <f>Prod.!D323</f>
        <v>0</v>
      </c>
      <c r="M694" s="181">
        <f>Prod.!E323</f>
        <v>0</v>
      </c>
      <c r="N694" s="160">
        <f>Prod.!F323</f>
        <v>0</v>
      </c>
      <c r="O694" s="160">
        <f>Prod.!G323</f>
        <v>0</v>
      </c>
      <c r="T694" s="160"/>
      <c r="U694" s="374">
        <f>E694</f>
        <v>0</v>
      </c>
      <c r="V694" s="282">
        <f>F694</f>
        <v>0</v>
      </c>
      <c r="W694" s="479"/>
      <c r="X694" s="456"/>
    </row>
    <row r="695" spans="1:24" ht="15.75" customHeight="1" thickBot="1">
      <c r="A695" s="515"/>
      <c r="B695" s="515"/>
      <c r="C695" s="515"/>
      <c r="D695" s="517"/>
      <c r="E695" s="286"/>
      <c r="F695" s="417"/>
      <c r="G695" s="379"/>
      <c r="U695" s="374">
        <f>E695</f>
        <v>0</v>
      </c>
      <c r="V695" s="282">
        <f>F695</f>
        <v>0</v>
      </c>
      <c r="W695" s="479"/>
      <c r="X695" s="456"/>
    </row>
    <row r="696" spans="1:24" ht="14.25" customHeight="1" thickBot="1">
      <c r="A696" s="515"/>
      <c r="B696" s="515"/>
      <c r="C696" s="515"/>
      <c r="D696" s="517"/>
      <c r="E696" s="286"/>
      <c r="F696" s="417"/>
      <c r="G696" s="379"/>
      <c r="L696" s="1381" t="s">
        <v>7</v>
      </c>
      <c r="M696" s="1381"/>
      <c r="N696" s="1381"/>
      <c r="U696" s="374">
        <f>E700</f>
        <v>0</v>
      </c>
      <c r="V696" s="282">
        <f>F700</f>
        <v>0</v>
      </c>
      <c r="W696" s="479"/>
      <c r="X696" s="456"/>
    </row>
    <row r="697" spans="1:24" ht="19.5" customHeight="1" thickBot="1">
      <c r="A697" s="515"/>
      <c r="B697" s="515"/>
      <c r="C697" s="515"/>
      <c r="D697" s="517"/>
      <c r="E697" s="286"/>
      <c r="F697" s="417"/>
      <c r="G697" s="379"/>
      <c r="K697" s="163">
        <v>160</v>
      </c>
      <c r="L697" s="1381"/>
      <c r="M697" s="1381"/>
      <c r="N697" s="1381"/>
      <c r="U697" s="483" t="s">
        <v>255</v>
      </c>
      <c r="V697" s="484">
        <f>V687+V688+V689+V690+V691+V692+V693+V694+V695+V696</f>
        <v>0</v>
      </c>
      <c r="W697" s="485"/>
      <c r="X697" s="454"/>
    </row>
    <row r="698" spans="1:24" ht="18" customHeight="1" thickBot="1">
      <c r="A698" s="515"/>
      <c r="B698" s="515"/>
      <c r="C698" s="515"/>
      <c r="D698" s="517"/>
      <c r="E698" s="286"/>
      <c r="F698" s="417"/>
      <c r="G698" s="379"/>
      <c r="L698" s="1381"/>
      <c r="M698" s="1381"/>
      <c r="N698" s="1381"/>
    </row>
    <row r="699" spans="1:24" ht="15" customHeight="1">
      <c r="A699" s="515"/>
      <c r="B699" s="515"/>
      <c r="C699" s="515"/>
      <c r="D699" s="517"/>
      <c r="E699" s="286"/>
      <c r="F699" s="417"/>
      <c r="G699" s="417"/>
      <c r="L699" s="175">
        <f>Prod.!AP319</f>
        <v>6</v>
      </c>
      <c r="M699" s="176">
        <f>Prod.!AQ319</f>
        <v>0</v>
      </c>
      <c r="N699" s="486">
        <f>Prod.!AR319</f>
        <v>0</v>
      </c>
    </row>
    <row r="700" spans="1:24" ht="15" customHeight="1">
      <c r="A700" s="515"/>
      <c r="B700" s="515"/>
      <c r="C700" s="515"/>
      <c r="D700" s="984"/>
      <c r="E700" s="286"/>
      <c r="F700" s="417"/>
      <c r="G700" s="1091"/>
      <c r="L700" s="170">
        <f>Prod.!AP320</f>
        <v>5</v>
      </c>
      <c r="M700" s="171">
        <f>Prod.!AQ320</f>
        <v>0</v>
      </c>
      <c r="N700" s="100">
        <f>Prod.!AR320</f>
        <v>0</v>
      </c>
    </row>
    <row r="701" spans="1:24" ht="15" customHeight="1">
      <c r="A701" s="515"/>
      <c r="B701" s="516"/>
      <c r="C701" s="515"/>
      <c r="D701" s="517"/>
      <c r="E701" s="286"/>
      <c r="F701" s="277"/>
      <c r="G701" s="160"/>
      <c r="L701" s="170">
        <f>Prod.!AP321</f>
        <v>4</v>
      </c>
      <c r="M701" s="171">
        <f>Prod.!AQ321</f>
        <v>0</v>
      </c>
      <c r="N701" s="100">
        <f>Prod.!AR321</f>
        <v>0</v>
      </c>
    </row>
    <row r="702" spans="1:24" ht="15.75" customHeight="1">
      <c r="A702" s="515"/>
      <c r="B702" s="516"/>
      <c r="C702" s="515"/>
      <c r="D702" s="517"/>
      <c r="E702" s="1287"/>
      <c r="F702" s="1287"/>
      <c r="G702" s="379"/>
      <c r="L702" s="170">
        <f>Prod.!AP322</f>
        <v>3</v>
      </c>
      <c r="M702" s="171">
        <f>Prod.!AQ322</f>
        <v>0</v>
      </c>
      <c r="N702" s="100">
        <f>Prod.!AR322</f>
        <v>0</v>
      </c>
      <c r="O702" s="293" t="e">
        <f>N703/((L702*M702)+(L701*M701)+(L700*M700)+(L699*M699))</f>
        <v>#DIV/0!</v>
      </c>
    </row>
    <row r="703" spans="1:24" ht="15.75" customHeight="1">
      <c r="A703" s="515"/>
      <c r="B703" s="515"/>
      <c r="C703" s="515"/>
      <c r="D703" s="517"/>
      <c r="E703" s="984"/>
      <c r="F703" s="1044"/>
      <c r="G703" s="417"/>
      <c r="L703" s="173"/>
      <c r="M703" s="174"/>
      <c r="N703" s="491">
        <f>Prod.!AR323</f>
        <v>0</v>
      </c>
    </row>
    <row r="704" spans="1:24" ht="15" customHeight="1">
      <c r="A704" s="515"/>
      <c r="B704" s="516"/>
      <c r="C704" s="515"/>
      <c r="D704" s="517"/>
      <c r="E704" s="984"/>
      <c r="F704" s="1044"/>
      <c r="G704" s="417"/>
    </row>
    <row r="705" spans="1:15" ht="15" customHeight="1">
      <c r="A705" s="515"/>
      <c r="B705" s="516"/>
      <c r="C705" s="515"/>
      <c r="D705" s="517"/>
      <c r="E705" s="984"/>
      <c r="F705" s="1044"/>
      <c r="G705" s="417"/>
    </row>
    <row r="706" spans="1:15" ht="14.25" customHeight="1">
      <c r="A706" s="515"/>
      <c r="B706" s="515"/>
      <c r="C706" s="515"/>
      <c r="D706" s="517"/>
      <c r="E706" s="984"/>
      <c r="F706" s="1044"/>
      <c r="G706" s="417"/>
    </row>
    <row r="707" spans="1:15" ht="15" customHeight="1">
      <c r="A707" s="515"/>
      <c r="B707" s="516"/>
      <c r="C707" s="515"/>
      <c r="D707" s="517"/>
      <c r="E707" s="984"/>
      <c r="F707" s="172"/>
      <c r="G707" s="417"/>
      <c r="L707" s="1381" t="s">
        <v>7</v>
      </c>
      <c r="M707" s="1381"/>
      <c r="N707" s="1381"/>
    </row>
    <row r="708" spans="1:15" ht="15" customHeight="1">
      <c r="A708" s="515"/>
      <c r="B708" s="516"/>
      <c r="C708" s="515"/>
      <c r="D708" s="517"/>
      <c r="E708" s="984"/>
      <c r="F708" s="493"/>
      <c r="G708" s="417"/>
      <c r="K708" s="163">
        <v>130</v>
      </c>
      <c r="L708" s="1381"/>
      <c r="M708" s="1381"/>
      <c r="N708" s="1381"/>
    </row>
    <row r="709" spans="1:15" ht="15" customHeight="1">
      <c r="A709" s="515"/>
      <c r="B709" s="516"/>
      <c r="C709" s="515"/>
      <c r="D709" s="517"/>
      <c r="E709" s="984"/>
      <c r="F709" s="517"/>
      <c r="G709" s="160"/>
      <c r="L709" s="1381"/>
      <c r="M709" s="1381"/>
      <c r="N709" s="1381"/>
    </row>
    <row r="710" spans="1:15" ht="15" customHeight="1">
      <c r="A710" s="515"/>
      <c r="B710" s="516"/>
      <c r="C710" s="515"/>
      <c r="D710" s="517"/>
      <c r="E710" s="984"/>
      <c r="F710" s="517"/>
      <c r="L710" s="175">
        <f>Prod.!AP311</f>
        <v>6</v>
      </c>
      <c r="M710" s="176">
        <f>Prod.!AQ311</f>
        <v>0</v>
      </c>
      <c r="N710" s="486">
        <f>Prod.!AR311</f>
        <v>0</v>
      </c>
    </row>
    <row r="711" spans="1:15" ht="15" customHeight="1">
      <c r="A711" s="515"/>
      <c r="B711" s="515"/>
      <c r="C711" s="515"/>
      <c r="D711" s="517"/>
      <c r="E711" s="984"/>
      <c r="F711" s="254"/>
      <c r="L711" s="170">
        <f>Prod.!AP312</f>
        <v>5</v>
      </c>
      <c r="M711" s="171">
        <f>Prod.!AQ312</f>
        <v>0</v>
      </c>
      <c r="N711" s="100">
        <f>Prod.!AR312</f>
        <v>0</v>
      </c>
      <c r="O711" s="160"/>
    </row>
    <row r="712" spans="1:15" ht="15" customHeight="1">
      <c r="A712" s="515"/>
      <c r="B712" s="515"/>
      <c r="C712" s="515"/>
      <c r="D712" s="517"/>
      <c r="E712" s="984"/>
      <c r="F712" s="254"/>
      <c r="L712" s="170">
        <f>Prod.!AP313</f>
        <v>4</v>
      </c>
      <c r="M712" s="171">
        <f>Prod.!AQ313</f>
        <v>0</v>
      </c>
      <c r="N712" s="100">
        <f>Prod.!AR313</f>
        <v>0</v>
      </c>
      <c r="O712" s="160"/>
    </row>
    <row r="713" spans="1:15" ht="15.75" customHeight="1">
      <c r="A713" s="515"/>
      <c r="B713" s="515"/>
      <c r="C713" s="515"/>
      <c r="D713" s="517"/>
      <c r="E713" s="984"/>
      <c r="F713" s="536"/>
      <c r="L713" s="170">
        <f>Prod.!AP314</f>
        <v>3</v>
      </c>
      <c r="M713" s="172">
        <f>Prod.!AQ314</f>
        <v>0</v>
      </c>
      <c r="N713" s="100">
        <f>Prod.!AR314</f>
        <v>0</v>
      </c>
      <c r="O713" t="e">
        <f>N714/((L713*M713)+(L712*M712)+(L711*M711)+(L710*M710))</f>
        <v>#DIV/0!</v>
      </c>
    </row>
    <row r="714" spans="1:15" ht="15.75" customHeight="1">
      <c r="A714" s="515"/>
      <c r="B714" s="515"/>
      <c r="C714" s="515"/>
      <c r="D714" s="434"/>
      <c r="E714" s="984"/>
      <c r="F714" s="1092"/>
      <c r="L714" s="173"/>
      <c r="M714" s="174"/>
      <c r="N714" s="491">
        <f>Prod.!AR315</f>
        <v>0</v>
      </c>
      <c r="O714" s="160"/>
    </row>
    <row r="715" spans="1:15" ht="15" customHeight="1">
      <c r="A715" s="984"/>
      <c r="B715" s="984"/>
      <c r="C715" s="984"/>
      <c r="D715" s="984"/>
      <c r="E715" s="515"/>
      <c r="F715" s="517"/>
      <c r="G715" s="1091"/>
    </row>
    <row r="716" spans="1:15" ht="15" customHeight="1">
      <c r="A716" s="984"/>
      <c r="B716" s="1093"/>
      <c r="C716" s="1093"/>
      <c r="D716" s="984"/>
      <c r="E716" s="286"/>
      <c r="F716" s="417"/>
      <c r="G716" s="253"/>
    </row>
    <row r="717" spans="1:15" ht="15" customHeight="1">
      <c r="A717" s="984"/>
      <c r="B717" s="1093"/>
      <c r="C717" s="1093"/>
      <c r="D717" s="984"/>
      <c r="E717" s="286"/>
      <c r="F717" s="417"/>
      <c r="G717" s="253"/>
    </row>
    <row r="718" spans="1:15" ht="15" customHeight="1">
      <c r="A718" s="984"/>
      <c r="B718" s="1093"/>
      <c r="C718" s="1093"/>
      <c r="D718" s="984"/>
      <c r="E718" s="286"/>
      <c r="F718" s="417"/>
      <c r="G718" s="253"/>
    </row>
    <row r="719" spans="1:15" ht="15" customHeight="1">
      <c r="A719" s="984"/>
      <c r="B719" s="1051"/>
      <c r="C719" s="1051"/>
      <c r="D719" s="984"/>
      <c r="E719" s="286"/>
      <c r="F719" s="417"/>
      <c r="G719" s="253"/>
    </row>
    <row r="720" spans="1:15" ht="15" customHeight="1">
      <c r="A720" s="984"/>
      <c r="B720" s="1051"/>
      <c r="C720" s="1051"/>
      <c r="D720" s="984"/>
      <c r="E720" s="286"/>
      <c r="F720" s="417"/>
    </row>
    <row r="721" spans="1:24" ht="15" customHeight="1">
      <c r="A721" s="1084"/>
      <c r="B721" s="515"/>
      <c r="H721" s="180"/>
    </row>
    <row r="722" spans="1:24" ht="15" customHeight="1">
      <c r="A722" s="984"/>
      <c r="B722" s="984"/>
      <c r="D722" s="434"/>
      <c r="E722" s="434"/>
      <c r="H722" s="180"/>
      <c r="J722" s="1079" t="s">
        <v>308</v>
      </c>
      <c r="K722" s="1382"/>
      <c r="L722" s="1382"/>
      <c r="M722" s="1382"/>
      <c r="N722" s="1382"/>
      <c r="O722" s="1382"/>
      <c r="P722" s="1382"/>
      <c r="Q722" s="1382"/>
      <c r="R722" s="1382"/>
    </row>
    <row r="723" spans="1:24" ht="15.75" customHeight="1" thickBot="1">
      <c r="A723" s="984"/>
      <c r="B723" s="1051"/>
      <c r="H723" s="180"/>
      <c r="J723" s="1080" t="s">
        <v>1</v>
      </c>
      <c r="K723" s="466" t="s">
        <v>45</v>
      </c>
      <c r="L723" s="467" t="s">
        <v>46</v>
      </c>
      <c r="M723" s="468" t="s">
        <v>47</v>
      </c>
      <c r="N723" s="511" t="s">
        <v>48</v>
      </c>
      <c r="O723" s="512" t="s">
        <v>45</v>
      </c>
      <c r="P723" s="511" t="s">
        <v>46</v>
      </c>
      <c r="Q723" s="513" t="s">
        <v>47</v>
      </c>
      <c r="R723" s="511" t="s">
        <v>48</v>
      </c>
    </row>
    <row r="724" spans="1:24" ht="15.75" customHeight="1" thickBot="1">
      <c r="A724" s="984"/>
      <c r="B724" s="984"/>
      <c r="C724" s="984"/>
      <c r="D724" s="984"/>
      <c r="E724" s="984"/>
      <c r="F724" s="417"/>
      <c r="G724" s="379"/>
      <c r="J724" s="1082">
        <v>160</v>
      </c>
      <c r="K724" s="158">
        <f>Prod.!P342</f>
        <v>0</v>
      </c>
      <c r="L724" s="158">
        <f>Prod.!Q342</f>
        <v>0</v>
      </c>
      <c r="M724" s="158">
        <f>Prod.!R342</f>
        <v>0</v>
      </c>
      <c r="N724" s="158">
        <f>Prod.!S342</f>
        <v>0</v>
      </c>
      <c r="O724" s="158">
        <f>Prod.!V342</f>
        <v>0</v>
      </c>
      <c r="P724" s="158">
        <f>Prod.!W342</f>
        <v>0</v>
      </c>
      <c r="Q724" s="158">
        <f>Prod.!X342</f>
        <v>0</v>
      </c>
      <c r="R724" s="158">
        <f>Prod.!Y342</f>
        <v>0</v>
      </c>
      <c r="U724" s="1383" t="s">
        <v>230</v>
      </c>
      <c r="V724" s="1383"/>
      <c r="W724" s="1383"/>
      <c r="X724" s="1383"/>
    </row>
    <row r="725" spans="1:24" ht="15.75" customHeight="1" thickBot="1">
      <c r="A725" s="515"/>
      <c r="B725" s="516"/>
      <c r="C725" s="515"/>
      <c r="D725" s="517"/>
      <c r="E725" s="286"/>
      <c r="F725" s="417"/>
      <c r="G725" s="379"/>
      <c r="J725" s="1083">
        <v>110</v>
      </c>
      <c r="K725" s="514">
        <f>Prod.!J340</f>
        <v>0</v>
      </c>
      <c r="L725" s="514">
        <f>Prod.!K340</f>
        <v>0</v>
      </c>
      <c r="M725" s="514">
        <f>Prod.!L340</f>
        <v>0</v>
      </c>
      <c r="N725" s="514">
        <f>Prod.!M340</f>
        <v>0</v>
      </c>
      <c r="U725" s="1384">
        <f>A721</f>
        <v>0</v>
      </c>
      <c r="V725" s="1384"/>
      <c r="W725" s="453" t="s">
        <v>233</v>
      </c>
      <c r="X725" s="454" t="s">
        <v>234</v>
      </c>
    </row>
    <row r="726" spans="1:24" ht="15" customHeight="1">
      <c r="A726" s="515"/>
      <c r="B726" s="516"/>
      <c r="C726" s="515"/>
      <c r="D726" s="517"/>
      <c r="E726" s="286"/>
      <c r="F726" s="417"/>
      <c r="G726" s="379"/>
      <c r="J726" s="414"/>
      <c r="K726" s="414"/>
      <c r="L726" s="1385"/>
      <c r="M726" s="1385"/>
      <c r="N726" s="1385"/>
      <c r="O726" s="1385"/>
      <c r="P726" s="455"/>
      <c r="U726" s="231"/>
      <c r="X726" s="456"/>
    </row>
    <row r="727" spans="1:24" ht="15" customHeight="1">
      <c r="A727" s="515"/>
      <c r="B727" s="516"/>
      <c r="C727" s="515"/>
      <c r="D727" s="517"/>
      <c r="E727" s="929"/>
      <c r="F727" s="417"/>
      <c r="G727" s="379"/>
      <c r="J727" s="181"/>
      <c r="K727" s="508"/>
      <c r="L727" s="181"/>
      <c r="M727" s="508"/>
      <c r="N727" s="181"/>
      <c r="O727" s="508"/>
      <c r="U727" s="458">
        <f>E726</f>
        <v>0</v>
      </c>
      <c r="V727" s="282">
        <f>F726</f>
        <v>0</v>
      </c>
      <c r="W727" s="459"/>
      <c r="X727" s="460"/>
    </row>
    <row r="728" spans="1:24" ht="15" customHeight="1">
      <c r="A728" s="515"/>
      <c r="B728" s="516"/>
      <c r="C728" s="515"/>
      <c r="D728" s="517"/>
      <c r="E728" s="286"/>
      <c r="F728" s="417"/>
      <c r="G728" s="1048"/>
      <c r="K728" s="1382"/>
      <c r="L728" s="1382"/>
      <c r="M728" s="1382"/>
      <c r="N728" s="1382"/>
      <c r="O728" s="1382"/>
      <c r="P728" s="1382"/>
      <c r="Q728" s="1382"/>
      <c r="R728" s="1382"/>
      <c r="U728" s="462">
        <f t="shared" ref="U728:U732" si="52">E728</f>
        <v>0</v>
      </c>
      <c r="V728" s="463">
        <f t="shared" ref="V728:V732" si="53">F728</f>
        <v>0</v>
      </c>
      <c r="W728" s="464">
        <f t="shared" ref="W728:W732" si="54">G728</f>
        <v>0</v>
      </c>
      <c r="X728" s="465"/>
    </row>
    <row r="729" spans="1:24" ht="15" customHeight="1">
      <c r="A729" s="515"/>
      <c r="B729" s="516"/>
      <c r="C729" s="515"/>
      <c r="D729" s="517"/>
      <c r="E729" s="286"/>
      <c r="F729" s="417"/>
      <c r="G729" s="1048"/>
      <c r="J729" s="1080" t="s">
        <v>1</v>
      </c>
      <c r="K729" s="466" t="s">
        <v>45</v>
      </c>
      <c r="L729" s="467" t="s">
        <v>46</v>
      </c>
      <c r="M729" s="468" t="s">
        <v>47</v>
      </c>
      <c r="N729" s="467" t="s">
        <v>48</v>
      </c>
      <c r="O729" s="466" t="s">
        <v>45</v>
      </c>
      <c r="P729" s="467" t="s">
        <v>46</v>
      </c>
      <c r="Q729" s="468" t="s">
        <v>47</v>
      </c>
      <c r="R729" s="467" t="s">
        <v>48</v>
      </c>
      <c r="U729" s="374">
        <f t="shared" si="52"/>
        <v>0</v>
      </c>
      <c r="V729" s="282">
        <f t="shared" si="53"/>
        <v>0</v>
      </c>
      <c r="W729" s="469">
        <f t="shared" si="54"/>
        <v>0</v>
      </c>
      <c r="X729" s="465">
        <f>$I$1</f>
        <v>0</v>
      </c>
    </row>
    <row r="730" spans="1:24" ht="15" customHeight="1">
      <c r="A730" s="515"/>
      <c r="B730" s="516"/>
      <c r="C730" s="515"/>
      <c r="D730" s="517"/>
      <c r="E730" s="286"/>
      <c r="F730" s="417"/>
      <c r="G730" s="1048"/>
      <c r="J730" s="1081">
        <v>130</v>
      </c>
      <c r="K730" s="471">
        <f>Prod.!P341</f>
        <v>0</v>
      </c>
      <c r="L730" s="471">
        <f>Prod.!Q341</f>
        <v>0</v>
      </c>
      <c r="M730" s="471">
        <f>Prod.!R341</f>
        <v>0</v>
      </c>
      <c r="N730" s="471">
        <f>Prod.!S341</f>
        <v>0</v>
      </c>
      <c r="O730" s="471">
        <f>Prod.!V341</f>
        <v>0</v>
      </c>
      <c r="P730" s="471">
        <f>Prod.!W341</f>
        <v>0</v>
      </c>
      <c r="Q730" s="471">
        <f>Prod.!X341</f>
        <v>0</v>
      </c>
      <c r="R730" s="471">
        <f>Prod.!Y341</f>
        <v>0</v>
      </c>
      <c r="U730" s="374">
        <f t="shared" si="52"/>
        <v>0</v>
      </c>
      <c r="V730" s="282">
        <f t="shared" si="53"/>
        <v>0</v>
      </c>
      <c r="W730" s="469">
        <f t="shared" si="54"/>
        <v>0</v>
      </c>
      <c r="X730" s="465">
        <f>IFERROR($I$2,0)</f>
        <v>0</v>
      </c>
    </row>
    <row r="731" spans="1:24" ht="15" customHeight="1">
      <c r="A731" s="515"/>
      <c r="B731" s="516"/>
      <c r="C731" s="515"/>
      <c r="D731" s="517"/>
      <c r="E731" s="1085"/>
      <c r="F731" s="517"/>
      <c r="G731" s="1086"/>
      <c r="U731" s="374">
        <f t="shared" si="52"/>
        <v>0</v>
      </c>
      <c r="V731" s="282">
        <f t="shared" si="53"/>
        <v>0</v>
      </c>
      <c r="W731" s="469">
        <f t="shared" si="54"/>
        <v>0</v>
      </c>
      <c r="X731" s="475"/>
    </row>
    <row r="732" spans="1:24" ht="15" customHeight="1">
      <c r="A732" s="515"/>
      <c r="B732" s="516"/>
      <c r="C732" s="515"/>
      <c r="D732" s="517"/>
      <c r="E732" s="1085"/>
      <c r="F732" s="1087"/>
      <c r="G732" s="1088"/>
      <c r="U732" s="374">
        <f t="shared" si="52"/>
        <v>0</v>
      </c>
      <c r="V732" s="282">
        <f t="shared" si="53"/>
        <v>0</v>
      </c>
      <c r="W732" s="469">
        <f t="shared" si="54"/>
        <v>0</v>
      </c>
      <c r="X732" s="520">
        <f>IFERROR($I$3,0)</f>
        <v>0</v>
      </c>
    </row>
    <row r="733" spans="1:24" ht="15" customHeight="1">
      <c r="A733" s="515"/>
      <c r="B733" s="515"/>
      <c r="C733" s="515"/>
      <c r="D733" s="517"/>
      <c r="E733" s="1085"/>
      <c r="F733" s="417"/>
      <c r="G733" s="1089"/>
      <c r="J733" t="s">
        <v>65</v>
      </c>
      <c r="K733" s="181">
        <f>Prod.!C340</f>
        <v>0</v>
      </c>
      <c r="L733" s="181">
        <f>Prod.!D340</f>
        <v>0</v>
      </c>
      <c r="M733" s="181">
        <f>Prod.!E340</f>
        <v>0</v>
      </c>
      <c r="N733" s="160">
        <f>Prod.!F340</f>
        <v>0</v>
      </c>
      <c r="O733" s="160">
        <f>Prod.!G340</f>
        <v>0</v>
      </c>
      <c r="U733" s="374">
        <f>E733</f>
        <v>0</v>
      </c>
      <c r="V733" s="282">
        <f>F733-V736</f>
        <v>0</v>
      </c>
      <c r="W733" s="479"/>
      <c r="X733" s="456"/>
    </row>
    <row r="734" spans="1:24" ht="15" customHeight="1">
      <c r="A734" s="515"/>
      <c r="B734" s="515"/>
      <c r="C734" s="515"/>
      <c r="D734" s="984"/>
      <c r="E734" s="286"/>
      <c r="F734" s="417"/>
      <c r="G734" s="1090"/>
      <c r="J734" t="s">
        <v>67</v>
      </c>
      <c r="K734" s="181">
        <f>Prod.!C341</f>
        <v>0</v>
      </c>
      <c r="L734" s="181">
        <f>Prod.!D341</f>
        <v>0</v>
      </c>
      <c r="M734" s="181">
        <f>Prod.!E341</f>
        <v>0</v>
      </c>
      <c r="N734" s="160">
        <f>Prod.!F341</f>
        <v>0</v>
      </c>
      <c r="O734" s="160">
        <f>Prod.!G341</f>
        <v>0</v>
      </c>
      <c r="T734" s="160"/>
      <c r="U734" s="374">
        <f>E734</f>
        <v>0</v>
      </c>
      <c r="V734" s="282">
        <f>F734</f>
        <v>0</v>
      </c>
      <c r="W734" s="479"/>
      <c r="X734" s="456"/>
    </row>
    <row r="735" spans="1:24" ht="15.75" customHeight="1" thickBot="1">
      <c r="A735" s="515"/>
      <c r="B735" s="515"/>
      <c r="C735" s="515"/>
      <c r="D735" s="517"/>
      <c r="E735" s="286"/>
      <c r="F735" s="417"/>
      <c r="G735" s="379"/>
      <c r="U735" s="374">
        <f>E735</f>
        <v>0</v>
      </c>
      <c r="V735" s="282">
        <f>F735</f>
        <v>0</v>
      </c>
      <c r="W735" s="479"/>
      <c r="X735" s="456"/>
    </row>
    <row r="736" spans="1:24" ht="14.25" customHeight="1" thickBot="1">
      <c r="A736" s="515"/>
      <c r="B736" s="515"/>
      <c r="C736" s="515"/>
      <c r="D736" s="517"/>
      <c r="E736" s="286"/>
      <c r="F736" s="417"/>
      <c r="G736" s="379"/>
      <c r="L736" s="1381" t="s">
        <v>7</v>
      </c>
      <c r="M736" s="1381"/>
      <c r="N736" s="1381"/>
      <c r="U736" s="374">
        <f>E740</f>
        <v>0</v>
      </c>
      <c r="V736" s="282">
        <f>F740</f>
        <v>0</v>
      </c>
      <c r="W736" s="479"/>
      <c r="X736" s="456"/>
    </row>
    <row r="737" spans="1:24" ht="19.5" customHeight="1" thickBot="1">
      <c r="A737" s="515"/>
      <c r="B737" s="515"/>
      <c r="C737" s="515"/>
      <c r="D737" s="517"/>
      <c r="E737" s="286"/>
      <c r="F737" s="417"/>
      <c r="G737" s="379"/>
      <c r="K737" s="163">
        <v>160</v>
      </c>
      <c r="L737" s="1381"/>
      <c r="M737" s="1381"/>
      <c r="N737" s="1381"/>
      <c r="U737" s="483" t="s">
        <v>255</v>
      </c>
      <c r="V737" s="484">
        <f>V727+V728+V729+V730+V731+V732+V733+V734+V735+V736</f>
        <v>0</v>
      </c>
      <c r="W737" s="485"/>
      <c r="X737" s="454"/>
    </row>
    <row r="738" spans="1:24" ht="18" customHeight="1" thickBot="1">
      <c r="A738" s="515"/>
      <c r="B738" s="515"/>
      <c r="C738" s="515"/>
      <c r="D738" s="517"/>
      <c r="E738" s="286"/>
      <c r="F738" s="417"/>
      <c r="G738" s="379"/>
      <c r="L738" s="1381"/>
      <c r="M738" s="1381"/>
      <c r="N738" s="1381"/>
    </row>
    <row r="739" spans="1:24" ht="15" customHeight="1">
      <c r="A739" s="515"/>
      <c r="B739" s="515"/>
      <c r="C739" s="515"/>
      <c r="D739" s="517"/>
      <c r="E739" s="286"/>
      <c r="F739" s="417"/>
      <c r="G739" s="417"/>
      <c r="L739" s="175">
        <f>Prod.!AP337</f>
        <v>6</v>
      </c>
      <c r="M739" s="176">
        <f>Prod.!AQ337</f>
        <v>0</v>
      </c>
      <c r="N739" s="486">
        <f>Prod.!AR337</f>
        <v>0</v>
      </c>
    </row>
    <row r="740" spans="1:24" ht="15" customHeight="1">
      <c r="A740" s="515"/>
      <c r="B740" s="515"/>
      <c r="C740" s="515"/>
      <c r="D740" s="984"/>
      <c r="E740" s="286"/>
      <c r="F740" s="417"/>
      <c r="G740" s="1091"/>
      <c r="L740" s="170">
        <f>Prod.!AP338</f>
        <v>5</v>
      </c>
      <c r="M740" s="171">
        <f>Prod.!AQ338</f>
        <v>0</v>
      </c>
      <c r="N740" s="100">
        <f>Prod.!AR338</f>
        <v>0</v>
      </c>
    </row>
    <row r="741" spans="1:24" ht="15" customHeight="1">
      <c r="A741" s="515"/>
      <c r="B741" s="516"/>
      <c r="C741" s="515"/>
      <c r="D741" s="517"/>
      <c r="E741" s="286"/>
      <c r="F741" s="277"/>
      <c r="G741" s="160"/>
      <c r="L741" s="170">
        <f>Prod.!AP339</f>
        <v>4</v>
      </c>
      <c r="M741" s="171">
        <f>Prod.!AQ339</f>
        <v>0</v>
      </c>
      <c r="N741" s="100">
        <f>Prod.!AR339</f>
        <v>0</v>
      </c>
    </row>
    <row r="742" spans="1:24" ht="15.75" customHeight="1">
      <c r="A742" s="515"/>
      <c r="B742" s="516"/>
      <c r="C742" s="515"/>
      <c r="D742" s="517"/>
      <c r="E742" s="1287"/>
      <c r="F742" s="1287"/>
      <c r="G742" s="379"/>
      <c r="L742" s="170">
        <f>Prod.!AP340</f>
        <v>3</v>
      </c>
      <c r="M742" s="171">
        <f>Prod.!AQ340</f>
        <v>0</v>
      </c>
      <c r="N742" s="100">
        <f>Prod.!AR340</f>
        <v>0</v>
      </c>
      <c r="O742" s="293" t="e">
        <f>N743/((L742*M742)+(L741*M741)+(L740*M740)+(L739*M739))</f>
        <v>#DIV/0!</v>
      </c>
    </row>
    <row r="743" spans="1:24" ht="15.75" customHeight="1">
      <c r="A743" s="515"/>
      <c r="B743" s="515"/>
      <c r="C743" s="515"/>
      <c r="D743" s="517"/>
      <c r="E743" s="984"/>
      <c r="F743" s="1044"/>
      <c r="G743" s="417"/>
      <c r="L743" s="173"/>
      <c r="M743" s="174"/>
      <c r="N743" s="491">
        <f>Prod.!AR341</f>
        <v>0</v>
      </c>
    </row>
    <row r="744" spans="1:24" ht="15" customHeight="1">
      <c r="A744" s="515"/>
      <c r="B744" s="516"/>
      <c r="C744" s="515"/>
      <c r="D744" s="517"/>
      <c r="E744" s="984"/>
      <c r="F744" s="1044"/>
      <c r="G744" s="417"/>
    </row>
    <row r="745" spans="1:24" ht="15" customHeight="1">
      <c r="A745" s="515"/>
      <c r="B745" s="516"/>
      <c r="C745" s="515"/>
      <c r="D745" s="517"/>
      <c r="E745" s="984"/>
      <c r="F745" s="1044"/>
      <c r="G745" s="417"/>
    </row>
    <row r="746" spans="1:24" ht="14.25" customHeight="1">
      <c r="A746" s="515"/>
      <c r="B746" s="515"/>
      <c r="C746" s="515"/>
      <c r="D746" s="517"/>
      <c r="E746" s="984"/>
      <c r="F746" s="1044"/>
      <c r="G746" s="417"/>
    </row>
    <row r="747" spans="1:24" ht="15" customHeight="1">
      <c r="A747" s="515"/>
      <c r="B747" s="516"/>
      <c r="C747" s="515"/>
      <c r="D747" s="517"/>
      <c r="E747" s="984"/>
      <c r="F747" s="172"/>
      <c r="G747" s="417"/>
      <c r="L747" s="1381" t="s">
        <v>7</v>
      </c>
      <c r="M747" s="1381"/>
      <c r="N747" s="1381"/>
    </row>
    <row r="748" spans="1:24" ht="15" customHeight="1">
      <c r="A748" s="515"/>
      <c r="B748" s="516"/>
      <c r="C748" s="515"/>
      <c r="D748" s="517"/>
      <c r="E748" s="984"/>
      <c r="F748" s="493"/>
      <c r="G748" s="417"/>
      <c r="K748" s="163">
        <v>130</v>
      </c>
      <c r="L748" s="1381"/>
      <c r="M748" s="1381"/>
      <c r="N748" s="1381"/>
    </row>
    <row r="749" spans="1:24" ht="15" customHeight="1">
      <c r="A749" s="515"/>
      <c r="B749" s="516"/>
      <c r="C749" s="515"/>
      <c r="D749" s="517"/>
      <c r="E749" s="984"/>
      <c r="F749" s="517"/>
      <c r="G749" s="160"/>
      <c r="L749" s="1381"/>
      <c r="M749" s="1381"/>
      <c r="N749" s="1381"/>
    </row>
    <row r="750" spans="1:24" ht="15" customHeight="1">
      <c r="A750" s="515"/>
      <c r="B750" s="516"/>
      <c r="C750" s="515"/>
      <c r="D750" s="517"/>
      <c r="E750" s="984"/>
      <c r="F750" s="517"/>
      <c r="L750" s="175">
        <f>Prod.!AP329</f>
        <v>6</v>
      </c>
      <c r="M750" s="176">
        <f>Prod.!AQ329</f>
        <v>0</v>
      </c>
      <c r="N750" s="486">
        <f>Prod.!AR329</f>
        <v>0</v>
      </c>
    </row>
    <row r="751" spans="1:24" ht="15" customHeight="1">
      <c r="A751" s="515"/>
      <c r="B751" s="515"/>
      <c r="C751" s="515"/>
      <c r="D751" s="517"/>
      <c r="E751" s="984"/>
      <c r="F751" s="254"/>
      <c r="L751" s="170">
        <f>Prod.!AP330</f>
        <v>5</v>
      </c>
      <c r="M751" s="171">
        <f>Prod.!AQ330</f>
        <v>0</v>
      </c>
      <c r="N751" s="100">
        <f>Prod.!AR330</f>
        <v>0</v>
      </c>
      <c r="O751" s="160"/>
    </row>
    <row r="752" spans="1:24" ht="15" customHeight="1">
      <c r="A752" s="515"/>
      <c r="B752" s="515"/>
      <c r="C752" s="515"/>
      <c r="D752" s="517"/>
      <c r="E752" s="984"/>
      <c r="F752" s="254"/>
      <c r="L752" s="170">
        <f>Prod.!AP331</f>
        <v>4</v>
      </c>
      <c r="M752" s="171">
        <f>Prod.!AQ331</f>
        <v>0</v>
      </c>
      <c r="N752" s="100">
        <f>Prod.!AR331</f>
        <v>0</v>
      </c>
      <c r="O752" s="160"/>
    </row>
    <row r="753" spans="1:24" ht="15.75" customHeight="1">
      <c r="A753" s="515"/>
      <c r="B753" s="515"/>
      <c r="C753" s="515"/>
      <c r="D753" s="517"/>
      <c r="E753" s="984"/>
      <c r="F753" s="536"/>
      <c r="L753" s="170">
        <f>Prod.!AP332</f>
        <v>3</v>
      </c>
      <c r="M753" s="172">
        <f>Prod.!AQ332</f>
        <v>0</v>
      </c>
      <c r="N753" s="100">
        <f>Prod.!AR332</f>
        <v>0</v>
      </c>
      <c r="O753" t="e">
        <f>N754/((L753*M753)+(L752*M752)+(L751*M751)+(L750*M750))</f>
        <v>#DIV/0!</v>
      </c>
    </row>
    <row r="754" spans="1:24" ht="15.75" customHeight="1">
      <c r="A754" s="515"/>
      <c r="B754" s="515"/>
      <c r="C754" s="515"/>
      <c r="D754" s="434"/>
      <c r="E754" s="984"/>
      <c r="F754" s="1092"/>
      <c r="L754" s="173"/>
      <c r="M754" s="174"/>
      <c r="N754" s="491">
        <f>Prod.!AR333</f>
        <v>0</v>
      </c>
      <c r="O754" s="160"/>
    </row>
    <row r="755" spans="1:24" ht="15" customHeight="1">
      <c r="A755" s="984"/>
      <c r="B755" s="984"/>
      <c r="C755" s="984"/>
      <c r="D755" s="984"/>
      <c r="E755" s="515"/>
      <c r="F755" s="517"/>
      <c r="G755" s="1091"/>
    </row>
    <row r="756" spans="1:24" ht="15" customHeight="1">
      <c r="A756" s="984"/>
      <c r="B756" s="1093"/>
      <c r="C756" s="1093"/>
      <c r="D756" s="984"/>
      <c r="E756" s="286"/>
      <c r="F756" s="417"/>
      <c r="G756" s="253"/>
    </row>
    <row r="757" spans="1:24" ht="15" customHeight="1">
      <c r="A757" s="984"/>
      <c r="B757" s="1093"/>
      <c r="C757" s="1093"/>
      <c r="D757" s="984"/>
      <c r="E757" s="286"/>
      <c r="F757" s="417"/>
      <c r="G757" s="253"/>
    </row>
    <row r="758" spans="1:24" ht="15" customHeight="1">
      <c r="A758" s="984"/>
      <c r="B758" s="1093"/>
      <c r="C758" s="1093"/>
      <c r="D758" s="984"/>
      <c r="E758" s="286"/>
      <c r="F758" s="417"/>
      <c r="G758" s="253"/>
    </row>
    <row r="759" spans="1:24" ht="15" customHeight="1">
      <c r="A759" s="984"/>
      <c r="B759" s="1051"/>
      <c r="C759" s="1051"/>
      <c r="D759" s="984"/>
      <c r="E759" s="286"/>
      <c r="F759" s="417"/>
      <c r="G759" s="253"/>
    </row>
    <row r="760" spans="1:24" ht="15" customHeight="1">
      <c r="A760" s="984"/>
      <c r="B760" s="1051"/>
      <c r="C760" s="1051"/>
      <c r="D760" s="984"/>
      <c r="E760" s="286"/>
      <c r="F760" s="417"/>
    </row>
    <row r="761" spans="1:24" ht="15" customHeight="1">
      <c r="A761" s="1084"/>
      <c r="B761" s="515"/>
      <c r="H761" s="180"/>
    </row>
    <row r="762" spans="1:24" ht="15" customHeight="1">
      <c r="A762" s="984"/>
      <c r="B762" s="984"/>
      <c r="D762" s="434"/>
      <c r="E762" s="434"/>
      <c r="H762" s="180"/>
      <c r="J762" s="1079" t="s">
        <v>309</v>
      </c>
      <c r="K762" s="1382"/>
      <c r="L762" s="1382"/>
      <c r="M762" s="1382"/>
      <c r="N762" s="1382"/>
      <c r="O762" s="1382"/>
      <c r="P762" s="1382"/>
      <c r="Q762" s="1382"/>
      <c r="R762" s="1382"/>
    </row>
    <row r="763" spans="1:24" ht="15.75" customHeight="1" thickBot="1">
      <c r="A763" s="984"/>
      <c r="B763" s="1051"/>
      <c r="H763" s="180"/>
      <c r="J763" s="1080" t="s">
        <v>1</v>
      </c>
      <c r="K763" s="466" t="s">
        <v>45</v>
      </c>
      <c r="L763" s="467" t="s">
        <v>46</v>
      </c>
      <c r="M763" s="468" t="s">
        <v>47</v>
      </c>
      <c r="N763" s="511" t="s">
        <v>48</v>
      </c>
      <c r="O763" s="512" t="s">
        <v>45</v>
      </c>
      <c r="P763" s="511" t="s">
        <v>46</v>
      </c>
      <c r="Q763" s="513" t="s">
        <v>47</v>
      </c>
      <c r="R763" s="511" t="s">
        <v>48</v>
      </c>
    </row>
    <row r="764" spans="1:24" ht="15.75" customHeight="1" thickBot="1">
      <c r="A764" s="984"/>
      <c r="B764" s="984"/>
      <c r="C764" s="984"/>
      <c r="D764" s="984"/>
      <c r="E764" s="984"/>
      <c r="F764" s="417"/>
      <c r="G764" s="379"/>
      <c r="J764" s="1082">
        <v>160</v>
      </c>
      <c r="K764" s="158">
        <f>Prod.!P360</f>
        <v>0</v>
      </c>
      <c r="L764" s="158">
        <f>Prod.!Q360</f>
        <v>0</v>
      </c>
      <c r="M764" s="158">
        <f>Prod.!R360</f>
        <v>0</v>
      </c>
      <c r="N764" s="158">
        <f>Prod.!S360</f>
        <v>0</v>
      </c>
      <c r="O764" s="158">
        <f>Prod.!V360</f>
        <v>0</v>
      </c>
      <c r="P764" s="158">
        <f>Prod.!W360</f>
        <v>0</v>
      </c>
      <c r="Q764" s="158">
        <f>Prod.!X360</f>
        <v>0</v>
      </c>
      <c r="R764" s="158">
        <f>Prod.!Y360</f>
        <v>0</v>
      </c>
      <c r="U764" s="1383" t="s">
        <v>230</v>
      </c>
      <c r="V764" s="1383"/>
      <c r="W764" s="1383"/>
      <c r="X764" s="1383"/>
    </row>
    <row r="765" spans="1:24" ht="15.75" customHeight="1" thickBot="1">
      <c r="A765" s="515"/>
      <c r="B765" s="516"/>
      <c r="C765" s="515"/>
      <c r="D765" s="517"/>
      <c r="E765" s="286"/>
      <c r="F765" s="417"/>
      <c r="G765" s="379"/>
      <c r="J765" s="1083">
        <v>110</v>
      </c>
      <c r="K765" s="514">
        <f>Prod.!J358</f>
        <v>0</v>
      </c>
      <c r="L765" s="514">
        <f>Prod.!K358</f>
        <v>0</v>
      </c>
      <c r="M765" s="514">
        <f>Prod.!L358</f>
        <v>0</v>
      </c>
      <c r="N765" s="514">
        <f>Prod.!M358</f>
        <v>0</v>
      </c>
      <c r="U765" s="1384">
        <f>A761</f>
        <v>0</v>
      </c>
      <c r="V765" s="1384"/>
      <c r="W765" s="453" t="s">
        <v>233</v>
      </c>
      <c r="X765" s="454" t="s">
        <v>234</v>
      </c>
    </row>
    <row r="766" spans="1:24" ht="15" customHeight="1">
      <c r="A766" s="515"/>
      <c r="B766" s="516"/>
      <c r="C766" s="515"/>
      <c r="D766" s="517"/>
      <c r="E766" s="286"/>
      <c r="F766" s="417"/>
      <c r="G766" s="379"/>
      <c r="J766" s="414"/>
      <c r="K766" s="414"/>
      <c r="L766" s="1385"/>
      <c r="M766" s="1385"/>
      <c r="N766" s="1385"/>
      <c r="O766" s="1385"/>
      <c r="P766" s="455"/>
      <c r="U766" s="231"/>
      <c r="X766" s="456"/>
    </row>
    <row r="767" spans="1:24" ht="15" customHeight="1">
      <c r="A767" s="515"/>
      <c r="B767" s="516"/>
      <c r="C767" s="515"/>
      <c r="D767" s="517"/>
      <c r="E767" s="929"/>
      <c r="F767" s="417"/>
      <c r="G767" s="379"/>
      <c r="J767" s="181"/>
      <c r="K767" s="508"/>
      <c r="L767" s="181"/>
      <c r="M767" s="508"/>
      <c r="N767" s="181"/>
      <c r="O767" s="508"/>
      <c r="U767" s="458">
        <f>E766</f>
        <v>0</v>
      </c>
      <c r="V767" s="282">
        <f>F766</f>
        <v>0</v>
      </c>
      <c r="W767" s="459"/>
      <c r="X767" s="460"/>
    </row>
    <row r="768" spans="1:24" ht="15" customHeight="1">
      <c r="A768" s="515"/>
      <c r="B768" s="516"/>
      <c r="C768" s="515"/>
      <c r="D768" s="517"/>
      <c r="E768" s="286"/>
      <c r="F768" s="417"/>
      <c r="G768" s="1048"/>
      <c r="K768" s="1382"/>
      <c r="L768" s="1382"/>
      <c r="M768" s="1382"/>
      <c r="N768" s="1382"/>
      <c r="O768" s="1382"/>
      <c r="P768" s="1382"/>
      <c r="Q768" s="1382"/>
      <c r="R768" s="1382"/>
      <c r="U768" s="462">
        <f t="shared" ref="U768:U772" si="55">E768</f>
        <v>0</v>
      </c>
      <c r="V768" s="463">
        <f t="shared" ref="V768:V772" si="56">F768</f>
        <v>0</v>
      </c>
      <c r="W768" s="464">
        <f t="shared" ref="W768:W772" si="57">G768</f>
        <v>0</v>
      </c>
      <c r="X768" s="465"/>
    </row>
    <row r="769" spans="1:24" ht="15" customHeight="1">
      <c r="A769" s="515"/>
      <c r="B769" s="516"/>
      <c r="C769" s="515"/>
      <c r="D769" s="517"/>
      <c r="E769" s="286"/>
      <c r="F769" s="417"/>
      <c r="G769" s="1048"/>
      <c r="J769" s="1080" t="s">
        <v>1</v>
      </c>
      <c r="K769" s="466" t="s">
        <v>45</v>
      </c>
      <c r="L769" s="467" t="s">
        <v>46</v>
      </c>
      <c r="M769" s="468" t="s">
        <v>47</v>
      </c>
      <c r="N769" s="467" t="s">
        <v>48</v>
      </c>
      <c r="O769" s="466" t="s">
        <v>45</v>
      </c>
      <c r="P769" s="467" t="s">
        <v>46</v>
      </c>
      <c r="Q769" s="468" t="s">
        <v>47</v>
      </c>
      <c r="R769" s="467" t="s">
        <v>48</v>
      </c>
      <c r="U769" s="374">
        <f t="shared" si="55"/>
        <v>0</v>
      </c>
      <c r="V769" s="282">
        <f t="shared" si="56"/>
        <v>0</v>
      </c>
      <c r="W769" s="469">
        <f t="shared" si="57"/>
        <v>0</v>
      </c>
      <c r="X769" s="465">
        <f>$I$1</f>
        <v>0</v>
      </c>
    </row>
    <row r="770" spans="1:24" ht="15" customHeight="1">
      <c r="A770" s="515"/>
      <c r="B770" s="516"/>
      <c r="C770" s="515"/>
      <c r="D770" s="517"/>
      <c r="E770" s="286"/>
      <c r="F770" s="417"/>
      <c r="G770" s="1048"/>
      <c r="J770" s="1081">
        <v>130</v>
      </c>
      <c r="K770" s="471">
        <f>Prod.!P359</f>
        <v>0</v>
      </c>
      <c r="L770" s="471">
        <f>Prod.!Q359</f>
        <v>0</v>
      </c>
      <c r="M770" s="471">
        <f>Prod.!R359</f>
        <v>0</v>
      </c>
      <c r="N770" s="471">
        <f>Prod.!S359</f>
        <v>0</v>
      </c>
      <c r="O770" s="471">
        <f>Prod.!V359</f>
        <v>0</v>
      </c>
      <c r="P770" s="471">
        <f>Prod.!W359</f>
        <v>0</v>
      </c>
      <c r="Q770" s="471">
        <f>Prod.!X359</f>
        <v>0</v>
      </c>
      <c r="R770" s="471">
        <f>Prod.!Y359</f>
        <v>0</v>
      </c>
      <c r="U770" s="374">
        <f t="shared" si="55"/>
        <v>0</v>
      </c>
      <c r="V770" s="282">
        <f t="shared" si="56"/>
        <v>0</v>
      </c>
      <c r="W770" s="469">
        <f t="shared" si="57"/>
        <v>0</v>
      </c>
      <c r="X770" s="465">
        <f>IFERROR($I$2,0)</f>
        <v>0</v>
      </c>
    </row>
    <row r="771" spans="1:24" ht="15" customHeight="1">
      <c r="A771" s="515"/>
      <c r="B771" s="516"/>
      <c r="C771" s="515"/>
      <c r="D771" s="517"/>
      <c r="E771" s="1085"/>
      <c r="F771" s="517"/>
      <c r="G771" s="1086"/>
      <c r="U771" s="374">
        <f t="shared" si="55"/>
        <v>0</v>
      </c>
      <c r="V771" s="282">
        <f t="shared" si="56"/>
        <v>0</v>
      </c>
      <c r="W771" s="469">
        <f t="shared" si="57"/>
        <v>0</v>
      </c>
      <c r="X771" s="475"/>
    </row>
    <row r="772" spans="1:24" ht="15" customHeight="1">
      <c r="A772" s="515"/>
      <c r="B772" s="516"/>
      <c r="C772" s="515"/>
      <c r="D772" s="517"/>
      <c r="E772" s="1085"/>
      <c r="F772" s="1087"/>
      <c r="G772" s="1088"/>
      <c r="U772" s="374">
        <f t="shared" si="55"/>
        <v>0</v>
      </c>
      <c r="V772" s="282">
        <f t="shared" si="56"/>
        <v>0</v>
      </c>
      <c r="W772" s="469">
        <f t="shared" si="57"/>
        <v>0</v>
      </c>
      <c r="X772" s="520">
        <f>IFERROR($I$3,0)</f>
        <v>0</v>
      </c>
    </row>
    <row r="773" spans="1:24" ht="15" customHeight="1">
      <c r="A773" s="515"/>
      <c r="B773" s="515"/>
      <c r="C773" s="515"/>
      <c r="D773" s="517"/>
      <c r="E773" s="1085"/>
      <c r="F773" s="417"/>
      <c r="G773" s="1089"/>
      <c r="J773" t="s">
        <v>65</v>
      </c>
      <c r="K773" s="181">
        <f>Prod.!C358</f>
        <v>0</v>
      </c>
      <c r="L773" s="181">
        <f>Prod.!D358</f>
        <v>0</v>
      </c>
      <c r="M773" s="181">
        <f>Prod.!E358</f>
        <v>0</v>
      </c>
      <c r="N773" s="160">
        <f>Prod.!F358</f>
        <v>0</v>
      </c>
      <c r="O773" s="160">
        <f>Prod.!G358</f>
        <v>0</v>
      </c>
      <c r="U773" s="374">
        <f>E773</f>
        <v>0</v>
      </c>
      <c r="V773" s="282">
        <f>F773-V776</f>
        <v>0</v>
      </c>
      <c r="W773" s="479"/>
      <c r="X773" s="456"/>
    </row>
    <row r="774" spans="1:24" ht="15" customHeight="1">
      <c r="A774" s="515"/>
      <c r="B774" s="515"/>
      <c r="C774" s="515"/>
      <c r="D774" s="984"/>
      <c r="E774" s="286"/>
      <c r="F774" s="417"/>
      <c r="G774" s="1090"/>
      <c r="J774" t="s">
        <v>67</v>
      </c>
      <c r="K774" s="181">
        <f>Prod.!C359</f>
        <v>0</v>
      </c>
      <c r="L774" s="181">
        <f>Prod.!D359</f>
        <v>0</v>
      </c>
      <c r="M774" s="181">
        <f>Prod.!E359</f>
        <v>0</v>
      </c>
      <c r="N774" s="160">
        <f>Prod.!F359</f>
        <v>0</v>
      </c>
      <c r="O774" s="160">
        <f>Prod.!G359</f>
        <v>0</v>
      </c>
      <c r="T774" s="160"/>
      <c r="U774" s="374">
        <f>E774</f>
        <v>0</v>
      </c>
      <c r="V774" s="282">
        <f>F774</f>
        <v>0</v>
      </c>
      <c r="W774" s="479"/>
      <c r="X774" s="456"/>
    </row>
    <row r="775" spans="1:24" ht="15.75" customHeight="1" thickBot="1">
      <c r="A775" s="515"/>
      <c r="B775" s="515"/>
      <c r="C775" s="515"/>
      <c r="D775" s="517"/>
      <c r="E775" s="286"/>
      <c r="F775" s="417"/>
      <c r="G775" s="379"/>
      <c r="U775" s="374">
        <f>E775</f>
        <v>0</v>
      </c>
      <c r="V775" s="282">
        <f>F775</f>
        <v>0</v>
      </c>
      <c r="W775" s="479"/>
      <c r="X775" s="456"/>
    </row>
    <row r="776" spans="1:24" ht="14.25" customHeight="1" thickBot="1">
      <c r="A776" s="515"/>
      <c r="B776" s="515"/>
      <c r="C776" s="515"/>
      <c r="D776" s="517"/>
      <c r="E776" s="286"/>
      <c r="F776" s="417"/>
      <c r="G776" s="379"/>
      <c r="L776" s="1381" t="s">
        <v>7</v>
      </c>
      <c r="M776" s="1381"/>
      <c r="N776" s="1381"/>
      <c r="U776" s="374">
        <f>E780</f>
        <v>0</v>
      </c>
      <c r="V776" s="282">
        <f>F780</f>
        <v>0</v>
      </c>
      <c r="W776" s="479"/>
      <c r="X776" s="456"/>
    </row>
    <row r="777" spans="1:24" ht="19.5" customHeight="1" thickBot="1">
      <c r="A777" s="515"/>
      <c r="B777" s="515"/>
      <c r="C777" s="515"/>
      <c r="D777" s="517"/>
      <c r="E777" s="286"/>
      <c r="F777" s="417"/>
      <c r="G777" s="379"/>
      <c r="K777" s="163">
        <v>160</v>
      </c>
      <c r="L777" s="1381"/>
      <c r="M777" s="1381"/>
      <c r="N777" s="1381"/>
      <c r="U777" s="483" t="s">
        <v>255</v>
      </c>
      <c r="V777" s="484">
        <f>V767+V768+V769+V770+V771+V772+V773+V774+V775+V776</f>
        <v>0</v>
      </c>
      <c r="W777" s="485"/>
      <c r="X777" s="454"/>
    </row>
    <row r="778" spans="1:24" ht="18" customHeight="1" thickBot="1">
      <c r="A778" s="515"/>
      <c r="B778" s="515"/>
      <c r="C778" s="515"/>
      <c r="D778" s="517"/>
      <c r="E778" s="286"/>
      <c r="F778" s="417"/>
      <c r="G778" s="379"/>
      <c r="L778" s="1381"/>
      <c r="M778" s="1381"/>
      <c r="N778" s="1381"/>
    </row>
    <row r="779" spans="1:24" ht="15" customHeight="1">
      <c r="A779" s="515"/>
      <c r="B779" s="515"/>
      <c r="C779" s="515"/>
      <c r="D779" s="517"/>
      <c r="E779" s="286"/>
      <c r="F779" s="417"/>
      <c r="G779" s="417"/>
      <c r="L779" s="175">
        <f>Prod.!AP355</f>
        <v>6</v>
      </c>
      <c r="M779" s="176">
        <f>Prod.!AQ355</f>
        <v>0</v>
      </c>
      <c r="N779" s="486">
        <f>Prod.!AR355</f>
        <v>0</v>
      </c>
    </row>
    <row r="780" spans="1:24" ht="15" customHeight="1">
      <c r="A780" s="515"/>
      <c r="B780" s="515"/>
      <c r="C780" s="515"/>
      <c r="D780" s="984"/>
      <c r="E780" s="286"/>
      <c r="F780" s="417"/>
      <c r="G780" s="1091"/>
      <c r="L780" s="170">
        <f>Prod.!AP356</f>
        <v>5</v>
      </c>
      <c r="M780" s="171">
        <f>Prod.!AQ356</f>
        <v>0</v>
      </c>
      <c r="N780" s="100">
        <f>Prod.!AR356</f>
        <v>0</v>
      </c>
    </row>
    <row r="781" spans="1:24" ht="15" customHeight="1">
      <c r="A781" s="515"/>
      <c r="B781" s="516"/>
      <c r="C781" s="515"/>
      <c r="D781" s="517"/>
      <c r="E781" s="286"/>
      <c r="F781" s="277"/>
      <c r="G781" s="160"/>
      <c r="L781" s="170">
        <f>Prod.!AP357</f>
        <v>4</v>
      </c>
      <c r="M781" s="171">
        <f>Prod.!AQ357</f>
        <v>0</v>
      </c>
      <c r="N781" s="100">
        <f>Prod.!AR357</f>
        <v>0</v>
      </c>
    </row>
    <row r="782" spans="1:24" ht="15.75" customHeight="1">
      <c r="A782" s="515"/>
      <c r="B782" s="516"/>
      <c r="C782" s="515"/>
      <c r="D782" s="517"/>
      <c r="E782" s="1287"/>
      <c r="F782" s="1287"/>
      <c r="G782" s="379"/>
      <c r="L782" s="170">
        <f>Prod.!AP358</f>
        <v>3</v>
      </c>
      <c r="M782" s="171">
        <f>Prod.!AQ358</f>
        <v>0</v>
      </c>
      <c r="N782" s="100">
        <f>Prod.!AR358</f>
        <v>0</v>
      </c>
      <c r="O782" s="293" t="e">
        <f>N783/((L782*M782)+(L781*M781)+(L780*M780)+(L779*M779))</f>
        <v>#DIV/0!</v>
      </c>
    </row>
    <row r="783" spans="1:24" ht="15.75" customHeight="1">
      <c r="A783" s="515"/>
      <c r="B783" s="515"/>
      <c r="C783" s="515"/>
      <c r="D783" s="517"/>
      <c r="E783" s="984"/>
      <c r="F783" s="1044"/>
      <c r="G783" s="417"/>
      <c r="L783" s="173"/>
      <c r="M783" s="174"/>
      <c r="N783" s="491">
        <f>Prod.!AR359</f>
        <v>0</v>
      </c>
    </row>
    <row r="784" spans="1:24" ht="15" customHeight="1">
      <c r="A784" s="515"/>
      <c r="B784" s="516"/>
      <c r="C784" s="515"/>
      <c r="D784" s="517"/>
      <c r="E784" s="984"/>
      <c r="F784" s="1044"/>
      <c r="G784" s="417"/>
    </row>
    <row r="785" spans="1:15" ht="15" customHeight="1">
      <c r="A785" s="515"/>
      <c r="B785" s="516"/>
      <c r="C785" s="515"/>
      <c r="D785" s="517"/>
      <c r="E785" s="984"/>
      <c r="F785" s="1044"/>
      <c r="G785" s="417"/>
    </row>
    <row r="786" spans="1:15" ht="14.25" customHeight="1">
      <c r="A786" s="515"/>
      <c r="B786" s="515"/>
      <c r="C786" s="515"/>
      <c r="D786" s="517"/>
      <c r="E786" s="984"/>
      <c r="F786" s="1044"/>
      <c r="G786" s="417"/>
    </row>
    <row r="787" spans="1:15" ht="15" customHeight="1">
      <c r="A787" s="515"/>
      <c r="B787" s="516"/>
      <c r="C787" s="515"/>
      <c r="D787" s="517"/>
      <c r="E787" s="984"/>
      <c r="F787" s="172"/>
      <c r="G787" s="417"/>
      <c r="L787" s="1381" t="s">
        <v>7</v>
      </c>
      <c r="M787" s="1381"/>
      <c r="N787" s="1381"/>
    </row>
    <row r="788" spans="1:15" ht="15" customHeight="1">
      <c r="A788" s="515"/>
      <c r="B788" s="516"/>
      <c r="C788" s="515"/>
      <c r="D788" s="517"/>
      <c r="E788" s="984"/>
      <c r="F788" s="493"/>
      <c r="G788" s="417"/>
      <c r="K788" s="163">
        <v>130</v>
      </c>
      <c r="L788" s="1381"/>
      <c r="M788" s="1381"/>
      <c r="N788" s="1381"/>
    </row>
    <row r="789" spans="1:15" ht="15" customHeight="1">
      <c r="A789" s="515"/>
      <c r="B789" s="516"/>
      <c r="C789" s="515"/>
      <c r="D789" s="517"/>
      <c r="E789" s="984"/>
      <c r="F789" s="517"/>
      <c r="G789" s="160"/>
      <c r="L789" s="1381"/>
      <c r="M789" s="1381"/>
      <c r="N789" s="1381"/>
    </row>
    <row r="790" spans="1:15" ht="15" customHeight="1">
      <c r="A790" s="515"/>
      <c r="B790" s="516"/>
      <c r="C790" s="515"/>
      <c r="D790" s="517"/>
      <c r="E790" s="984"/>
      <c r="F790" s="517"/>
      <c r="L790" s="175">
        <f>Prod.!AP347</f>
        <v>6</v>
      </c>
      <c r="M790" s="176">
        <f>Prod.!AQ347</f>
        <v>0</v>
      </c>
      <c r="N790" s="486">
        <f>Prod.!AR347</f>
        <v>0</v>
      </c>
    </row>
    <row r="791" spans="1:15" ht="15" customHeight="1">
      <c r="A791" s="515"/>
      <c r="B791" s="515"/>
      <c r="C791" s="515"/>
      <c r="D791" s="517"/>
      <c r="E791" s="984"/>
      <c r="F791" s="254"/>
      <c r="L791" s="170">
        <f>Prod.!AP348</f>
        <v>5</v>
      </c>
      <c r="M791" s="171">
        <f>Prod.!AQ348</f>
        <v>0</v>
      </c>
      <c r="N791" s="100">
        <f>Prod.!AR348</f>
        <v>0</v>
      </c>
      <c r="O791" s="160"/>
    </row>
    <row r="792" spans="1:15" ht="15" customHeight="1">
      <c r="A792" s="515"/>
      <c r="B792" s="515"/>
      <c r="C792" s="515"/>
      <c r="D792" s="517"/>
      <c r="E792" s="984"/>
      <c r="F792" s="254"/>
      <c r="L792" s="170">
        <f>Prod.!AP349</f>
        <v>4</v>
      </c>
      <c r="M792" s="171">
        <f>Prod.!AQ349</f>
        <v>0</v>
      </c>
      <c r="N792" s="100">
        <f>Prod.!AR349</f>
        <v>0</v>
      </c>
      <c r="O792" s="160"/>
    </row>
    <row r="793" spans="1:15" ht="15.75" customHeight="1">
      <c r="A793" s="515"/>
      <c r="B793" s="515"/>
      <c r="C793" s="515"/>
      <c r="D793" s="517"/>
      <c r="E793" s="984"/>
      <c r="F793" s="536"/>
      <c r="L793" s="170">
        <f>Prod.!AP350</f>
        <v>3</v>
      </c>
      <c r="M793" s="172">
        <f>Prod.!AQ350</f>
        <v>0</v>
      </c>
      <c r="N793" s="100">
        <f>Prod.!AR350</f>
        <v>0</v>
      </c>
      <c r="O793" t="e">
        <f>N794/((L793*M793)+(L792*M792)+(L791*M791)+(L790*M790))</f>
        <v>#DIV/0!</v>
      </c>
    </row>
    <row r="794" spans="1:15" ht="15.75" customHeight="1">
      <c r="A794" s="515"/>
      <c r="B794" s="515"/>
      <c r="C794" s="515"/>
      <c r="D794" s="434"/>
      <c r="E794" s="984"/>
      <c r="F794" s="1092"/>
      <c r="L794" s="173"/>
      <c r="M794" s="174"/>
      <c r="N794" s="491">
        <f>Prod.!AR351</f>
        <v>0</v>
      </c>
      <c r="O794" s="160"/>
    </row>
    <row r="795" spans="1:15" ht="15" customHeight="1">
      <c r="A795" s="984"/>
      <c r="B795" s="984"/>
      <c r="C795" s="984"/>
      <c r="D795" s="984"/>
      <c r="E795" s="515"/>
      <c r="F795" s="517"/>
      <c r="G795" s="1091"/>
    </row>
    <row r="796" spans="1:15" ht="15" customHeight="1">
      <c r="A796" s="984"/>
      <c r="B796" s="1093"/>
      <c r="C796" s="1093"/>
      <c r="D796" s="984"/>
      <c r="E796" s="286"/>
      <c r="F796" s="417"/>
      <c r="G796" s="253"/>
    </row>
    <row r="797" spans="1:15" ht="15" customHeight="1">
      <c r="A797" s="984"/>
      <c r="B797" s="1093"/>
      <c r="C797" s="1093"/>
      <c r="D797" s="984"/>
      <c r="E797" s="286"/>
      <c r="F797" s="417"/>
      <c r="G797" s="253"/>
    </row>
    <row r="798" spans="1:15" ht="15" customHeight="1">
      <c r="A798" s="984"/>
      <c r="B798" s="1093"/>
      <c r="C798" s="1093"/>
      <c r="D798" s="984"/>
      <c r="E798" s="286"/>
      <c r="F798" s="417"/>
      <c r="G798" s="253"/>
    </row>
    <row r="799" spans="1:15" ht="15" customHeight="1">
      <c r="A799" s="984"/>
      <c r="B799" s="1051"/>
      <c r="C799" s="1051"/>
      <c r="D799" s="984"/>
      <c r="E799" s="286"/>
      <c r="F799" s="417"/>
      <c r="G799" s="253"/>
    </row>
    <row r="800" spans="1:15" ht="15" customHeight="1">
      <c r="A800" s="984"/>
      <c r="B800" s="1051"/>
      <c r="C800" s="1051"/>
      <c r="D800" s="984"/>
      <c r="E800" s="286"/>
      <c r="F800" s="417"/>
    </row>
    <row r="801" spans="1:24" ht="15" customHeight="1">
      <c r="A801" s="1084"/>
      <c r="B801" s="515"/>
      <c r="H801" s="180"/>
      <c r="J801" s="515"/>
      <c r="K801" s="516"/>
      <c r="L801" s="515"/>
      <c r="M801" s="517"/>
    </row>
    <row r="802" spans="1:24" ht="15" customHeight="1">
      <c r="A802" s="984"/>
      <c r="B802" s="984"/>
      <c r="D802" s="434"/>
      <c r="E802" s="434"/>
      <c r="H802" s="180"/>
      <c r="J802" s="1079" t="s">
        <v>310</v>
      </c>
      <c r="K802" s="1382"/>
      <c r="L802" s="1382"/>
      <c r="M802" s="1382"/>
      <c r="N802" s="1382"/>
      <c r="O802" s="1382"/>
      <c r="P802" s="1382"/>
      <c r="Q802" s="1382"/>
      <c r="R802" s="1382"/>
    </row>
    <row r="803" spans="1:24" ht="15.75" customHeight="1" thickBot="1">
      <c r="A803" s="984"/>
      <c r="B803" s="1051"/>
      <c r="H803" s="180"/>
      <c r="J803" s="1080" t="s">
        <v>1</v>
      </c>
      <c r="K803" s="466" t="s">
        <v>45</v>
      </c>
      <c r="L803" s="467" t="s">
        <v>46</v>
      </c>
      <c r="M803" s="468" t="s">
        <v>47</v>
      </c>
      <c r="N803" s="511" t="s">
        <v>48</v>
      </c>
      <c r="O803" s="512" t="s">
        <v>45</v>
      </c>
      <c r="P803" s="511" t="s">
        <v>46</v>
      </c>
      <c r="Q803" s="513" t="s">
        <v>47</v>
      </c>
      <c r="R803" s="511" t="s">
        <v>48</v>
      </c>
    </row>
    <row r="804" spans="1:24" ht="15.75" customHeight="1" thickBot="1">
      <c r="A804" s="984"/>
      <c r="B804" s="984"/>
      <c r="C804" s="984"/>
      <c r="D804" s="984"/>
      <c r="E804" s="984"/>
      <c r="F804" s="417"/>
      <c r="G804" s="379"/>
      <c r="J804" s="1082">
        <v>160</v>
      </c>
      <c r="K804" s="158">
        <f>Prod.!P378</f>
        <v>0</v>
      </c>
      <c r="L804" s="158">
        <f>Prod.!Q378</f>
        <v>0</v>
      </c>
      <c r="M804" s="158">
        <f>Prod.!R378</f>
        <v>0</v>
      </c>
      <c r="N804" s="158">
        <f>Prod.!S378</f>
        <v>0</v>
      </c>
      <c r="O804" s="158">
        <f>Prod.!V378</f>
        <v>0</v>
      </c>
      <c r="P804" s="158">
        <f>Prod.!W378</f>
        <v>0</v>
      </c>
      <c r="Q804" s="158">
        <f>Prod.!X378</f>
        <v>0</v>
      </c>
      <c r="R804" s="158">
        <f>Prod.!Y378</f>
        <v>0</v>
      </c>
      <c r="U804" s="1383" t="s">
        <v>230</v>
      </c>
      <c r="V804" s="1383"/>
      <c r="W804" s="1383"/>
      <c r="X804" s="1383"/>
    </row>
    <row r="805" spans="1:24" ht="15.75" customHeight="1" thickBot="1">
      <c r="A805" s="515"/>
      <c r="B805" s="516"/>
      <c r="C805" s="515"/>
      <c r="D805" s="517"/>
      <c r="E805" s="286"/>
      <c r="F805" s="417"/>
      <c r="G805" s="379"/>
      <c r="J805" s="1083">
        <v>110</v>
      </c>
      <c r="K805" s="514">
        <f>Prod.!J376</f>
        <v>0</v>
      </c>
      <c r="L805" s="514">
        <f>Prod.!K376</f>
        <v>0</v>
      </c>
      <c r="M805" s="518">
        <f>Prod.!L376</f>
        <v>0</v>
      </c>
      <c r="N805" s="514">
        <f>Prod.!M376</f>
        <v>0</v>
      </c>
      <c r="U805" s="1384">
        <f>A801</f>
        <v>0</v>
      </c>
      <c r="V805" s="1384"/>
      <c r="W805" s="453" t="s">
        <v>233</v>
      </c>
      <c r="X805" s="454" t="s">
        <v>234</v>
      </c>
    </row>
    <row r="806" spans="1:24" ht="15" customHeight="1">
      <c r="A806" s="515"/>
      <c r="B806" s="516"/>
      <c r="C806" s="515"/>
      <c r="D806" s="517"/>
      <c r="E806" s="286"/>
      <c r="F806" s="417"/>
      <c r="G806" s="379"/>
      <c r="J806" s="414"/>
      <c r="K806" s="414"/>
      <c r="L806" s="1385"/>
      <c r="M806" s="1385"/>
      <c r="N806" s="1385"/>
      <c r="O806" s="1385"/>
      <c r="P806" s="455"/>
      <c r="U806" s="231"/>
      <c r="X806" s="456"/>
    </row>
    <row r="807" spans="1:24" ht="15" customHeight="1">
      <c r="A807" s="515"/>
      <c r="B807" s="516"/>
      <c r="C807" s="515"/>
      <c r="D807" s="517"/>
      <c r="E807" s="929"/>
      <c r="F807" s="417"/>
      <c r="G807" s="379"/>
      <c r="J807" s="181"/>
      <c r="K807" s="508"/>
      <c r="L807" s="181"/>
      <c r="M807" s="508"/>
      <c r="N807" s="181"/>
      <c r="O807" s="508"/>
      <c r="U807" s="458">
        <f>E806</f>
        <v>0</v>
      </c>
      <c r="V807" s="282">
        <f>F806</f>
        <v>0</v>
      </c>
      <c r="W807" s="459"/>
      <c r="X807" s="460"/>
    </row>
    <row r="808" spans="1:24" ht="15" customHeight="1">
      <c r="A808" s="515"/>
      <c r="B808" s="516"/>
      <c r="C808" s="515"/>
      <c r="D808" s="517"/>
      <c r="E808" s="286"/>
      <c r="F808" s="417"/>
      <c r="G808" s="1048"/>
      <c r="K808" s="1382"/>
      <c r="L808" s="1382"/>
      <c r="M808" s="1382"/>
      <c r="N808" s="1382"/>
      <c r="O808" s="1382"/>
      <c r="P808" s="1382"/>
      <c r="Q808" s="1382"/>
      <c r="R808" s="1382"/>
      <c r="U808" s="462">
        <f t="shared" ref="U808:U812" si="58">E808</f>
        <v>0</v>
      </c>
      <c r="V808" s="463">
        <f t="shared" ref="V808:V812" si="59">F808</f>
        <v>0</v>
      </c>
      <c r="W808" s="464">
        <f t="shared" ref="W808:W812" si="60">G808</f>
        <v>0</v>
      </c>
      <c r="X808" s="465"/>
    </row>
    <row r="809" spans="1:24" ht="15" customHeight="1">
      <c r="A809" s="515"/>
      <c r="B809" s="516"/>
      <c r="C809" s="515"/>
      <c r="D809" s="517"/>
      <c r="E809" s="286"/>
      <c r="F809" s="417"/>
      <c r="G809" s="1048"/>
      <c r="J809" s="1080" t="s">
        <v>1</v>
      </c>
      <c r="K809" s="466" t="s">
        <v>45</v>
      </c>
      <c r="L809" s="467" t="s">
        <v>46</v>
      </c>
      <c r="M809" s="468" t="s">
        <v>47</v>
      </c>
      <c r="N809" s="467" t="s">
        <v>48</v>
      </c>
      <c r="O809" s="466" t="s">
        <v>45</v>
      </c>
      <c r="P809" s="467" t="s">
        <v>46</v>
      </c>
      <c r="Q809" s="468" t="s">
        <v>47</v>
      </c>
      <c r="R809" s="467" t="s">
        <v>48</v>
      </c>
      <c r="U809" s="374">
        <f t="shared" si="58"/>
        <v>0</v>
      </c>
      <c r="V809" s="282">
        <f t="shared" si="59"/>
        <v>0</v>
      </c>
      <c r="W809" s="469">
        <f t="shared" si="60"/>
        <v>0</v>
      </c>
      <c r="X809" s="465">
        <f>$I$1</f>
        <v>0</v>
      </c>
    </row>
    <row r="810" spans="1:24" ht="15" customHeight="1">
      <c r="A810" s="515"/>
      <c r="B810" s="516"/>
      <c r="C810" s="515"/>
      <c r="D810" s="517"/>
      <c r="E810" s="286"/>
      <c r="F810" s="417"/>
      <c r="G810" s="1048"/>
      <c r="J810" s="1081">
        <v>130</v>
      </c>
      <c r="K810" s="471">
        <f>Prod.!P377</f>
        <v>0</v>
      </c>
      <c r="L810" s="471">
        <f>Prod.!Q377</f>
        <v>0</v>
      </c>
      <c r="M810" s="471">
        <f>Prod.!R377</f>
        <v>0</v>
      </c>
      <c r="N810" s="471">
        <f>Prod.!S377</f>
        <v>0</v>
      </c>
      <c r="O810" s="471">
        <f>Prod.!V377</f>
        <v>0</v>
      </c>
      <c r="P810" s="471">
        <f>Prod.!W377</f>
        <v>0</v>
      </c>
      <c r="Q810" s="471">
        <f>Prod.!X377</f>
        <v>0</v>
      </c>
      <c r="R810" s="471">
        <f>Prod.!Y377</f>
        <v>0</v>
      </c>
      <c r="U810" s="374">
        <f t="shared" si="58"/>
        <v>0</v>
      </c>
      <c r="V810" s="282">
        <f t="shared" si="59"/>
        <v>0</v>
      </c>
      <c r="W810" s="469">
        <f t="shared" si="60"/>
        <v>0</v>
      </c>
      <c r="X810" s="465">
        <f>IFERROR($I$2,0)</f>
        <v>0</v>
      </c>
    </row>
    <row r="811" spans="1:24" ht="15" customHeight="1">
      <c r="A811" s="515"/>
      <c r="B811" s="516"/>
      <c r="C811" s="515"/>
      <c r="D811" s="517"/>
      <c r="E811" s="1085"/>
      <c r="F811" s="517"/>
      <c r="G811" s="1086"/>
      <c r="U811" s="374">
        <f t="shared" si="58"/>
        <v>0</v>
      </c>
      <c r="V811" s="282">
        <f t="shared" si="59"/>
        <v>0</v>
      </c>
      <c r="W811" s="469">
        <f t="shared" si="60"/>
        <v>0</v>
      </c>
      <c r="X811" s="475"/>
    </row>
    <row r="812" spans="1:24" ht="15" customHeight="1">
      <c r="A812" s="515"/>
      <c r="B812" s="516"/>
      <c r="C812" s="515"/>
      <c r="D812" s="517"/>
      <c r="E812" s="1085"/>
      <c r="F812" s="1087"/>
      <c r="G812" s="1088"/>
      <c r="U812" s="374">
        <f t="shared" si="58"/>
        <v>0</v>
      </c>
      <c r="V812" s="282">
        <f t="shared" si="59"/>
        <v>0</v>
      </c>
      <c r="W812" s="469">
        <f t="shared" si="60"/>
        <v>0</v>
      </c>
      <c r="X812" s="520">
        <f>IFERROR($I$3,0)</f>
        <v>0</v>
      </c>
    </row>
    <row r="813" spans="1:24" ht="15" customHeight="1">
      <c r="A813" s="515"/>
      <c r="B813" s="515"/>
      <c r="C813" s="515"/>
      <c r="D813" s="517"/>
      <c r="E813" s="1085"/>
      <c r="F813" s="417"/>
      <c r="G813" s="1089"/>
      <c r="J813" t="s">
        <v>65</v>
      </c>
      <c r="K813" s="181">
        <f>Prod.!C376</f>
        <v>0</v>
      </c>
      <c r="L813" s="181">
        <f>Prod.!D376</f>
        <v>0</v>
      </c>
      <c r="M813" s="181">
        <f>Prod.!E376</f>
        <v>0</v>
      </c>
      <c r="N813" s="160">
        <f>Prod.!F376</f>
        <v>0</v>
      </c>
      <c r="O813" s="160">
        <f>Prod.!G376</f>
        <v>0</v>
      </c>
      <c r="U813" s="374">
        <f>E813</f>
        <v>0</v>
      </c>
      <c r="V813" s="282">
        <f>F813-V816</f>
        <v>0</v>
      </c>
      <c r="W813" s="479"/>
      <c r="X813" s="456"/>
    </row>
    <row r="814" spans="1:24" ht="15" customHeight="1">
      <c r="A814" s="515"/>
      <c r="B814" s="515"/>
      <c r="C814" s="515"/>
      <c r="D814" s="984"/>
      <c r="E814" s="286"/>
      <c r="F814" s="417"/>
      <c r="G814" s="1090"/>
      <c r="J814" t="s">
        <v>67</v>
      </c>
      <c r="K814" s="181">
        <f>Prod.!C377</f>
        <v>0</v>
      </c>
      <c r="L814" s="181">
        <f>Prod.!D377</f>
        <v>0</v>
      </c>
      <c r="M814" s="181">
        <f>Prod.!E377</f>
        <v>0</v>
      </c>
      <c r="N814" s="160">
        <f>Prod.!F377</f>
        <v>0</v>
      </c>
      <c r="O814" s="160">
        <f>Prod.!G377</f>
        <v>0</v>
      </c>
      <c r="T814" s="160"/>
      <c r="U814" s="374">
        <f>E814</f>
        <v>0</v>
      </c>
      <c r="V814" s="282">
        <f>F814</f>
        <v>0</v>
      </c>
      <c r="W814" s="479"/>
      <c r="X814" s="456"/>
    </row>
    <row r="815" spans="1:24" ht="15.75" customHeight="1" thickBot="1">
      <c r="A815" s="515"/>
      <c r="B815" s="515"/>
      <c r="C815" s="515"/>
      <c r="D815" s="517"/>
      <c r="E815" s="286"/>
      <c r="F815" s="417"/>
      <c r="G815" s="379"/>
      <c r="U815" s="374">
        <f>E815</f>
        <v>0</v>
      </c>
      <c r="V815" s="282">
        <f>F815</f>
        <v>0</v>
      </c>
      <c r="W815" s="479"/>
      <c r="X815" s="456"/>
    </row>
    <row r="816" spans="1:24" ht="14.25" customHeight="1" thickBot="1">
      <c r="A816" s="515"/>
      <c r="B816" s="515"/>
      <c r="C816" s="515"/>
      <c r="D816" s="517"/>
      <c r="E816" s="286"/>
      <c r="F816" s="417"/>
      <c r="G816" s="379"/>
      <c r="L816" s="1381" t="s">
        <v>7</v>
      </c>
      <c r="M816" s="1381"/>
      <c r="N816" s="1381"/>
      <c r="U816" s="374">
        <f>E820</f>
        <v>0</v>
      </c>
      <c r="V816" s="282">
        <f>F820</f>
        <v>0</v>
      </c>
      <c r="W816" s="479"/>
      <c r="X816" s="456"/>
    </row>
    <row r="817" spans="1:24" ht="19.5" customHeight="1" thickBot="1">
      <c r="A817" s="515"/>
      <c r="B817" s="515"/>
      <c r="C817" s="515"/>
      <c r="D817" s="517"/>
      <c r="E817" s="286"/>
      <c r="F817" s="417"/>
      <c r="G817" s="379"/>
      <c r="K817" s="163">
        <v>160</v>
      </c>
      <c r="L817" s="1381"/>
      <c r="M817" s="1381"/>
      <c r="N817" s="1381"/>
      <c r="U817" s="483" t="s">
        <v>255</v>
      </c>
      <c r="V817" s="484">
        <f>V807+V808+V809+V810+V811+V812+V813+V814+V815+V816</f>
        <v>0</v>
      </c>
      <c r="W817" s="485"/>
      <c r="X817" s="454"/>
    </row>
    <row r="818" spans="1:24" ht="18" customHeight="1" thickBot="1">
      <c r="A818" s="515"/>
      <c r="B818" s="515"/>
      <c r="C818" s="515"/>
      <c r="D818" s="517"/>
      <c r="E818" s="286"/>
      <c r="F818" s="417"/>
      <c r="G818" s="379"/>
      <c r="L818" s="1381"/>
      <c r="M818" s="1381"/>
      <c r="N818" s="1381"/>
    </row>
    <row r="819" spans="1:24" ht="15" customHeight="1">
      <c r="A819" s="515"/>
      <c r="B819" s="515"/>
      <c r="C819" s="515"/>
      <c r="D819" s="517"/>
      <c r="E819" s="286"/>
      <c r="F819" s="417"/>
      <c r="G819" s="417"/>
      <c r="L819" s="175">
        <f>Prod.!AP373</f>
        <v>6</v>
      </c>
      <c r="M819" s="176">
        <f>Prod.!AQ373</f>
        <v>0</v>
      </c>
      <c r="N819" s="519">
        <f>Prod.!AR813</f>
        <v>0</v>
      </c>
    </row>
    <row r="820" spans="1:24" ht="15" customHeight="1">
      <c r="A820" s="515"/>
      <c r="B820" s="515"/>
      <c r="C820" s="515"/>
      <c r="D820" s="984"/>
      <c r="E820" s="286"/>
      <c r="F820" s="417"/>
      <c r="G820" s="1091"/>
      <c r="L820" s="170">
        <f>Prod.!AP374</f>
        <v>5</v>
      </c>
      <c r="M820" s="171">
        <f>Prod.!AQ374</f>
        <v>0</v>
      </c>
      <c r="N820" s="100">
        <f>Prod.!AR374</f>
        <v>0</v>
      </c>
    </row>
    <row r="821" spans="1:24" ht="15" customHeight="1">
      <c r="A821" s="515"/>
      <c r="B821" s="516"/>
      <c r="C821" s="515"/>
      <c r="D821" s="517"/>
      <c r="E821" s="286"/>
      <c r="F821" s="277"/>
      <c r="G821" s="160"/>
      <c r="L821" s="170">
        <f>Prod.!AP375</f>
        <v>4</v>
      </c>
      <c r="M821" s="171">
        <f>Prod.!AQ375</f>
        <v>0</v>
      </c>
      <c r="N821" s="100">
        <f>Prod.!AR375</f>
        <v>0</v>
      </c>
    </row>
    <row r="822" spans="1:24" ht="15.75" customHeight="1">
      <c r="A822" s="515"/>
      <c r="B822" s="516"/>
      <c r="C822" s="515"/>
      <c r="D822" s="517"/>
      <c r="E822" s="1287"/>
      <c r="F822" s="1287"/>
      <c r="G822" s="379"/>
      <c r="L822" s="170">
        <f>Prod.!AP376</f>
        <v>3</v>
      </c>
      <c r="M822" s="171">
        <f>Prod.!AQ376</f>
        <v>0</v>
      </c>
      <c r="N822" s="100">
        <f>Prod.!AR376</f>
        <v>0</v>
      </c>
      <c r="O822" s="293" t="e">
        <f>N823/((L822*M822)+(L821*M821)+(L820*M820)+(L819*M819))</f>
        <v>#DIV/0!</v>
      </c>
    </row>
    <row r="823" spans="1:24" ht="15.75" customHeight="1">
      <c r="A823" s="515"/>
      <c r="B823" s="515"/>
      <c r="C823" s="515"/>
      <c r="D823" s="517"/>
      <c r="E823" s="984"/>
      <c r="F823" s="1044"/>
      <c r="G823" s="417"/>
      <c r="L823" s="173"/>
      <c r="M823" s="174"/>
      <c r="N823" s="491">
        <f>Prod.!AR377</f>
        <v>0</v>
      </c>
    </row>
    <row r="824" spans="1:24" ht="15" customHeight="1">
      <c r="A824" s="515"/>
      <c r="B824" s="516"/>
      <c r="C824" s="515"/>
      <c r="D824" s="517"/>
      <c r="E824" s="984"/>
      <c r="F824" s="1044"/>
      <c r="G824" s="417"/>
    </row>
    <row r="825" spans="1:24" ht="15" customHeight="1">
      <c r="A825" s="515"/>
      <c r="B825" s="516"/>
      <c r="C825" s="515"/>
      <c r="D825" s="517"/>
      <c r="E825" s="984"/>
      <c r="F825" s="1044"/>
      <c r="G825" s="417"/>
    </row>
    <row r="826" spans="1:24" ht="14.25" customHeight="1">
      <c r="A826" s="515"/>
      <c r="B826" s="515"/>
      <c r="C826" s="515"/>
      <c r="D826" s="517"/>
      <c r="E826" s="984"/>
      <c r="F826" s="1044"/>
      <c r="G826" s="417"/>
    </row>
    <row r="827" spans="1:24" ht="15" customHeight="1">
      <c r="A827" s="515"/>
      <c r="B827" s="516"/>
      <c r="C827" s="515"/>
      <c r="D827" s="517"/>
      <c r="E827" s="984"/>
      <c r="F827" s="172"/>
      <c r="G827" s="417"/>
      <c r="L827" s="1381" t="s">
        <v>7</v>
      </c>
      <c r="M827" s="1381"/>
      <c r="N827" s="1381"/>
    </row>
    <row r="828" spans="1:24" ht="15" customHeight="1">
      <c r="A828" s="515"/>
      <c r="B828" s="516"/>
      <c r="C828" s="515"/>
      <c r="D828" s="517"/>
      <c r="E828" s="984"/>
      <c r="F828" s="493"/>
      <c r="G828" s="417"/>
      <c r="K828" s="163">
        <v>130</v>
      </c>
      <c r="L828" s="1381"/>
      <c r="M828" s="1381"/>
      <c r="N828" s="1381"/>
    </row>
    <row r="829" spans="1:24" ht="15" customHeight="1">
      <c r="A829" s="515"/>
      <c r="B829" s="516"/>
      <c r="C829" s="515"/>
      <c r="D829" s="517"/>
      <c r="E829" s="984"/>
      <c r="F829" s="517"/>
      <c r="G829" s="160"/>
      <c r="L829" s="1381"/>
      <c r="M829" s="1381"/>
      <c r="N829" s="1381"/>
    </row>
    <row r="830" spans="1:24" ht="15" customHeight="1">
      <c r="A830" s="515"/>
      <c r="B830" s="516"/>
      <c r="C830" s="515"/>
      <c r="D830" s="517"/>
      <c r="E830" s="984"/>
      <c r="F830" s="517"/>
      <c r="L830" s="175">
        <f>Prod.!AP365</f>
        <v>6</v>
      </c>
      <c r="M830" s="176">
        <f>Prod.!AQ365</f>
        <v>0</v>
      </c>
      <c r="N830" s="486">
        <f>Prod.!AR365</f>
        <v>0</v>
      </c>
    </row>
    <row r="831" spans="1:24" ht="15" customHeight="1">
      <c r="A831" s="515"/>
      <c r="B831" s="515"/>
      <c r="C831" s="515"/>
      <c r="D831" s="517"/>
      <c r="E831" s="984"/>
      <c r="F831" s="254"/>
      <c r="L831" s="170">
        <f>Prod.!AP366</f>
        <v>5</v>
      </c>
      <c r="M831" s="171">
        <f>Prod.!AQ366</f>
        <v>0</v>
      </c>
      <c r="N831" s="100">
        <f>Prod.!AR366</f>
        <v>0</v>
      </c>
      <c r="O831" s="160"/>
    </row>
    <row r="832" spans="1:24" ht="15" customHeight="1">
      <c r="A832" s="515"/>
      <c r="B832" s="515"/>
      <c r="C832" s="515"/>
      <c r="D832" s="517"/>
      <c r="E832" s="984"/>
      <c r="F832" s="254"/>
      <c r="L832" s="170">
        <f>Prod.!AP367</f>
        <v>4</v>
      </c>
      <c r="M832" s="171">
        <f>Prod.!AQ367</f>
        <v>0</v>
      </c>
      <c r="N832" s="100">
        <f>Prod.!AR367</f>
        <v>0</v>
      </c>
      <c r="O832" s="160"/>
    </row>
    <row r="833" spans="1:24" ht="15.75" customHeight="1">
      <c r="A833" s="515"/>
      <c r="B833" s="515"/>
      <c r="C833" s="515"/>
      <c r="D833" s="517"/>
      <c r="E833" s="984"/>
      <c r="F833" s="536"/>
      <c r="L833" s="170">
        <f>Prod.!AP368</f>
        <v>3</v>
      </c>
      <c r="M833" s="172">
        <f>Prod.!AQ368</f>
        <v>0</v>
      </c>
      <c r="N833" s="100">
        <f>Prod.!AR368</f>
        <v>0</v>
      </c>
      <c r="O833" t="e">
        <f>N834/((L833*M833)+(L832*M832)+(L831*M831)+(L830*M830))</f>
        <v>#DIV/0!</v>
      </c>
    </row>
    <row r="834" spans="1:24" ht="15.75" customHeight="1">
      <c r="A834" s="515"/>
      <c r="B834" s="515"/>
      <c r="C834" s="515"/>
      <c r="D834" s="434"/>
      <c r="E834" s="984"/>
      <c r="F834" s="1092"/>
      <c r="L834" s="173"/>
      <c r="M834" s="174"/>
      <c r="N834" s="491">
        <f>Prod.!AR369</f>
        <v>0</v>
      </c>
      <c r="O834" s="160"/>
    </row>
    <row r="835" spans="1:24" ht="15" customHeight="1">
      <c r="A835" s="984"/>
      <c r="B835" s="984"/>
      <c r="C835" s="984"/>
      <c r="D835" s="984"/>
      <c r="E835" s="515"/>
      <c r="F835" s="517"/>
      <c r="G835" s="1091"/>
    </row>
    <row r="836" spans="1:24" ht="15" customHeight="1">
      <c r="A836" s="984"/>
      <c r="B836" s="1093"/>
      <c r="C836" s="1093"/>
      <c r="D836" s="984"/>
      <c r="E836" s="286"/>
      <c r="F836" s="417"/>
      <c r="G836" s="253"/>
    </row>
    <row r="837" spans="1:24" ht="15" customHeight="1">
      <c r="A837" s="984"/>
      <c r="B837" s="1093"/>
      <c r="C837" s="1093"/>
      <c r="D837" s="984"/>
      <c r="E837" s="286"/>
      <c r="F837" s="417"/>
      <c r="G837" s="253"/>
    </row>
    <row r="838" spans="1:24" ht="15" customHeight="1">
      <c r="A838" s="984"/>
      <c r="B838" s="1093"/>
      <c r="C838" s="1093"/>
      <c r="D838" s="984"/>
      <c r="E838" s="286"/>
      <c r="F838" s="417"/>
      <c r="G838" s="253"/>
    </row>
    <row r="839" spans="1:24" ht="15" customHeight="1">
      <c r="A839" s="984"/>
      <c r="B839" s="1051"/>
      <c r="C839" s="1051"/>
      <c r="D839" s="984"/>
      <c r="E839" s="286"/>
      <c r="F839" s="417"/>
      <c r="G839" s="253"/>
    </row>
    <row r="840" spans="1:24" ht="15" customHeight="1">
      <c r="A840" s="984"/>
      <c r="B840" s="1051"/>
      <c r="C840" s="1051"/>
      <c r="D840" s="984"/>
      <c r="E840" s="286"/>
      <c r="F840" s="417"/>
    </row>
    <row r="841" spans="1:24" ht="15" customHeight="1">
      <c r="A841" s="1084"/>
      <c r="B841" s="515"/>
      <c r="H841" s="180"/>
      <c r="J841" s="515"/>
      <c r="K841" s="516"/>
      <c r="L841" s="515"/>
      <c r="M841" s="517"/>
    </row>
    <row r="842" spans="1:24" ht="15" customHeight="1">
      <c r="A842" s="984"/>
      <c r="B842" s="984"/>
      <c r="D842" s="434"/>
      <c r="E842" s="434"/>
      <c r="H842" s="180"/>
      <c r="J842" s="1079" t="s">
        <v>311</v>
      </c>
      <c r="K842" s="1382"/>
      <c r="L842" s="1382"/>
      <c r="M842" s="1382"/>
      <c r="N842" s="1382"/>
      <c r="O842" s="1382"/>
      <c r="P842" s="1382"/>
      <c r="Q842" s="1382"/>
      <c r="R842" s="1382"/>
    </row>
    <row r="843" spans="1:24" ht="15.75" customHeight="1" thickBot="1">
      <c r="A843" s="984"/>
      <c r="B843" s="1051"/>
      <c r="H843" s="180"/>
      <c r="J843" s="1080" t="s">
        <v>1</v>
      </c>
      <c r="K843" s="466" t="s">
        <v>45</v>
      </c>
      <c r="L843" s="467" t="s">
        <v>46</v>
      </c>
      <c r="M843" s="468" t="s">
        <v>47</v>
      </c>
      <c r="N843" s="511" t="s">
        <v>48</v>
      </c>
      <c r="O843" s="512" t="s">
        <v>45</v>
      </c>
      <c r="P843" s="511" t="s">
        <v>46</v>
      </c>
      <c r="Q843" s="513" t="s">
        <v>47</v>
      </c>
      <c r="R843" s="511" t="s">
        <v>48</v>
      </c>
    </row>
    <row r="844" spans="1:24" ht="15.75" customHeight="1" thickBot="1">
      <c r="A844" s="984"/>
      <c r="B844" s="984"/>
      <c r="C844" s="984"/>
      <c r="D844" s="984"/>
      <c r="E844" s="984"/>
      <c r="F844" s="417"/>
      <c r="G844" s="379"/>
      <c r="J844" s="1082">
        <v>160</v>
      </c>
      <c r="K844" s="158">
        <f>Prod.!P396</f>
        <v>0</v>
      </c>
      <c r="L844" s="158">
        <f>Prod.!Q396</f>
        <v>0</v>
      </c>
      <c r="M844" s="158">
        <f>Prod.!R396</f>
        <v>0</v>
      </c>
      <c r="N844" s="158">
        <f>Prod.!S396</f>
        <v>0</v>
      </c>
      <c r="O844" s="158">
        <f>Prod.!V396</f>
        <v>0</v>
      </c>
      <c r="P844" s="158">
        <f>Prod.!W396</f>
        <v>0</v>
      </c>
      <c r="Q844" s="158">
        <f>Prod.!X396</f>
        <v>0</v>
      </c>
      <c r="R844" s="158">
        <f>Prod.!Y396</f>
        <v>0</v>
      </c>
      <c r="U844" s="1383" t="s">
        <v>230</v>
      </c>
      <c r="V844" s="1383"/>
      <c r="W844" s="1383"/>
      <c r="X844" s="1383"/>
    </row>
    <row r="845" spans="1:24" ht="15.75" customHeight="1" thickBot="1">
      <c r="A845" s="515"/>
      <c r="B845" s="516"/>
      <c r="C845" s="515"/>
      <c r="D845" s="517"/>
      <c r="E845" s="286"/>
      <c r="F845" s="417"/>
      <c r="G845" s="379"/>
      <c r="J845" s="1083">
        <v>110</v>
      </c>
      <c r="K845" s="514">
        <f>Prod.!J394</f>
        <v>0</v>
      </c>
      <c r="L845" s="514">
        <f>Prod.!K394</f>
        <v>0</v>
      </c>
      <c r="M845" s="518">
        <f>Prod.!L394</f>
        <v>0</v>
      </c>
      <c r="N845" s="514">
        <f>Prod.!M394</f>
        <v>0</v>
      </c>
      <c r="U845" s="1384">
        <f>A841</f>
        <v>0</v>
      </c>
      <c r="V845" s="1384"/>
      <c r="W845" s="453" t="s">
        <v>233</v>
      </c>
      <c r="X845" s="454" t="s">
        <v>234</v>
      </c>
    </row>
    <row r="846" spans="1:24" ht="15" customHeight="1">
      <c r="A846" s="515"/>
      <c r="B846" s="516"/>
      <c r="C846" s="515"/>
      <c r="D846" s="517"/>
      <c r="E846" s="286"/>
      <c r="F846" s="417"/>
      <c r="G846" s="379"/>
      <c r="J846" s="414"/>
      <c r="K846" s="414"/>
      <c r="L846" s="1385"/>
      <c r="M846" s="1385"/>
      <c r="N846" s="1385"/>
      <c r="O846" s="1385"/>
      <c r="P846" s="455"/>
      <c r="U846" s="231"/>
      <c r="X846" s="456"/>
    </row>
    <row r="847" spans="1:24" ht="15" customHeight="1">
      <c r="A847" s="515"/>
      <c r="B847" s="516"/>
      <c r="C847" s="515"/>
      <c r="D847" s="517"/>
      <c r="E847" s="929"/>
      <c r="F847" s="417"/>
      <c r="G847" s="379"/>
      <c r="J847" s="181"/>
      <c r="K847" s="508"/>
      <c r="L847" s="181"/>
      <c r="M847" s="508"/>
      <c r="N847" s="181"/>
      <c r="O847" s="508"/>
      <c r="U847" s="458">
        <f>E846</f>
        <v>0</v>
      </c>
      <c r="V847" s="282">
        <f>F846</f>
        <v>0</v>
      </c>
      <c r="W847" s="459"/>
      <c r="X847" s="460"/>
    </row>
    <row r="848" spans="1:24" ht="15" customHeight="1">
      <c r="A848" s="515"/>
      <c r="B848" s="516"/>
      <c r="C848" s="515"/>
      <c r="D848" s="517"/>
      <c r="E848" s="286"/>
      <c r="F848" s="417"/>
      <c r="G848" s="1048"/>
      <c r="K848" s="1382"/>
      <c r="L848" s="1382"/>
      <c r="M848" s="1382"/>
      <c r="N848" s="1382"/>
      <c r="O848" s="1382"/>
      <c r="P848" s="1382"/>
      <c r="Q848" s="1382"/>
      <c r="R848" s="1382"/>
      <c r="U848" s="462">
        <f t="shared" ref="U848:U852" si="61">E848</f>
        <v>0</v>
      </c>
      <c r="V848" s="463">
        <f t="shared" ref="V848:V852" si="62">F848</f>
        <v>0</v>
      </c>
      <c r="W848" s="464">
        <f t="shared" ref="W848:W852" si="63">G848</f>
        <v>0</v>
      </c>
      <c r="X848" s="465"/>
    </row>
    <row r="849" spans="1:24" ht="15" customHeight="1">
      <c r="A849" s="515"/>
      <c r="B849" s="516"/>
      <c r="C849" s="515"/>
      <c r="D849" s="517"/>
      <c r="E849" s="286"/>
      <c r="F849" s="417"/>
      <c r="G849" s="1048"/>
      <c r="J849" s="1080" t="s">
        <v>1</v>
      </c>
      <c r="K849" s="466" t="s">
        <v>45</v>
      </c>
      <c r="L849" s="467" t="s">
        <v>46</v>
      </c>
      <c r="M849" s="468" t="s">
        <v>47</v>
      </c>
      <c r="N849" s="467" t="s">
        <v>48</v>
      </c>
      <c r="O849" s="466" t="s">
        <v>45</v>
      </c>
      <c r="P849" s="467" t="s">
        <v>46</v>
      </c>
      <c r="Q849" s="468" t="s">
        <v>47</v>
      </c>
      <c r="R849" s="467" t="s">
        <v>48</v>
      </c>
      <c r="U849" s="374">
        <f t="shared" si="61"/>
        <v>0</v>
      </c>
      <c r="V849" s="282">
        <f t="shared" si="62"/>
        <v>0</v>
      </c>
      <c r="W849" s="469">
        <f t="shared" si="63"/>
        <v>0</v>
      </c>
      <c r="X849" s="465">
        <f>$I$1</f>
        <v>0</v>
      </c>
    </row>
    <row r="850" spans="1:24" ht="15" customHeight="1">
      <c r="A850" s="515"/>
      <c r="B850" s="516"/>
      <c r="C850" s="515"/>
      <c r="D850" s="517"/>
      <c r="E850" s="286"/>
      <c r="F850" s="417"/>
      <c r="G850" s="1048"/>
      <c r="J850" s="1081">
        <v>130</v>
      </c>
      <c r="K850" s="471">
        <f>Prod.!P395</f>
        <v>0</v>
      </c>
      <c r="L850" s="471">
        <f>Prod.!Q395</f>
        <v>0</v>
      </c>
      <c r="M850" s="471">
        <f>Prod.!R395</f>
        <v>0</v>
      </c>
      <c r="N850" s="471">
        <f>Prod.!S395</f>
        <v>0</v>
      </c>
      <c r="O850" s="471">
        <f>Prod.!V395</f>
        <v>0</v>
      </c>
      <c r="P850" s="471">
        <f>Prod.!W395</f>
        <v>0</v>
      </c>
      <c r="Q850" s="471">
        <f>Prod.!X395</f>
        <v>0</v>
      </c>
      <c r="R850" s="471">
        <f>Prod.!Y395</f>
        <v>0</v>
      </c>
      <c r="U850" s="374">
        <f t="shared" si="61"/>
        <v>0</v>
      </c>
      <c r="V850" s="282">
        <f t="shared" si="62"/>
        <v>0</v>
      </c>
      <c r="W850" s="469">
        <f t="shared" si="63"/>
        <v>0</v>
      </c>
      <c r="X850" s="465">
        <f>IFERROR($I$2,0)</f>
        <v>0</v>
      </c>
    </row>
    <row r="851" spans="1:24" ht="15" customHeight="1">
      <c r="A851" s="515"/>
      <c r="B851" s="516"/>
      <c r="C851" s="515"/>
      <c r="D851" s="517"/>
      <c r="E851" s="1085"/>
      <c r="F851" s="517"/>
      <c r="G851" s="1086"/>
      <c r="U851" s="374">
        <f t="shared" si="61"/>
        <v>0</v>
      </c>
      <c r="V851" s="282">
        <f t="shared" si="62"/>
        <v>0</v>
      </c>
      <c r="W851" s="469">
        <f t="shared" si="63"/>
        <v>0</v>
      </c>
      <c r="X851" s="475"/>
    </row>
    <row r="852" spans="1:24" ht="15" customHeight="1">
      <c r="A852" s="515"/>
      <c r="B852" s="516"/>
      <c r="C852" s="515"/>
      <c r="D852" s="517"/>
      <c r="E852" s="1085"/>
      <c r="F852" s="1087"/>
      <c r="G852" s="1088"/>
      <c r="U852" s="374">
        <f t="shared" si="61"/>
        <v>0</v>
      </c>
      <c r="V852" s="282">
        <f t="shared" si="62"/>
        <v>0</v>
      </c>
      <c r="W852" s="469">
        <f t="shared" si="63"/>
        <v>0</v>
      </c>
      <c r="X852" s="520">
        <f>IFERROR($I$3,0)</f>
        <v>0</v>
      </c>
    </row>
    <row r="853" spans="1:24" ht="15" customHeight="1">
      <c r="A853" s="515"/>
      <c r="B853" s="515"/>
      <c r="C853" s="515"/>
      <c r="D853" s="517"/>
      <c r="E853" s="1085"/>
      <c r="F853" s="417"/>
      <c r="G853" s="1089"/>
      <c r="J853" t="s">
        <v>65</v>
      </c>
      <c r="K853" s="181">
        <f>Prod.!C394</f>
        <v>0</v>
      </c>
      <c r="L853" s="181">
        <f>Prod.!D394</f>
        <v>0</v>
      </c>
      <c r="M853" s="181">
        <f>Prod.!E394</f>
        <v>0</v>
      </c>
      <c r="N853" s="160">
        <f>Prod.!F394</f>
        <v>0</v>
      </c>
      <c r="O853" s="160">
        <f>Prod.!G394</f>
        <v>0</v>
      </c>
      <c r="U853" s="374">
        <f>E853</f>
        <v>0</v>
      </c>
      <c r="V853" s="282">
        <f>F853-V856</f>
        <v>0</v>
      </c>
      <c r="W853" s="479"/>
      <c r="X853" s="456"/>
    </row>
    <row r="854" spans="1:24" ht="15" customHeight="1">
      <c r="A854" s="515"/>
      <c r="B854" s="515"/>
      <c r="C854" s="515"/>
      <c r="D854" s="984"/>
      <c r="E854" s="286"/>
      <c r="F854" s="417"/>
      <c r="G854" s="1090"/>
      <c r="J854" t="s">
        <v>67</v>
      </c>
      <c r="K854" s="181">
        <f>Prod.!C395</f>
        <v>0</v>
      </c>
      <c r="L854" s="181">
        <f>Prod.!D395</f>
        <v>0</v>
      </c>
      <c r="M854" s="181">
        <f>Prod.!E395</f>
        <v>0</v>
      </c>
      <c r="N854" s="160">
        <f>Prod.!F395</f>
        <v>0</v>
      </c>
      <c r="O854" s="160">
        <f>Prod.!G395</f>
        <v>0</v>
      </c>
      <c r="T854" s="160"/>
      <c r="U854" s="374">
        <f>E854</f>
        <v>0</v>
      </c>
      <c r="V854" s="282">
        <f>F854</f>
        <v>0</v>
      </c>
      <c r="W854" s="479"/>
      <c r="X854" s="456"/>
    </row>
    <row r="855" spans="1:24" ht="15.75" customHeight="1" thickBot="1">
      <c r="A855" s="515"/>
      <c r="B855" s="515"/>
      <c r="C855" s="515"/>
      <c r="D855" s="517"/>
      <c r="E855" s="286"/>
      <c r="F855" s="417"/>
      <c r="G855" s="379"/>
      <c r="U855" s="374">
        <f>E855</f>
        <v>0</v>
      </c>
      <c r="V855" s="282">
        <f>F855</f>
        <v>0</v>
      </c>
      <c r="W855" s="479"/>
      <c r="X855" s="456"/>
    </row>
    <row r="856" spans="1:24" ht="14.25" customHeight="1" thickBot="1">
      <c r="A856" s="515"/>
      <c r="B856" s="515"/>
      <c r="C856" s="515"/>
      <c r="D856" s="517"/>
      <c r="E856" s="286"/>
      <c r="F856" s="417"/>
      <c r="G856" s="379"/>
      <c r="L856" s="1381" t="s">
        <v>7</v>
      </c>
      <c r="M856" s="1381"/>
      <c r="N856" s="1381"/>
      <c r="U856" s="374">
        <f>E860</f>
        <v>0</v>
      </c>
      <c r="V856" s="282">
        <f>F860</f>
        <v>0</v>
      </c>
      <c r="W856" s="479"/>
      <c r="X856" s="456"/>
    </row>
    <row r="857" spans="1:24" ht="14.25" customHeight="1" thickBot="1">
      <c r="A857" s="515"/>
      <c r="B857" s="515"/>
      <c r="C857" s="515"/>
      <c r="D857" s="517"/>
      <c r="E857" s="286"/>
      <c r="F857" s="417"/>
      <c r="G857" s="379"/>
      <c r="K857" s="163">
        <v>160</v>
      </c>
      <c r="L857" s="1381"/>
      <c r="M857" s="1381"/>
      <c r="N857" s="1381"/>
      <c r="U857" s="483" t="s">
        <v>255</v>
      </c>
      <c r="V857" s="484">
        <f>V847+V848+V849+V850+V851+V852+V853+V854+V855+V856</f>
        <v>0</v>
      </c>
      <c r="W857" s="485"/>
      <c r="X857" s="454"/>
    </row>
    <row r="858" spans="1:24" ht="18" customHeight="1" thickBot="1">
      <c r="A858" s="515"/>
      <c r="B858" s="515"/>
      <c r="C858" s="515"/>
      <c r="D858" s="517"/>
      <c r="E858" s="286"/>
      <c r="F858" s="417"/>
      <c r="G858" s="379"/>
      <c r="L858" s="1381"/>
      <c r="M858" s="1381"/>
      <c r="N858" s="1381"/>
    </row>
    <row r="859" spans="1:24" ht="15" customHeight="1">
      <c r="A859" s="515"/>
      <c r="B859" s="515"/>
      <c r="C859" s="515"/>
      <c r="D859" s="517"/>
      <c r="E859" s="286"/>
      <c r="F859" s="417"/>
      <c r="G859" s="417"/>
      <c r="L859" s="175">
        <f>Prod.!AP391</f>
        <v>6</v>
      </c>
      <c r="M859" s="176">
        <f>Prod.!AQ391</f>
        <v>0</v>
      </c>
      <c r="N859" s="486">
        <f>Prod.!AR391</f>
        <v>0</v>
      </c>
    </row>
    <row r="860" spans="1:24" ht="15" customHeight="1">
      <c r="A860" s="515"/>
      <c r="B860" s="515"/>
      <c r="C860" s="515"/>
      <c r="D860" s="984"/>
      <c r="E860" s="286"/>
      <c r="F860" s="417"/>
      <c r="G860" s="1091"/>
      <c r="L860" s="170">
        <f>Prod.!AP392</f>
        <v>5</v>
      </c>
      <c r="M860" s="171">
        <f>Prod.!AQ392</f>
        <v>0</v>
      </c>
      <c r="N860" s="100">
        <f>Prod.!AR392</f>
        <v>0</v>
      </c>
    </row>
    <row r="861" spans="1:24" ht="15" customHeight="1">
      <c r="A861" s="515"/>
      <c r="B861" s="516"/>
      <c r="C861" s="515"/>
      <c r="D861" s="517"/>
      <c r="E861" s="286"/>
      <c r="F861" s="277"/>
      <c r="G861" s="160"/>
      <c r="L861" s="170">
        <f>Prod.!AP393</f>
        <v>4</v>
      </c>
      <c r="M861" s="171">
        <f>Prod.!AQ393</f>
        <v>0</v>
      </c>
      <c r="N861" s="100">
        <f>Prod.!AR393</f>
        <v>0</v>
      </c>
    </row>
    <row r="862" spans="1:24" ht="15.75" customHeight="1">
      <c r="A862" s="515"/>
      <c r="B862" s="516"/>
      <c r="C862" s="515"/>
      <c r="D862" s="517"/>
      <c r="E862" s="1287"/>
      <c r="F862" s="1287"/>
      <c r="G862" s="379"/>
      <c r="L862" s="170">
        <f>Prod.!AP394</f>
        <v>3</v>
      </c>
      <c r="M862" s="171">
        <f>Prod.!AQ394</f>
        <v>0</v>
      </c>
      <c r="N862" s="100">
        <f>Prod.!AR394</f>
        <v>0</v>
      </c>
      <c r="O862" s="293" t="e">
        <f>N863/((L862*M862)+(L861*M861)+(L860*M860)+(L859*M859))</f>
        <v>#DIV/0!</v>
      </c>
    </row>
    <row r="863" spans="1:24" ht="15.75" customHeight="1">
      <c r="A863" s="515"/>
      <c r="B863" s="515"/>
      <c r="C863" s="515"/>
      <c r="D863" s="517"/>
      <c r="E863" s="984"/>
      <c r="F863" s="1044"/>
      <c r="G863" s="417"/>
      <c r="L863" s="173"/>
      <c r="M863" s="174"/>
      <c r="N863" s="491">
        <f>Prod.!AR395</f>
        <v>0</v>
      </c>
    </row>
    <row r="864" spans="1:24" ht="15" customHeight="1">
      <c r="A864" s="515"/>
      <c r="B864" s="516"/>
      <c r="C864" s="515"/>
      <c r="D864" s="517"/>
      <c r="E864" s="984"/>
      <c r="F864" s="1044"/>
      <c r="G864" s="417"/>
    </row>
    <row r="865" spans="1:15" ht="15" customHeight="1">
      <c r="A865" s="515"/>
      <c r="B865" s="516"/>
      <c r="C865" s="515"/>
      <c r="D865" s="517"/>
      <c r="E865" s="984"/>
      <c r="F865" s="1044"/>
      <c r="G865" s="417"/>
    </row>
    <row r="866" spans="1:15" ht="14.25" customHeight="1">
      <c r="A866" s="515"/>
      <c r="B866" s="515"/>
      <c r="C866" s="515"/>
      <c r="D866" s="517"/>
      <c r="E866" s="984"/>
      <c r="F866" s="1044"/>
      <c r="G866" s="417"/>
    </row>
    <row r="867" spans="1:15" ht="15" customHeight="1">
      <c r="A867" s="515"/>
      <c r="B867" s="516"/>
      <c r="C867" s="515"/>
      <c r="D867" s="517"/>
      <c r="E867" s="984"/>
      <c r="F867" s="172"/>
      <c r="G867" s="417"/>
      <c r="L867" s="1381" t="s">
        <v>7</v>
      </c>
      <c r="M867" s="1381"/>
      <c r="N867" s="1381"/>
    </row>
    <row r="868" spans="1:15" ht="15" customHeight="1">
      <c r="A868" s="515"/>
      <c r="B868" s="516"/>
      <c r="C868" s="515"/>
      <c r="D868" s="517"/>
      <c r="E868" s="984"/>
      <c r="F868" s="493"/>
      <c r="G868" s="417"/>
      <c r="K868" s="163">
        <v>130</v>
      </c>
      <c r="L868" s="1381"/>
      <c r="M868" s="1381"/>
      <c r="N868" s="1381"/>
    </row>
    <row r="869" spans="1:15" ht="15" customHeight="1">
      <c r="A869" s="515"/>
      <c r="B869" s="516"/>
      <c r="C869" s="515"/>
      <c r="D869" s="517"/>
      <c r="E869" s="984"/>
      <c r="F869" s="517"/>
      <c r="G869" s="160"/>
      <c r="L869" s="1381"/>
      <c r="M869" s="1381"/>
      <c r="N869" s="1381"/>
    </row>
    <row r="870" spans="1:15" ht="15" customHeight="1">
      <c r="A870" s="515"/>
      <c r="B870" s="516"/>
      <c r="C870" s="515"/>
      <c r="D870" s="517"/>
      <c r="E870" s="984"/>
      <c r="F870" s="517"/>
      <c r="L870" s="175">
        <f>Prod.!AP383</f>
        <v>6</v>
      </c>
      <c r="M870" s="176">
        <f>Prod.!AQ383</f>
        <v>0</v>
      </c>
      <c r="N870" s="486">
        <f>Prod.!AR383</f>
        <v>0</v>
      </c>
    </row>
    <row r="871" spans="1:15" ht="15" customHeight="1">
      <c r="A871" s="515"/>
      <c r="B871" s="515"/>
      <c r="C871" s="515"/>
      <c r="D871" s="517"/>
      <c r="E871" s="984"/>
      <c r="F871" s="254"/>
      <c r="L871" s="170">
        <f>Prod.!AP384</f>
        <v>5</v>
      </c>
      <c r="M871" s="171">
        <f>Prod.!AQ384</f>
        <v>0</v>
      </c>
      <c r="N871" s="100">
        <f>Prod.!AR384</f>
        <v>0</v>
      </c>
      <c r="O871" s="160"/>
    </row>
    <row r="872" spans="1:15" ht="15" customHeight="1">
      <c r="A872" s="515"/>
      <c r="B872" s="515"/>
      <c r="C872" s="515"/>
      <c r="D872" s="517"/>
      <c r="E872" s="984"/>
      <c r="F872" s="254"/>
      <c r="L872" s="170">
        <f>Prod.!AP385</f>
        <v>4</v>
      </c>
      <c r="M872" s="171">
        <f>Prod.!AQ385</f>
        <v>0</v>
      </c>
      <c r="N872" s="100">
        <f>Prod.!AR385</f>
        <v>0</v>
      </c>
      <c r="O872" s="160"/>
    </row>
    <row r="873" spans="1:15" ht="15.75" customHeight="1">
      <c r="A873" s="515"/>
      <c r="B873" s="515"/>
      <c r="C873" s="515"/>
      <c r="D873" s="517"/>
      <c r="E873" s="984"/>
      <c r="F873" s="536"/>
      <c r="L873" s="170">
        <f>Prod.!AP386</f>
        <v>3</v>
      </c>
      <c r="M873" s="172">
        <f>Prod.!AQ386</f>
        <v>0</v>
      </c>
      <c r="N873" s="100">
        <f>Prod.!AR386</f>
        <v>0</v>
      </c>
      <c r="O873" t="e">
        <f>N874/((L873*M873)+(L872*M872)+(L871*M871)+(L870*M870))</f>
        <v>#DIV/0!</v>
      </c>
    </row>
    <row r="874" spans="1:15" ht="15.75" customHeight="1">
      <c r="A874" s="515"/>
      <c r="B874" s="515"/>
      <c r="C874" s="515"/>
      <c r="D874" s="434"/>
      <c r="E874" s="984"/>
      <c r="F874" s="1092"/>
      <c r="L874" s="173"/>
      <c r="M874" s="174"/>
      <c r="N874" s="491">
        <f>Prod.!AR387</f>
        <v>0</v>
      </c>
      <c r="O874" s="160"/>
    </row>
    <row r="875" spans="1:15" ht="15" customHeight="1">
      <c r="A875" s="984"/>
      <c r="B875" s="984"/>
      <c r="C875" s="984"/>
      <c r="D875" s="984"/>
      <c r="E875" s="515"/>
      <c r="F875" s="517"/>
      <c r="G875" s="1091"/>
    </row>
    <row r="876" spans="1:15" ht="15" customHeight="1">
      <c r="A876" s="984"/>
      <c r="B876" s="1093"/>
      <c r="C876" s="1093"/>
      <c r="D876" s="984"/>
      <c r="E876" s="286"/>
      <c r="F876" s="417"/>
      <c r="G876" s="253"/>
    </row>
    <row r="877" spans="1:15" ht="15" customHeight="1">
      <c r="A877" s="984"/>
      <c r="B877" s="1093"/>
      <c r="C877" s="1093"/>
      <c r="D877" s="984"/>
      <c r="E877" s="286"/>
      <c r="F877" s="417"/>
      <c r="G877" s="253"/>
    </row>
    <row r="878" spans="1:15" ht="15" customHeight="1">
      <c r="A878" s="984"/>
      <c r="B878" s="1093"/>
      <c r="C878" s="1093"/>
      <c r="D878" s="984"/>
      <c r="E878" s="286"/>
      <c r="F878" s="417"/>
      <c r="G878" s="253"/>
    </row>
    <row r="879" spans="1:15" ht="15" customHeight="1">
      <c r="A879" s="984"/>
      <c r="B879" s="1051"/>
      <c r="C879" s="1051"/>
      <c r="D879" s="984"/>
      <c r="E879" s="286"/>
      <c r="F879" s="417"/>
      <c r="G879" s="253"/>
    </row>
    <row r="880" spans="1:15" ht="15" customHeight="1">
      <c r="A880" s="984"/>
      <c r="B880" s="1051"/>
      <c r="C880" s="1051"/>
      <c r="D880" s="984"/>
      <c r="E880" s="286"/>
      <c r="F880" s="417"/>
    </row>
    <row r="881" spans="1:24" ht="15" customHeight="1">
      <c r="A881" s="1084"/>
      <c r="B881" s="515"/>
      <c r="H881" s="180"/>
      <c r="J881" s="515"/>
      <c r="K881" s="516"/>
      <c r="L881" s="515"/>
      <c r="M881" s="517"/>
    </row>
    <row r="882" spans="1:24" ht="15" customHeight="1">
      <c r="A882" s="984"/>
      <c r="B882" s="984"/>
      <c r="D882" s="434"/>
      <c r="E882" s="434"/>
      <c r="H882" s="180"/>
      <c r="J882" s="1079" t="s">
        <v>312</v>
      </c>
      <c r="K882" s="1382"/>
      <c r="L882" s="1382"/>
      <c r="M882" s="1382"/>
      <c r="N882" s="1382"/>
      <c r="O882" s="1382"/>
      <c r="P882" s="1382"/>
      <c r="Q882" s="1382"/>
      <c r="R882" s="1382"/>
    </row>
    <row r="883" spans="1:24" ht="15.75" customHeight="1" thickBot="1">
      <c r="A883" s="984"/>
      <c r="B883" s="1051"/>
      <c r="H883" s="180"/>
      <c r="J883" s="1080" t="s">
        <v>1</v>
      </c>
      <c r="K883" s="466" t="s">
        <v>45</v>
      </c>
      <c r="L883" s="467" t="s">
        <v>46</v>
      </c>
      <c r="M883" s="468" t="s">
        <v>47</v>
      </c>
      <c r="N883" s="511" t="s">
        <v>48</v>
      </c>
      <c r="O883" s="512" t="s">
        <v>45</v>
      </c>
      <c r="P883" s="511" t="s">
        <v>46</v>
      </c>
      <c r="Q883" s="513" t="s">
        <v>47</v>
      </c>
      <c r="R883" s="511" t="s">
        <v>48</v>
      </c>
    </row>
    <row r="884" spans="1:24" ht="15.75" customHeight="1" thickBot="1">
      <c r="A884" s="984"/>
      <c r="B884" s="984"/>
      <c r="C884" s="984"/>
      <c r="D884" s="984"/>
      <c r="E884" s="984"/>
      <c r="F884" s="417"/>
      <c r="G884" s="379"/>
      <c r="J884" s="1082">
        <v>160</v>
      </c>
      <c r="K884" s="158">
        <f>Prod.!P414</f>
        <v>0</v>
      </c>
      <c r="L884" s="158">
        <f>Prod.!Q414</f>
        <v>0</v>
      </c>
      <c r="M884" s="158">
        <f>Prod.!R414</f>
        <v>0</v>
      </c>
      <c r="N884" s="158">
        <f>Prod.!S414</f>
        <v>0</v>
      </c>
      <c r="O884" s="158">
        <f>Prod.!V414</f>
        <v>0</v>
      </c>
      <c r="P884" s="158">
        <f>Prod.!W414</f>
        <v>0</v>
      </c>
      <c r="Q884" s="158">
        <f>Prod.!X414</f>
        <v>0</v>
      </c>
      <c r="R884" s="158">
        <f>Prod.!Y414</f>
        <v>0</v>
      </c>
      <c r="U884" s="1383" t="s">
        <v>230</v>
      </c>
      <c r="V884" s="1383"/>
      <c r="W884" s="1383"/>
      <c r="X884" s="1383"/>
    </row>
    <row r="885" spans="1:24" ht="15.75" customHeight="1" thickBot="1">
      <c r="A885" s="515"/>
      <c r="B885" s="516"/>
      <c r="C885" s="515"/>
      <c r="D885" s="517"/>
      <c r="E885" s="286"/>
      <c r="F885" s="417"/>
      <c r="G885" s="379"/>
      <c r="J885" s="1083">
        <v>110</v>
      </c>
      <c r="K885" s="514">
        <f>Prod.!J412</f>
        <v>0</v>
      </c>
      <c r="L885" s="514">
        <f>Prod.!K412</f>
        <v>0</v>
      </c>
      <c r="M885" s="518">
        <f>Prod.!L412</f>
        <v>0</v>
      </c>
      <c r="N885" s="514">
        <f>Prod.!M412</f>
        <v>0</v>
      </c>
      <c r="U885" s="1384">
        <f>A881</f>
        <v>0</v>
      </c>
      <c r="V885" s="1384"/>
      <c r="W885" s="453" t="s">
        <v>233</v>
      </c>
      <c r="X885" s="454" t="s">
        <v>234</v>
      </c>
    </row>
    <row r="886" spans="1:24" ht="15" customHeight="1">
      <c r="A886" s="515"/>
      <c r="B886" s="516"/>
      <c r="C886" s="515"/>
      <c r="D886" s="517"/>
      <c r="E886" s="286"/>
      <c r="F886" s="417"/>
      <c r="G886" s="379"/>
      <c r="J886" s="414"/>
      <c r="K886" s="414"/>
      <c r="L886" s="1385"/>
      <c r="M886" s="1385"/>
      <c r="N886" s="1385"/>
      <c r="O886" s="1385"/>
      <c r="P886" s="455"/>
      <c r="U886" s="231"/>
      <c r="X886" s="456"/>
    </row>
    <row r="887" spans="1:24" ht="15" customHeight="1">
      <c r="A887" s="515"/>
      <c r="B887" s="516"/>
      <c r="C887" s="515"/>
      <c r="D887" s="517"/>
      <c r="E887" s="929"/>
      <c r="F887" s="417"/>
      <c r="G887" s="379"/>
      <c r="J887" s="181"/>
      <c r="K887" s="508"/>
      <c r="L887" s="181"/>
      <c r="M887" s="508"/>
      <c r="N887" s="181"/>
      <c r="O887" s="508"/>
      <c r="U887" s="458">
        <f>E886</f>
        <v>0</v>
      </c>
      <c r="V887" s="282">
        <f>F886</f>
        <v>0</v>
      </c>
      <c r="W887" s="459"/>
      <c r="X887" s="460"/>
    </row>
    <row r="888" spans="1:24" ht="15" customHeight="1">
      <c r="A888" s="515"/>
      <c r="B888" s="516"/>
      <c r="C888" s="515"/>
      <c r="D888" s="517"/>
      <c r="E888" s="286"/>
      <c r="F888" s="417"/>
      <c r="G888" s="1048"/>
      <c r="K888" s="1382"/>
      <c r="L888" s="1382"/>
      <c r="M888" s="1382"/>
      <c r="N888" s="1382"/>
      <c r="O888" s="1382"/>
      <c r="P888" s="1382"/>
      <c r="Q888" s="1382"/>
      <c r="R888" s="1382"/>
      <c r="U888" s="462">
        <f t="shared" ref="U888:U892" si="64">E888</f>
        <v>0</v>
      </c>
      <c r="V888" s="463">
        <f t="shared" ref="V888:V892" si="65">F888</f>
        <v>0</v>
      </c>
      <c r="W888" s="464">
        <f t="shared" ref="W888:W892" si="66">G888</f>
        <v>0</v>
      </c>
      <c r="X888" s="465"/>
    </row>
    <row r="889" spans="1:24" ht="15" customHeight="1">
      <c r="A889" s="515"/>
      <c r="B889" s="516"/>
      <c r="C889" s="515"/>
      <c r="D889" s="517"/>
      <c r="E889" s="286"/>
      <c r="F889" s="417"/>
      <c r="G889" s="1048"/>
      <c r="J889" s="1080" t="s">
        <v>1</v>
      </c>
      <c r="K889" s="466" t="s">
        <v>45</v>
      </c>
      <c r="L889" s="467" t="s">
        <v>46</v>
      </c>
      <c r="M889" s="468" t="s">
        <v>47</v>
      </c>
      <c r="N889" s="467" t="s">
        <v>48</v>
      </c>
      <c r="O889" s="466" t="s">
        <v>45</v>
      </c>
      <c r="P889" s="467" t="s">
        <v>46</v>
      </c>
      <c r="Q889" s="468" t="s">
        <v>47</v>
      </c>
      <c r="R889" s="467" t="s">
        <v>48</v>
      </c>
      <c r="U889" s="374">
        <f t="shared" si="64"/>
        <v>0</v>
      </c>
      <c r="V889" s="282">
        <f t="shared" si="65"/>
        <v>0</v>
      </c>
      <c r="W889" s="469">
        <f t="shared" si="66"/>
        <v>0</v>
      </c>
      <c r="X889" s="465">
        <f>$I$1</f>
        <v>0</v>
      </c>
    </row>
    <row r="890" spans="1:24" ht="15" customHeight="1">
      <c r="A890" s="515"/>
      <c r="B890" s="516"/>
      <c r="C890" s="515"/>
      <c r="D890" s="517"/>
      <c r="E890" s="286"/>
      <c r="F890" s="417"/>
      <c r="G890" s="1048"/>
      <c r="J890" s="1081">
        <v>130</v>
      </c>
      <c r="K890" s="471">
        <f>Prod.!P413</f>
        <v>0</v>
      </c>
      <c r="L890" s="471">
        <f>Prod.!Q413</f>
        <v>0</v>
      </c>
      <c r="M890" s="471">
        <f>Prod.!R413</f>
        <v>0</v>
      </c>
      <c r="N890" s="471">
        <f>Prod.!S413</f>
        <v>0</v>
      </c>
      <c r="O890" s="471">
        <f>Prod.!V413</f>
        <v>0</v>
      </c>
      <c r="P890" s="471">
        <f>Prod.!W413</f>
        <v>0</v>
      </c>
      <c r="Q890" s="471">
        <f>Prod.!X413</f>
        <v>0</v>
      </c>
      <c r="R890" s="471">
        <f>Prod.!Y413</f>
        <v>0</v>
      </c>
      <c r="U890" s="374">
        <f t="shared" si="64"/>
        <v>0</v>
      </c>
      <c r="V890" s="282">
        <f t="shared" si="65"/>
        <v>0</v>
      </c>
      <c r="W890" s="469">
        <f t="shared" si="66"/>
        <v>0</v>
      </c>
      <c r="X890" s="465">
        <f>IFERROR($I$2,0)</f>
        <v>0</v>
      </c>
    </row>
    <row r="891" spans="1:24" ht="15" customHeight="1">
      <c r="A891" s="515"/>
      <c r="B891" s="516"/>
      <c r="C891" s="515"/>
      <c r="D891" s="517"/>
      <c r="E891" s="1085"/>
      <c r="F891" s="517"/>
      <c r="G891" s="1086"/>
      <c r="U891" s="374">
        <f t="shared" si="64"/>
        <v>0</v>
      </c>
      <c r="V891" s="282">
        <f t="shared" si="65"/>
        <v>0</v>
      </c>
      <c r="W891" s="469">
        <f t="shared" si="66"/>
        <v>0</v>
      </c>
      <c r="X891" s="475"/>
    </row>
    <row r="892" spans="1:24" ht="15" customHeight="1">
      <c r="A892" s="515"/>
      <c r="B892" s="516"/>
      <c r="C892" s="515"/>
      <c r="D892" s="517"/>
      <c r="E892" s="1085"/>
      <c r="F892" s="1087"/>
      <c r="G892" s="1088"/>
      <c r="U892" s="374">
        <f t="shared" si="64"/>
        <v>0</v>
      </c>
      <c r="V892" s="282">
        <f t="shared" si="65"/>
        <v>0</v>
      </c>
      <c r="W892" s="469">
        <f t="shared" si="66"/>
        <v>0</v>
      </c>
      <c r="X892" s="520">
        <f>IFERROR($I$3,0)</f>
        <v>0</v>
      </c>
    </row>
    <row r="893" spans="1:24" ht="15" customHeight="1">
      <c r="A893" s="515"/>
      <c r="B893" s="515"/>
      <c r="C893" s="515"/>
      <c r="D893" s="517"/>
      <c r="E893" s="1085"/>
      <c r="F893" s="417"/>
      <c r="G893" s="1089"/>
      <c r="J893" t="s">
        <v>65</v>
      </c>
      <c r="K893" s="181">
        <f>Prod.!C412</f>
        <v>0</v>
      </c>
      <c r="L893" s="181">
        <f>Prod.!D412</f>
        <v>0</v>
      </c>
      <c r="M893" s="181">
        <f>Prod.!E412</f>
        <v>0</v>
      </c>
      <c r="N893" s="160">
        <f>Prod.!F412</f>
        <v>0</v>
      </c>
      <c r="O893" s="160">
        <f>Prod.!G412</f>
        <v>0</v>
      </c>
      <c r="U893" s="374">
        <f>E893</f>
        <v>0</v>
      </c>
      <c r="V893" s="282">
        <f>F893-V896</f>
        <v>0</v>
      </c>
      <c r="W893" s="479"/>
      <c r="X893" s="456"/>
    </row>
    <row r="894" spans="1:24" ht="15" customHeight="1">
      <c r="A894" s="515"/>
      <c r="B894" s="515"/>
      <c r="C894" s="515"/>
      <c r="D894" s="984"/>
      <c r="E894" s="286"/>
      <c r="F894" s="417"/>
      <c r="G894" s="1090"/>
      <c r="J894" t="s">
        <v>67</v>
      </c>
      <c r="K894" s="181">
        <f>Prod.!C413</f>
        <v>0</v>
      </c>
      <c r="L894" s="181">
        <f>Prod.!D413</f>
        <v>0</v>
      </c>
      <c r="M894" s="181">
        <f>Prod.!E413</f>
        <v>0</v>
      </c>
      <c r="N894" s="160">
        <f>Prod.!F413</f>
        <v>0</v>
      </c>
      <c r="O894" s="160">
        <f>Prod.!G413</f>
        <v>0</v>
      </c>
      <c r="T894" s="160"/>
      <c r="U894" s="374">
        <f>E894</f>
        <v>0</v>
      </c>
      <c r="V894" s="282">
        <f>F894</f>
        <v>0</v>
      </c>
      <c r="W894" s="479"/>
      <c r="X894" s="456"/>
    </row>
    <row r="895" spans="1:24" ht="15.75" customHeight="1" thickBot="1">
      <c r="A895" s="515"/>
      <c r="B895" s="515"/>
      <c r="C895" s="515"/>
      <c r="D895" s="517"/>
      <c r="E895" s="286"/>
      <c r="F895" s="417"/>
      <c r="G895" s="379"/>
      <c r="U895" s="374">
        <f>E895</f>
        <v>0</v>
      </c>
      <c r="V895" s="282">
        <f>F895</f>
        <v>0</v>
      </c>
      <c r="W895" s="479"/>
      <c r="X895" s="456"/>
    </row>
    <row r="896" spans="1:24" ht="14.25" customHeight="1" thickBot="1">
      <c r="A896" s="515"/>
      <c r="B896" s="515"/>
      <c r="C896" s="515"/>
      <c r="D896" s="517"/>
      <c r="E896" s="286"/>
      <c r="F896" s="417"/>
      <c r="G896" s="379"/>
      <c r="L896" s="1381" t="s">
        <v>7</v>
      </c>
      <c r="M896" s="1381"/>
      <c r="N896" s="1381"/>
      <c r="U896" s="374">
        <f>E900</f>
        <v>0</v>
      </c>
      <c r="V896" s="282">
        <f>F900</f>
        <v>0</v>
      </c>
      <c r="W896" s="479"/>
      <c r="X896" s="456"/>
    </row>
    <row r="897" spans="1:24" ht="19.5" customHeight="1" thickBot="1">
      <c r="A897" s="515"/>
      <c r="B897" s="515"/>
      <c r="C897" s="515"/>
      <c r="D897" s="517"/>
      <c r="E897" s="286"/>
      <c r="F897" s="417"/>
      <c r="G897" s="379"/>
      <c r="K897" s="163">
        <v>160</v>
      </c>
      <c r="L897" s="1381"/>
      <c r="M897" s="1381"/>
      <c r="N897" s="1381"/>
      <c r="U897" s="483" t="s">
        <v>255</v>
      </c>
      <c r="V897" s="484">
        <f>V887+V888+V889+V890+V891+V892+V893+V894+V895+V896</f>
        <v>0</v>
      </c>
      <c r="W897" s="485"/>
      <c r="X897" s="454"/>
    </row>
    <row r="898" spans="1:24" ht="18" customHeight="1" thickBot="1">
      <c r="A898" s="515"/>
      <c r="B898" s="515"/>
      <c r="C898" s="515"/>
      <c r="D898" s="517"/>
      <c r="E898" s="286"/>
      <c r="F898" s="417"/>
      <c r="G898" s="379"/>
      <c r="L898" s="1381"/>
      <c r="M898" s="1381"/>
      <c r="N898" s="1381"/>
    </row>
    <row r="899" spans="1:24" ht="15" customHeight="1">
      <c r="A899" s="515"/>
      <c r="B899" s="515"/>
      <c r="C899" s="515"/>
      <c r="D899" s="517"/>
      <c r="E899" s="286"/>
      <c r="F899" s="417"/>
      <c r="G899" s="417"/>
      <c r="L899" s="175">
        <f>Prod.!AP409</f>
        <v>6</v>
      </c>
      <c r="M899" s="176">
        <f>Prod.!AQ409</f>
        <v>0</v>
      </c>
      <c r="N899" s="486">
        <f>Prod.!AR409</f>
        <v>0</v>
      </c>
    </row>
    <row r="900" spans="1:24" ht="15" customHeight="1">
      <c r="A900" s="515"/>
      <c r="B900" s="515"/>
      <c r="C900" s="515"/>
      <c r="D900" s="984"/>
      <c r="E900" s="286"/>
      <c r="F900" s="417"/>
      <c r="G900" s="1091"/>
      <c r="L900" s="170">
        <f>Prod.!AP410</f>
        <v>5</v>
      </c>
      <c r="M900" s="171">
        <f>Prod.!AQ410</f>
        <v>0</v>
      </c>
      <c r="N900" s="100">
        <f>Prod.!AR410</f>
        <v>0</v>
      </c>
    </row>
    <row r="901" spans="1:24" ht="15" customHeight="1">
      <c r="A901" s="515"/>
      <c r="B901" s="516"/>
      <c r="C901" s="515"/>
      <c r="D901" s="517"/>
      <c r="E901" s="286"/>
      <c r="F901" s="277"/>
      <c r="G901" s="160"/>
      <c r="L901" s="170">
        <f>Prod.!AP411</f>
        <v>4</v>
      </c>
      <c r="M901" s="171">
        <f>Prod.!AQ411</f>
        <v>0</v>
      </c>
      <c r="N901" s="100">
        <f>Prod.!AR411</f>
        <v>0</v>
      </c>
    </row>
    <row r="902" spans="1:24" ht="15.75" customHeight="1">
      <c r="A902" s="515"/>
      <c r="B902" s="516"/>
      <c r="C902" s="515"/>
      <c r="D902" s="517"/>
      <c r="E902" s="1287"/>
      <c r="F902" s="1287"/>
      <c r="G902" s="379"/>
      <c r="L902" s="170">
        <f>Prod.!AP412</f>
        <v>3</v>
      </c>
      <c r="M902" s="171">
        <f>Prod.!AQ412</f>
        <v>0</v>
      </c>
      <c r="N902" s="100">
        <f>Prod.!AR412</f>
        <v>0</v>
      </c>
      <c r="O902" s="293" t="e">
        <f>N903/((L902*M902)+(L901*M901)+(L900*M900)+(L899*M899))</f>
        <v>#DIV/0!</v>
      </c>
    </row>
    <row r="903" spans="1:24" ht="15.75" customHeight="1">
      <c r="A903" s="515"/>
      <c r="B903" s="515"/>
      <c r="C903" s="515"/>
      <c r="D903" s="517"/>
      <c r="E903" s="984"/>
      <c r="F903" s="1044"/>
      <c r="G903" s="417"/>
      <c r="L903" s="173"/>
      <c r="M903" s="174"/>
      <c r="N903" s="491">
        <f>Prod.!AR413</f>
        <v>0</v>
      </c>
    </row>
    <row r="904" spans="1:24" ht="15" customHeight="1">
      <c r="A904" s="515"/>
      <c r="B904" s="516"/>
      <c r="C904" s="515"/>
      <c r="D904" s="517"/>
      <c r="E904" s="984"/>
      <c r="F904" s="1044"/>
      <c r="G904" s="417"/>
    </row>
    <row r="905" spans="1:24" ht="15" customHeight="1">
      <c r="A905" s="515"/>
      <c r="B905" s="516"/>
      <c r="C905" s="515"/>
      <c r="D905" s="517"/>
      <c r="E905" s="984"/>
      <c r="F905" s="1044"/>
      <c r="G905" s="417"/>
    </row>
    <row r="906" spans="1:24" ht="14.25" customHeight="1">
      <c r="A906" s="515"/>
      <c r="B906" s="515"/>
      <c r="C906" s="515"/>
      <c r="D906" s="517"/>
      <c r="E906" s="984"/>
      <c r="F906" s="1044"/>
      <c r="G906" s="417"/>
    </row>
    <row r="907" spans="1:24" ht="15" customHeight="1">
      <c r="A907" s="515"/>
      <c r="B907" s="516"/>
      <c r="C907" s="515"/>
      <c r="D907" s="517"/>
      <c r="E907" s="984"/>
      <c r="F907" s="172"/>
      <c r="G907" s="417"/>
      <c r="L907" s="1381" t="s">
        <v>7</v>
      </c>
      <c r="M907" s="1381"/>
      <c r="N907" s="1381"/>
    </row>
    <row r="908" spans="1:24" ht="15" customHeight="1">
      <c r="A908" s="515"/>
      <c r="B908" s="516"/>
      <c r="C908" s="515"/>
      <c r="D908" s="517"/>
      <c r="E908" s="984"/>
      <c r="F908" s="493"/>
      <c r="G908" s="417"/>
      <c r="K908" s="163">
        <v>130</v>
      </c>
      <c r="L908" s="1381"/>
      <c r="M908" s="1381"/>
      <c r="N908" s="1381"/>
    </row>
    <row r="909" spans="1:24" ht="15" customHeight="1">
      <c r="A909" s="515"/>
      <c r="B909" s="516"/>
      <c r="C909" s="515"/>
      <c r="D909" s="517"/>
      <c r="E909" s="984"/>
      <c r="F909" s="517"/>
      <c r="G909" s="160"/>
      <c r="L909" s="1381"/>
      <c r="M909" s="1381"/>
      <c r="N909" s="1381"/>
    </row>
    <row r="910" spans="1:24" ht="15" customHeight="1">
      <c r="A910" s="515"/>
      <c r="B910" s="516"/>
      <c r="C910" s="515"/>
      <c r="D910" s="517"/>
      <c r="E910" s="984"/>
      <c r="F910" s="517"/>
      <c r="L910" s="175">
        <f>Prod.!AP401</f>
        <v>6</v>
      </c>
      <c r="M910" s="176">
        <f>Prod.!AQ401</f>
        <v>0</v>
      </c>
      <c r="N910" s="486">
        <f>Prod.!AR401</f>
        <v>0</v>
      </c>
    </row>
    <row r="911" spans="1:24" ht="15" customHeight="1">
      <c r="A911" s="515"/>
      <c r="B911" s="515"/>
      <c r="C911" s="515"/>
      <c r="D911" s="517"/>
      <c r="E911" s="984"/>
      <c r="F911" s="254"/>
      <c r="L911" s="170">
        <f>Prod.!AP402</f>
        <v>5</v>
      </c>
      <c r="M911" s="171">
        <f>Prod.!AQ402</f>
        <v>0</v>
      </c>
      <c r="N911" s="100">
        <f>Prod.!AR402</f>
        <v>0</v>
      </c>
      <c r="O911" s="160"/>
    </row>
    <row r="912" spans="1:24" ht="15" customHeight="1">
      <c r="A912" s="515"/>
      <c r="B912" s="515"/>
      <c r="C912" s="515"/>
      <c r="D912" s="517"/>
      <c r="E912" s="984"/>
      <c r="F912" s="254"/>
      <c r="L912" s="170">
        <f>Prod.!AP403</f>
        <v>4</v>
      </c>
      <c r="M912" s="171">
        <f>Prod.!AQ403</f>
        <v>0</v>
      </c>
      <c r="N912" s="100">
        <f>Prod.!AR403</f>
        <v>0</v>
      </c>
      <c r="O912" s="160"/>
    </row>
    <row r="913" spans="1:24" ht="15.75" customHeight="1">
      <c r="A913" s="515"/>
      <c r="B913" s="515"/>
      <c r="C913" s="515"/>
      <c r="D913" s="517"/>
      <c r="E913" s="984"/>
      <c r="F913" s="536"/>
      <c r="L913" s="170">
        <f>Prod.!AP404</f>
        <v>3</v>
      </c>
      <c r="M913" s="172">
        <f>Prod.!AQ404</f>
        <v>0</v>
      </c>
      <c r="N913" s="100">
        <f>Prod.!AR404</f>
        <v>0</v>
      </c>
      <c r="O913" t="e">
        <f>N914/((L913*M913)+(L912*M912)+(L911*M911)+(L910*M910))</f>
        <v>#DIV/0!</v>
      </c>
    </row>
    <row r="914" spans="1:24" ht="15.75" customHeight="1">
      <c r="A914" s="515"/>
      <c r="B914" s="515"/>
      <c r="C914" s="515"/>
      <c r="D914" s="434"/>
      <c r="E914" s="984"/>
      <c r="F914" s="1092"/>
      <c r="L914" s="173"/>
      <c r="M914" s="174"/>
      <c r="N914" s="491">
        <f>Prod.!AR405</f>
        <v>0</v>
      </c>
      <c r="O914" s="160"/>
    </row>
    <row r="915" spans="1:24" ht="15" customHeight="1">
      <c r="A915" s="984"/>
      <c r="B915" s="984"/>
      <c r="C915" s="984"/>
      <c r="D915" s="984"/>
      <c r="E915" s="515"/>
      <c r="F915" s="517"/>
      <c r="G915" s="1091"/>
    </row>
    <row r="916" spans="1:24" ht="15" customHeight="1">
      <c r="A916" s="984"/>
      <c r="B916" s="1093"/>
      <c r="C916" s="1093"/>
      <c r="D916" s="984"/>
      <c r="E916" s="286"/>
      <c r="F916" s="417"/>
      <c r="G916" s="253"/>
    </row>
    <row r="917" spans="1:24" ht="15" customHeight="1">
      <c r="A917" s="984"/>
      <c r="B917" s="1093"/>
      <c r="C917" s="1093"/>
      <c r="D917" s="984"/>
      <c r="E917" s="286"/>
      <c r="F917" s="417"/>
      <c r="G917" s="253"/>
    </row>
    <row r="918" spans="1:24" ht="15" customHeight="1">
      <c r="A918" s="984"/>
      <c r="B918" s="1093"/>
      <c r="C918" s="1093"/>
      <c r="D918" s="984"/>
      <c r="E918" s="286"/>
      <c r="F918" s="417"/>
      <c r="G918" s="253"/>
    </row>
    <row r="919" spans="1:24" ht="15" customHeight="1">
      <c r="A919" s="984"/>
      <c r="B919" s="1051"/>
      <c r="C919" s="1051"/>
      <c r="D919" s="984"/>
      <c r="E919" s="286"/>
      <c r="F919" s="417"/>
      <c r="G919" s="253"/>
    </row>
    <row r="920" spans="1:24" ht="15" customHeight="1">
      <c r="A920" s="984"/>
      <c r="B920" s="1051"/>
      <c r="C920" s="1051"/>
      <c r="D920" s="984"/>
      <c r="E920" s="286"/>
      <c r="F920" s="417"/>
    </row>
    <row r="921" spans="1:24" ht="15" customHeight="1">
      <c r="A921" s="1084"/>
      <c r="B921" s="515"/>
      <c r="H921" s="180"/>
      <c r="J921" s="515"/>
      <c r="K921" s="516"/>
      <c r="L921" s="515"/>
      <c r="M921" s="517"/>
    </row>
    <row r="922" spans="1:24" ht="15" customHeight="1">
      <c r="A922" s="984"/>
      <c r="B922" s="984"/>
      <c r="D922" s="434"/>
      <c r="E922" s="434"/>
      <c r="H922" s="180"/>
      <c r="J922" s="1079" t="s">
        <v>313</v>
      </c>
      <c r="K922" s="1382"/>
      <c r="L922" s="1382"/>
      <c r="M922" s="1382"/>
      <c r="N922" s="1382"/>
      <c r="O922" s="1382"/>
      <c r="P922" s="1382"/>
      <c r="Q922" s="1382"/>
      <c r="R922" s="1382"/>
    </row>
    <row r="923" spans="1:24" ht="15.75" customHeight="1" thickBot="1">
      <c r="A923" s="984"/>
      <c r="B923" s="1051"/>
      <c r="H923" s="180"/>
      <c r="J923" s="1080" t="s">
        <v>1</v>
      </c>
      <c r="K923" s="466" t="s">
        <v>45</v>
      </c>
      <c r="L923" s="467" t="s">
        <v>46</v>
      </c>
      <c r="M923" s="468" t="s">
        <v>47</v>
      </c>
      <c r="N923" s="511" t="s">
        <v>48</v>
      </c>
      <c r="O923" s="512" t="s">
        <v>45</v>
      </c>
      <c r="P923" s="511" t="s">
        <v>46</v>
      </c>
      <c r="Q923" s="513" t="s">
        <v>47</v>
      </c>
      <c r="R923" s="511" t="s">
        <v>48</v>
      </c>
    </row>
    <row r="924" spans="1:24" ht="15.75" customHeight="1" thickBot="1">
      <c r="A924" s="984"/>
      <c r="B924" s="984"/>
      <c r="C924" s="984"/>
      <c r="D924" s="984"/>
      <c r="E924" s="984"/>
      <c r="F924" s="417"/>
      <c r="G924" s="379"/>
      <c r="J924" s="1082">
        <v>160</v>
      </c>
      <c r="K924" s="158">
        <f>Prod.!P432</f>
        <v>0</v>
      </c>
      <c r="L924" s="158">
        <f>Prod.!Q432</f>
        <v>0</v>
      </c>
      <c r="M924" s="158">
        <f>Prod.!R432</f>
        <v>0</v>
      </c>
      <c r="N924" s="158">
        <f>Prod.!S432</f>
        <v>0</v>
      </c>
      <c r="O924" s="158">
        <f>Prod.!V432</f>
        <v>0</v>
      </c>
      <c r="P924" s="158">
        <f>Prod.!W432</f>
        <v>0</v>
      </c>
      <c r="Q924" s="158">
        <f>Prod.!X432</f>
        <v>0</v>
      </c>
      <c r="R924" s="158">
        <f>Prod.!Y432</f>
        <v>0</v>
      </c>
      <c r="U924" s="1383" t="s">
        <v>230</v>
      </c>
      <c r="V924" s="1383"/>
      <c r="W924" s="1383"/>
      <c r="X924" s="1383"/>
    </row>
    <row r="925" spans="1:24" ht="15.75" customHeight="1" thickBot="1">
      <c r="A925" s="515"/>
      <c r="B925" s="516"/>
      <c r="C925" s="515"/>
      <c r="D925" s="517"/>
      <c r="E925" s="286"/>
      <c r="F925" s="417"/>
      <c r="G925" s="379"/>
      <c r="J925" s="1083">
        <v>110</v>
      </c>
      <c r="K925" s="514">
        <f>Prod.!J430</f>
        <v>0</v>
      </c>
      <c r="L925" s="514">
        <f>Prod.!K430</f>
        <v>0</v>
      </c>
      <c r="M925" s="521">
        <f>Prod.!L430</f>
        <v>0</v>
      </c>
      <c r="N925" s="514">
        <f>Prod.!M430</f>
        <v>0</v>
      </c>
      <c r="U925" s="1384">
        <f>A921</f>
        <v>0</v>
      </c>
      <c r="V925" s="1384"/>
      <c r="W925" s="453" t="s">
        <v>233</v>
      </c>
      <c r="X925" s="454" t="s">
        <v>234</v>
      </c>
    </row>
    <row r="926" spans="1:24" ht="15" customHeight="1">
      <c r="A926" s="515"/>
      <c r="B926" s="516"/>
      <c r="C926" s="515"/>
      <c r="D926" s="517"/>
      <c r="E926" s="286"/>
      <c r="F926" s="417"/>
      <c r="G926" s="379"/>
      <c r="J926" s="414"/>
      <c r="K926" s="414"/>
      <c r="L926" s="1385"/>
      <c r="M926" s="1385"/>
      <c r="N926" s="1385"/>
      <c r="O926" s="1385"/>
      <c r="P926" s="455"/>
      <c r="U926" s="231"/>
      <c r="X926" s="456"/>
    </row>
    <row r="927" spans="1:24" ht="15" customHeight="1">
      <c r="A927" s="515"/>
      <c r="B927" s="516"/>
      <c r="C927" s="515"/>
      <c r="D927" s="517"/>
      <c r="E927" s="929"/>
      <c r="F927" s="417"/>
      <c r="G927" s="379"/>
      <c r="J927" s="181"/>
      <c r="K927" s="508"/>
      <c r="L927" s="181"/>
      <c r="M927" s="508"/>
      <c r="N927" s="181"/>
      <c r="O927" s="508"/>
      <c r="U927" s="458">
        <f>E926</f>
        <v>0</v>
      </c>
      <c r="V927" s="282">
        <f>F926</f>
        <v>0</v>
      </c>
      <c r="W927" s="459"/>
      <c r="X927" s="460"/>
    </row>
    <row r="928" spans="1:24" ht="15" customHeight="1">
      <c r="A928" s="515"/>
      <c r="B928" s="516"/>
      <c r="C928" s="515"/>
      <c r="D928" s="517"/>
      <c r="E928" s="286"/>
      <c r="F928" s="417"/>
      <c r="G928" s="1048"/>
      <c r="K928" s="1382"/>
      <c r="L928" s="1382"/>
      <c r="M928" s="1382"/>
      <c r="N928" s="1382"/>
      <c r="O928" s="1382"/>
      <c r="P928" s="1382"/>
      <c r="Q928" s="1382"/>
      <c r="R928" s="1382"/>
      <c r="U928" s="462">
        <f t="shared" ref="U928:U932" si="67">E928</f>
        <v>0</v>
      </c>
      <c r="V928" s="463">
        <f t="shared" ref="V928:V932" si="68">F928</f>
        <v>0</v>
      </c>
      <c r="W928" s="464">
        <f t="shared" ref="W928:W932" si="69">G928</f>
        <v>0</v>
      </c>
      <c r="X928" s="465"/>
    </row>
    <row r="929" spans="1:24" ht="15" customHeight="1">
      <c r="A929" s="515"/>
      <c r="B929" s="516"/>
      <c r="C929" s="515"/>
      <c r="D929" s="517"/>
      <c r="E929" s="286"/>
      <c r="F929" s="417"/>
      <c r="G929" s="1048"/>
      <c r="J929" s="1080" t="s">
        <v>1</v>
      </c>
      <c r="K929" s="466" t="s">
        <v>45</v>
      </c>
      <c r="L929" s="467" t="s">
        <v>46</v>
      </c>
      <c r="M929" s="468" t="s">
        <v>47</v>
      </c>
      <c r="N929" s="467" t="s">
        <v>48</v>
      </c>
      <c r="O929" s="466" t="s">
        <v>45</v>
      </c>
      <c r="P929" s="467" t="s">
        <v>46</v>
      </c>
      <c r="Q929" s="468" t="s">
        <v>47</v>
      </c>
      <c r="R929" s="467" t="s">
        <v>48</v>
      </c>
      <c r="U929" s="374">
        <f t="shared" si="67"/>
        <v>0</v>
      </c>
      <c r="V929" s="282">
        <f t="shared" si="68"/>
        <v>0</v>
      </c>
      <c r="W929" s="469">
        <f t="shared" si="69"/>
        <v>0</v>
      </c>
      <c r="X929" s="465">
        <f>$I$1</f>
        <v>0</v>
      </c>
    </row>
    <row r="930" spans="1:24" ht="15" customHeight="1">
      <c r="A930" s="515"/>
      <c r="B930" s="516"/>
      <c r="C930" s="515"/>
      <c r="D930" s="517"/>
      <c r="E930" s="286"/>
      <c r="F930" s="417"/>
      <c r="G930" s="1048"/>
      <c r="J930" s="1081">
        <v>130</v>
      </c>
      <c r="K930" s="471">
        <f>Prod.!P431</f>
        <v>0</v>
      </c>
      <c r="L930" s="471">
        <f>Prod.!Q431</f>
        <v>0</v>
      </c>
      <c r="M930" s="471">
        <f>Prod.!R431</f>
        <v>0</v>
      </c>
      <c r="N930" s="471">
        <f>Prod.!S431</f>
        <v>0</v>
      </c>
      <c r="O930" s="471">
        <f>Prod.!V431</f>
        <v>0</v>
      </c>
      <c r="P930" s="471">
        <f>Prod.!W431</f>
        <v>0</v>
      </c>
      <c r="Q930" s="471">
        <f>Prod.!X431</f>
        <v>0</v>
      </c>
      <c r="R930" s="471">
        <f>Prod.!Y431</f>
        <v>0</v>
      </c>
      <c r="U930" s="374">
        <f t="shared" si="67"/>
        <v>0</v>
      </c>
      <c r="V930" s="282">
        <f t="shared" si="68"/>
        <v>0</v>
      </c>
      <c r="W930" s="469">
        <f t="shared" si="69"/>
        <v>0</v>
      </c>
      <c r="X930" s="465">
        <f>IFERROR($I$2,0)</f>
        <v>0</v>
      </c>
    </row>
    <row r="931" spans="1:24" ht="15" customHeight="1">
      <c r="A931" s="515"/>
      <c r="B931" s="516"/>
      <c r="C931" s="515"/>
      <c r="D931" s="517"/>
      <c r="E931" s="1085"/>
      <c r="F931" s="517"/>
      <c r="G931" s="1086"/>
      <c r="U931" s="374">
        <f t="shared" si="67"/>
        <v>0</v>
      </c>
      <c r="V931" s="282">
        <f t="shared" si="68"/>
        <v>0</v>
      </c>
      <c r="W931" s="469">
        <f t="shared" si="69"/>
        <v>0</v>
      </c>
      <c r="X931" s="475"/>
    </row>
    <row r="932" spans="1:24" ht="15" customHeight="1">
      <c r="A932" s="515"/>
      <c r="B932" s="516"/>
      <c r="C932" s="515"/>
      <c r="D932" s="517"/>
      <c r="E932" s="1085"/>
      <c r="F932" s="1087"/>
      <c r="G932" s="1088"/>
      <c r="U932" s="374">
        <f t="shared" si="67"/>
        <v>0</v>
      </c>
      <c r="V932" s="282">
        <f t="shared" si="68"/>
        <v>0</v>
      </c>
      <c r="W932" s="469">
        <f t="shared" si="69"/>
        <v>0</v>
      </c>
      <c r="X932" s="520">
        <f>IFERROR($I$3,0)</f>
        <v>0</v>
      </c>
    </row>
    <row r="933" spans="1:24" ht="15" customHeight="1">
      <c r="A933" s="515"/>
      <c r="B933" s="515"/>
      <c r="C933" s="515"/>
      <c r="D933" s="517"/>
      <c r="E933" s="1085"/>
      <c r="F933" s="417"/>
      <c r="G933" s="1089"/>
      <c r="J933" t="s">
        <v>65</v>
      </c>
      <c r="K933" s="181">
        <f>Prod.!C430</f>
        <v>0</v>
      </c>
      <c r="L933" s="181">
        <f>Prod.!D430</f>
        <v>0</v>
      </c>
      <c r="M933" s="181">
        <f>Prod.!E430</f>
        <v>0</v>
      </c>
      <c r="N933" s="160">
        <f>Prod.!F430</f>
        <v>0</v>
      </c>
      <c r="O933" s="160">
        <f>Prod.!G430</f>
        <v>0</v>
      </c>
      <c r="U933" s="374">
        <f>E933</f>
        <v>0</v>
      </c>
      <c r="V933" s="282">
        <f>F933-V936</f>
        <v>0</v>
      </c>
      <c r="W933" s="479"/>
      <c r="X933" s="456"/>
    </row>
    <row r="934" spans="1:24" ht="15" customHeight="1">
      <c r="A934" s="515"/>
      <c r="B934" s="515"/>
      <c r="C934" s="515"/>
      <c r="D934" s="984"/>
      <c r="E934" s="286"/>
      <c r="F934" s="417"/>
      <c r="G934" s="1090"/>
      <c r="J934" t="s">
        <v>67</v>
      </c>
      <c r="K934" s="181">
        <f>Prod.!C431</f>
        <v>0</v>
      </c>
      <c r="L934" s="181">
        <f>Prod.!D431</f>
        <v>0</v>
      </c>
      <c r="M934" s="181">
        <f>Prod.!E431</f>
        <v>0</v>
      </c>
      <c r="N934" s="160">
        <f>Prod.!F431</f>
        <v>0</v>
      </c>
      <c r="O934" s="160">
        <f>Prod.!G431</f>
        <v>0</v>
      </c>
      <c r="T934" s="160"/>
      <c r="U934" s="374">
        <f>E934</f>
        <v>0</v>
      </c>
      <c r="V934" s="282">
        <f>F934</f>
        <v>0</v>
      </c>
      <c r="W934" s="479"/>
      <c r="X934" s="456"/>
    </row>
    <row r="935" spans="1:24" ht="15.75" customHeight="1" thickBot="1">
      <c r="A935" s="515"/>
      <c r="B935" s="515"/>
      <c r="C935" s="515"/>
      <c r="D935" s="517"/>
      <c r="E935" s="286"/>
      <c r="F935" s="417"/>
      <c r="G935" s="379"/>
      <c r="U935" s="374">
        <f>E935</f>
        <v>0</v>
      </c>
      <c r="V935" s="282">
        <f>F935</f>
        <v>0</v>
      </c>
      <c r="W935" s="479"/>
      <c r="X935" s="456"/>
    </row>
    <row r="936" spans="1:24" ht="14.25" customHeight="1" thickBot="1">
      <c r="A936" s="515"/>
      <c r="B936" s="515"/>
      <c r="C936" s="515"/>
      <c r="D936" s="517"/>
      <c r="E936" s="286"/>
      <c r="F936" s="417"/>
      <c r="G936" s="379"/>
      <c r="L936" s="1381" t="s">
        <v>7</v>
      </c>
      <c r="M936" s="1381"/>
      <c r="N936" s="1381"/>
      <c r="U936" s="374">
        <f>E940</f>
        <v>0</v>
      </c>
      <c r="V936" s="282">
        <f>F940</f>
        <v>0</v>
      </c>
      <c r="W936" s="479"/>
      <c r="X936" s="456"/>
    </row>
    <row r="937" spans="1:24" ht="19.5" customHeight="1" thickBot="1">
      <c r="A937" s="515"/>
      <c r="B937" s="515"/>
      <c r="C937" s="515"/>
      <c r="D937" s="517"/>
      <c r="E937" s="286"/>
      <c r="F937" s="417"/>
      <c r="G937" s="379"/>
      <c r="K937" s="163">
        <v>160</v>
      </c>
      <c r="L937" s="1381"/>
      <c r="M937" s="1381"/>
      <c r="N937" s="1381"/>
      <c r="U937" s="483" t="s">
        <v>255</v>
      </c>
      <c r="V937" s="484">
        <f>V927+V928+V929+V930+V931+V932+V933+V934+V935+V936</f>
        <v>0</v>
      </c>
      <c r="W937" s="485"/>
      <c r="X937" s="454"/>
    </row>
    <row r="938" spans="1:24" ht="18" customHeight="1" thickBot="1">
      <c r="A938" s="515"/>
      <c r="B938" s="515"/>
      <c r="C938" s="515"/>
      <c r="D938" s="517"/>
      <c r="E938" s="286"/>
      <c r="F938" s="417"/>
      <c r="G938" s="379"/>
      <c r="L938" s="1381"/>
      <c r="M938" s="1381"/>
      <c r="N938" s="1381"/>
    </row>
    <row r="939" spans="1:24" ht="15" customHeight="1">
      <c r="A939" s="515"/>
      <c r="B939" s="515"/>
      <c r="C939" s="515"/>
      <c r="D939" s="517"/>
      <c r="E939" s="286"/>
      <c r="F939" s="417"/>
      <c r="G939" s="417"/>
      <c r="L939" s="175">
        <f>Prod.!AP427</f>
        <v>6</v>
      </c>
      <c r="M939" s="176">
        <f>Prod.!AQ427</f>
        <v>0</v>
      </c>
      <c r="N939" s="486">
        <f>Prod.!AR427</f>
        <v>0</v>
      </c>
    </row>
    <row r="940" spans="1:24" ht="15" customHeight="1">
      <c r="A940" s="515"/>
      <c r="B940" s="515"/>
      <c r="C940" s="515"/>
      <c r="D940" s="984"/>
      <c r="E940" s="286"/>
      <c r="F940" s="417"/>
      <c r="G940" s="1091"/>
      <c r="L940" s="170">
        <f>Prod.!AP428</f>
        <v>5</v>
      </c>
      <c r="M940" s="171">
        <f>Prod.!AQ428</f>
        <v>0</v>
      </c>
      <c r="N940" s="100">
        <f>Prod.!AR428</f>
        <v>0</v>
      </c>
    </row>
    <row r="941" spans="1:24" ht="15" customHeight="1">
      <c r="A941" s="515"/>
      <c r="B941" s="516"/>
      <c r="C941" s="515"/>
      <c r="D941" s="517"/>
      <c r="E941" s="286"/>
      <c r="F941" s="277"/>
      <c r="G941" s="160"/>
      <c r="L941" s="170">
        <f>Prod.!AP429</f>
        <v>4</v>
      </c>
      <c r="M941" s="171">
        <f>Prod.!AQ429</f>
        <v>0</v>
      </c>
      <c r="N941" s="100">
        <f>Prod.!AR429</f>
        <v>0</v>
      </c>
    </row>
    <row r="942" spans="1:24" ht="15.75" customHeight="1">
      <c r="A942" s="515"/>
      <c r="B942" s="516"/>
      <c r="C942" s="515"/>
      <c r="D942" s="517"/>
      <c r="E942" s="1287"/>
      <c r="F942" s="1287"/>
      <c r="G942" s="379"/>
      <c r="L942" s="170">
        <f>Prod.!AP430</f>
        <v>3</v>
      </c>
      <c r="M942" s="171">
        <f>Prod.!AQ430</f>
        <v>0</v>
      </c>
      <c r="N942" s="100">
        <f>Prod.!AR430</f>
        <v>0</v>
      </c>
      <c r="O942" s="293" t="e">
        <f>N943/((L942*M942)+(L941*M941)+(L940*M940)+(L939*M939))</f>
        <v>#DIV/0!</v>
      </c>
    </row>
    <row r="943" spans="1:24" ht="15.75" customHeight="1">
      <c r="A943" s="515"/>
      <c r="B943" s="515"/>
      <c r="C943" s="515"/>
      <c r="D943" s="517"/>
      <c r="E943" s="984"/>
      <c r="F943" s="1044"/>
      <c r="G943" s="417"/>
      <c r="L943" s="173"/>
      <c r="M943" s="174"/>
      <c r="N943" s="491">
        <f>Prod.!AR431</f>
        <v>0</v>
      </c>
    </row>
    <row r="944" spans="1:24" ht="15" customHeight="1">
      <c r="A944" s="515"/>
      <c r="B944" s="516"/>
      <c r="C944" s="515"/>
      <c r="D944" s="517"/>
      <c r="E944" s="984"/>
      <c r="F944" s="1044"/>
      <c r="G944" s="417"/>
    </row>
    <row r="945" spans="1:15" ht="15" customHeight="1">
      <c r="A945" s="515"/>
      <c r="B945" s="516"/>
      <c r="C945" s="515"/>
      <c r="D945" s="517"/>
      <c r="E945" s="984"/>
      <c r="F945" s="1044"/>
      <c r="G945" s="417"/>
    </row>
    <row r="946" spans="1:15" ht="14.25" customHeight="1">
      <c r="A946" s="515"/>
      <c r="B946" s="515"/>
      <c r="C946" s="515"/>
      <c r="D946" s="517"/>
      <c r="E946" s="984"/>
      <c r="F946" s="1044"/>
      <c r="G946" s="417"/>
    </row>
    <row r="947" spans="1:15" ht="15" customHeight="1">
      <c r="A947" s="515"/>
      <c r="B947" s="516"/>
      <c r="C947" s="515"/>
      <c r="D947" s="517"/>
      <c r="E947" s="984"/>
      <c r="F947" s="172"/>
      <c r="G947" s="417"/>
      <c r="L947" s="1381" t="s">
        <v>7</v>
      </c>
      <c r="M947" s="1381"/>
      <c r="N947" s="1381"/>
    </row>
    <row r="948" spans="1:15" ht="15" customHeight="1">
      <c r="A948" s="515"/>
      <c r="B948" s="516"/>
      <c r="C948" s="515"/>
      <c r="D948" s="517"/>
      <c r="E948" s="984"/>
      <c r="F948" s="493"/>
      <c r="G948" s="417"/>
      <c r="K948" s="163">
        <v>130</v>
      </c>
      <c r="L948" s="1381"/>
      <c r="M948" s="1381"/>
      <c r="N948" s="1381"/>
    </row>
    <row r="949" spans="1:15" ht="15" customHeight="1">
      <c r="A949" s="515"/>
      <c r="B949" s="516"/>
      <c r="C949" s="515"/>
      <c r="D949" s="517"/>
      <c r="E949" s="984"/>
      <c r="F949" s="517"/>
      <c r="G949" s="160"/>
      <c r="L949" s="1381"/>
      <c r="M949" s="1381"/>
      <c r="N949" s="1381"/>
    </row>
    <row r="950" spans="1:15" ht="15" customHeight="1">
      <c r="A950" s="515"/>
      <c r="B950" s="516"/>
      <c r="C950" s="515"/>
      <c r="D950" s="517"/>
      <c r="E950" s="984"/>
      <c r="F950" s="517"/>
      <c r="L950" s="175">
        <f>Prod.!AP419</f>
        <v>6</v>
      </c>
      <c r="M950" s="176">
        <f>Prod.!AQ419</f>
        <v>0</v>
      </c>
      <c r="N950" s="486">
        <f>Prod.!AR419</f>
        <v>0</v>
      </c>
    </row>
    <row r="951" spans="1:15" ht="15" customHeight="1">
      <c r="A951" s="515"/>
      <c r="B951" s="515"/>
      <c r="C951" s="515"/>
      <c r="D951" s="517"/>
      <c r="E951" s="984"/>
      <c r="F951" s="254"/>
      <c r="L951" s="170">
        <f>Prod.!AP420</f>
        <v>5</v>
      </c>
      <c r="M951" s="171">
        <f>Prod.!AQ420</f>
        <v>0</v>
      </c>
      <c r="N951" s="100">
        <f>Prod.!AR420</f>
        <v>0</v>
      </c>
      <c r="O951" s="160"/>
    </row>
    <row r="952" spans="1:15" ht="15" customHeight="1">
      <c r="A952" s="515"/>
      <c r="B952" s="515"/>
      <c r="C952" s="515"/>
      <c r="D952" s="517"/>
      <c r="E952" s="984"/>
      <c r="F952" s="254"/>
      <c r="L952" s="170">
        <f>Prod.!AP421</f>
        <v>4</v>
      </c>
      <c r="M952" s="171">
        <f>Prod.!AQ421</f>
        <v>0</v>
      </c>
      <c r="N952" s="100">
        <f>Prod.!AR421</f>
        <v>0</v>
      </c>
      <c r="O952" s="160"/>
    </row>
    <row r="953" spans="1:15" ht="15.75" customHeight="1">
      <c r="A953" s="515"/>
      <c r="B953" s="515"/>
      <c r="C953" s="515"/>
      <c r="D953" s="517"/>
      <c r="E953" s="984"/>
      <c r="F953" s="536"/>
      <c r="L953" s="170">
        <f>Prod.!AP422</f>
        <v>3</v>
      </c>
      <c r="M953" s="172">
        <f>Prod.!AQ422</f>
        <v>0</v>
      </c>
      <c r="N953" s="100">
        <f>Prod.!AR422</f>
        <v>0</v>
      </c>
      <c r="O953" t="e">
        <f>N954/((L953*M953)+(L952*M952)+(L951*M951)+(L950*M950))</f>
        <v>#DIV/0!</v>
      </c>
    </row>
    <row r="954" spans="1:15" ht="15.75" customHeight="1">
      <c r="A954" s="515"/>
      <c r="B954" s="515"/>
      <c r="C954" s="515"/>
      <c r="D954" s="434"/>
      <c r="E954" s="984"/>
      <c r="F954" s="1092"/>
      <c r="L954" s="173"/>
      <c r="M954" s="174"/>
      <c r="N954" s="491">
        <f>Prod.!AR423</f>
        <v>0</v>
      </c>
      <c r="O954" s="160"/>
    </row>
    <row r="955" spans="1:15" ht="15" customHeight="1">
      <c r="A955" s="984"/>
      <c r="B955" s="984"/>
      <c r="C955" s="984"/>
      <c r="D955" s="984"/>
      <c r="E955" s="515"/>
      <c r="F955" s="517"/>
      <c r="G955" s="1091"/>
    </row>
    <row r="956" spans="1:15" ht="15" customHeight="1">
      <c r="A956" s="984"/>
      <c r="B956" s="1093"/>
      <c r="C956" s="1093"/>
      <c r="D956" s="984"/>
      <c r="E956" s="286"/>
      <c r="F956" s="417"/>
      <c r="G956" s="253"/>
    </row>
    <row r="957" spans="1:15" ht="15" customHeight="1">
      <c r="A957" s="984"/>
      <c r="B957" s="1093"/>
      <c r="C957" s="1093"/>
      <c r="D957" s="984"/>
      <c r="E957" s="286"/>
      <c r="F957" s="417"/>
      <c r="G957" s="253"/>
    </row>
    <row r="958" spans="1:15" ht="15" customHeight="1">
      <c r="A958" s="984"/>
      <c r="B958" s="1093"/>
      <c r="C958" s="1093"/>
      <c r="D958" s="984"/>
      <c r="E958" s="286"/>
      <c r="F958" s="417"/>
      <c r="G958" s="253"/>
    </row>
    <row r="959" spans="1:15" ht="15" customHeight="1">
      <c r="A959" s="984"/>
      <c r="B959" s="1051"/>
      <c r="C959" s="1051"/>
      <c r="D959" s="984"/>
      <c r="E959" s="286"/>
      <c r="F959" s="417"/>
      <c r="G959" s="253"/>
    </row>
    <row r="960" spans="1:15" ht="15" customHeight="1">
      <c r="A960" s="984"/>
      <c r="B960" s="1051"/>
      <c r="C960" s="1051"/>
      <c r="D960" s="984"/>
      <c r="E960" s="286"/>
      <c r="F960" s="417"/>
    </row>
    <row r="961" spans="1:24" ht="15" customHeight="1">
      <c r="A961" s="1084"/>
      <c r="B961" s="515"/>
      <c r="H961" s="180"/>
      <c r="J961" s="515"/>
      <c r="K961" s="516"/>
      <c r="L961" s="515"/>
      <c r="M961" s="517"/>
    </row>
    <row r="962" spans="1:24" ht="15" customHeight="1">
      <c r="A962" s="984"/>
      <c r="B962" s="984"/>
      <c r="D962" s="434"/>
      <c r="E962" s="434"/>
      <c r="H962" s="180"/>
      <c r="J962" s="1079" t="s">
        <v>314</v>
      </c>
      <c r="K962" s="1382"/>
      <c r="L962" s="1382"/>
      <c r="M962" s="1382"/>
      <c r="N962" s="1382"/>
      <c r="O962" s="1382"/>
      <c r="P962" s="1382"/>
      <c r="Q962" s="1382"/>
      <c r="R962" s="1382"/>
    </row>
    <row r="963" spans="1:24" ht="15.75" customHeight="1" thickBot="1">
      <c r="A963" s="984"/>
      <c r="B963" s="1051"/>
      <c r="H963" s="180"/>
      <c r="J963" s="1080" t="s">
        <v>1</v>
      </c>
      <c r="K963" s="466" t="s">
        <v>45</v>
      </c>
      <c r="L963" s="467" t="s">
        <v>46</v>
      </c>
      <c r="M963" s="468" t="s">
        <v>47</v>
      </c>
      <c r="N963" s="511" t="s">
        <v>48</v>
      </c>
      <c r="O963" s="512" t="s">
        <v>45</v>
      </c>
      <c r="P963" s="511" t="s">
        <v>46</v>
      </c>
      <c r="Q963" s="513" t="s">
        <v>47</v>
      </c>
      <c r="R963" s="511" t="s">
        <v>48</v>
      </c>
    </row>
    <row r="964" spans="1:24" ht="15.75" customHeight="1" thickBot="1">
      <c r="A964" s="984"/>
      <c r="B964" s="984"/>
      <c r="C964" s="984"/>
      <c r="D964" s="984"/>
      <c r="E964" s="984"/>
      <c r="F964" s="417"/>
      <c r="G964" s="379"/>
      <c r="J964" s="1082">
        <v>160</v>
      </c>
      <c r="K964" s="158">
        <f>Prod.!P450</f>
        <v>0</v>
      </c>
      <c r="L964" s="158">
        <f>Prod.!Q450</f>
        <v>0</v>
      </c>
      <c r="M964" s="158">
        <f>Prod.!R450</f>
        <v>0</v>
      </c>
      <c r="N964" s="158">
        <f>Prod.!S450</f>
        <v>0</v>
      </c>
      <c r="O964" s="158">
        <f>Prod.!V450</f>
        <v>0</v>
      </c>
      <c r="P964" s="158">
        <f>Prod.!W450</f>
        <v>0</v>
      </c>
      <c r="Q964" s="158">
        <f>Prod.!X450</f>
        <v>0</v>
      </c>
      <c r="R964" s="158">
        <f>Prod.!Y450</f>
        <v>0</v>
      </c>
      <c r="U964" s="1383" t="s">
        <v>230</v>
      </c>
      <c r="V964" s="1383"/>
      <c r="W964" s="1383"/>
      <c r="X964" s="1383"/>
    </row>
    <row r="965" spans="1:24" ht="15.75" customHeight="1" thickBot="1">
      <c r="A965" s="515"/>
      <c r="B965" s="516"/>
      <c r="C965" s="515"/>
      <c r="D965" s="517"/>
      <c r="E965" s="286"/>
      <c r="F965" s="417"/>
      <c r="G965" s="379"/>
      <c r="J965" s="1083">
        <v>110</v>
      </c>
      <c r="K965" s="514">
        <f>Prod.!J448</f>
        <v>0</v>
      </c>
      <c r="L965" s="514">
        <f>Prod.!K448</f>
        <v>0</v>
      </c>
      <c r="M965" s="518">
        <f>Prod.!L448</f>
        <v>0</v>
      </c>
      <c r="N965" s="514">
        <f>Prod.!M448</f>
        <v>0</v>
      </c>
      <c r="U965" s="1384">
        <f>A961</f>
        <v>0</v>
      </c>
      <c r="V965" s="1384"/>
      <c r="W965" s="453" t="s">
        <v>233</v>
      </c>
      <c r="X965" s="454" t="s">
        <v>234</v>
      </c>
    </row>
    <row r="966" spans="1:24" ht="15" customHeight="1">
      <c r="A966" s="515"/>
      <c r="B966" s="516"/>
      <c r="C966" s="515"/>
      <c r="D966" s="517"/>
      <c r="E966" s="286"/>
      <c r="F966" s="417"/>
      <c r="G966" s="379"/>
      <c r="J966" s="414"/>
      <c r="K966" s="414"/>
      <c r="L966" s="1385"/>
      <c r="M966" s="1385"/>
      <c r="N966" s="1385"/>
      <c r="O966" s="1385"/>
      <c r="P966" s="455"/>
      <c r="U966" s="231"/>
      <c r="X966" s="456"/>
    </row>
    <row r="967" spans="1:24" ht="15" customHeight="1">
      <c r="A967" s="515"/>
      <c r="B967" s="516"/>
      <c r="C967" s="515"/>
      <c r="D967" s="517"/>
      <c r="E967" s="929"/>
      <c r="F967" s="417"/>
      <c r="G967" s="379"/>
      <c r="J967" s="181"/>
      <c r="K967" s="508"/>
      <c r="L967" s="181"/>
      <c r="M967" s="508"/>
      <c r="N967" s="181"/>
      <c r="O967" s="508"/>
      <c r="U967" s="458">
        <f>E966</f>
        <v>0</v>
      </c>
      <c r="V967" s="282">
        <f>F966</f>
        <v>0</v>
      </c>
      <c r="W967" s="459"/>
      <c r="X967" s="460"/>
    </row>
    <row r="968" spans="1:24" ht="15" customHeight="1">
      <c r="A968" s="515"/>
      <c r="B968" s="516"/>
      <c r="C968" s="515"/>
      <c r="D968" s="517"/>
      <c r="E968" s="286"/>
      <c r="F968" s="417"/>
      <c r="G968" s="1048"/>
      <c r="K968" s="1382"/>
      <c r="L968" s="1382"/>
      <c r="M968" s="1382"/>
      <c r="N968" s="1382"/>
      <c r="O968" s="1382"/>
      <c r="P968" s="1382"/>
      <c r="Q968" s="1382"/>
      <c r="R968" s="1382"/>
      <c r="U968" s="462">
        <f t="shared" ref="U968:U972" si="70">E968</f>
        <v>0</v>
      </c>
      <c r="V968" s="463">
        <f t="shared" ref="V968:V972" si="71">F968</f>
        <v>0</v>
      </c>
      <c r="W968" s="464">
        <f t="shared" ref="W968:W972" si="72">G968</f>
        <v>0</v>
      </c>
      <c r="X968" s="465"/>
    </row>
    <row r="969" spans="1:24" ht="15" customHeight="1">
      <c r="A969" s="515"/>
      <c r="B969" s="516"/>
      <c r="C969" s="515"/>
      <c r="D969" s="517"/>
      <c r="E969" s="286"/>
      <c r="F969" s="417"/>
      <c r="G969" s="1048"/>
      <c r="J969" s="1080" t="s">
        <v>1</v>
      </c>
      <c r="K969" s="466" t="s">
        <v>45</v>
      </c>
      <c r="L969" s="467" t="s">
        <v>46</v>
      </c>
      <c r="M969" s="468" t="s">
        <v>47</v>
      </c>
      <c r="N969" s="467" t="s">
        <v>48</v>
      </c>
      <c r="O969" s="466" t="s">
        <v>45</v>
      </c>
      <c r="P969" s="467" t="s">
        <v>46</v>
      </c>
      <c r="Q969" s="468" t="s">
        <v>47</v>
      </c>
      <c r="R969" s="467" t="s">
        <v>48</v>
      </c>
      <c r="U969" s="374">
        <f t="shared" si="70"/>
        <v>0</v>
      </c>
      <c r="V969" s="282">
        <f t="shared" si="71"/>
        <v>0</v>
      </c>
      <c r="W969" s="469">
        <f t="shared" si="72"/>
        <v>0</v>
      </c>
      <c r="X969" s="465">
        <f>$I$1</f>
        <v>0</v>
      </c>
    </row>
    <row r="970" spans="1:24" ht="15" customHeight="1">
      <c r="A970" s="515"/>
      <c r="B970" s="516"/>
      <c r="C970" s="515"/>
      <c r="D970" s="517"/>
      <c r="E970" s="286"/>
      <c r="F970" s="417"/>
      <c r="G970" s="1048"/>
      <c r="J970" s="1081">
        <v>130</v>
      </c>
      <c r="K970" s="471">
        <f>Prod.!P449</f>
        <v>0</v>
      </c>
      <c r="L970" s="471">
        <f>Prod.!Q449</f>
        <v>0</v>
      </c>
      <c r="M970" s="471">
        <f>Prod.!R449</f>
        <v>0</v>
      </c>
      <c r="N970" s="471">
        <f>Prod.!S449</f>
        <v>0</v>
      </c>
      <c r="O970" s="471">
        <f>Prod.!V449</f>
        <v>0</v>
      </c>
      <c r="P970" s="471">
        <f>Prod.!W449</f>
        <v>0</v>
      </c>
      <c r="Q970" s="471">
        <f>Prod.!X449</f>
        <v>0</v>
      </c>
      <c r="R970" s="471">
        <f>Prod.!Y449</f>
        <v>0</v>
      </c>
      <c r="U970" s="374">
        <f t="shared" si="70"/>
        <v>0</v>
      </c>
      <c r="V970" s="282">
        <f t="shared" si="71"/>
        <v>0</v>
      </c>
      <c r="W970" s="469">
        <f t="shared" si="72"/>
        <v>0</v>
      </c>
      <c r="X970" s="465">
        <f>IFERROR($I$2,0)</f>
        <v>0</v>
      </c>
    </row>
    <row r="971" spans="1:24" ht="15" customHeight="1">
      <c r="A971" s="515"/>
      <c r="B971" s="516"/>
      <c r="C971" s="515"/>
      <c r="D971" s="517"/>
      <c r="E971" s="1085"/>
      <c r="F971" s="517"/>
      <c r="G971" s="1086"/>
      <c r="U971" s="374">
        <f t="shared" si="70"/>
        <v>0</v>
      </c>
      <c r="V971" s="282">
        <f t="shared" si="71"/>
        <v>0</v>
      </c>
      <c r="W971" s="469">
        <f t="shared" si="72"/>
        <v>0</v>
      </c>
      <c r="X971" s="475"/>
    </row>
    <row r="972" spans="1:24" ht="15" customHeight="1">
      <c r="A972" s="515"/>
      <c r="B972" s="516"/>
      <c r="C972" s="515"/>
      <c r="D972" s="517"/>
      <c r="E972" s="1085"/>
      <c r="F972" s="1087"/>
      <c r="G972" s="1088"/>
      <c r="U972" s="374">
        <f t="shared" si="70"/>
        <v>0</v>
      </c>
      <c r="V972" s="282">
        <f t="shared" si="71"/>
        <v>0</v>
      </c>
      <c r="W972" s="469">
        <f t="shared" si="72"/>
        <v>0</v>
      </c>
      <c r="X972" s="520">
        <f>IFERROR($I$3,0)</f>
        <v>0</v>
      </c>
    </row>
    <row r="973" spans="1:24" ht="15" customHeight="1">
      <c r="A973" s="515"/>
      <c r="B973" s="515"/>
      <c r="C973" s="515"/>
      <c r="D973" s="517"/>
      <c r="E973" s="1085"/>
      <c r="F973" s="417"/>
      <c r="G973" s="1089"/>
      <c r="J973" t="s">
        <v>65</v>
      </c>
      <c r="K973" s="181">
        <f>Prod.!C448</f>
        <v>0</v>
      </c>
      <c r="L973" s="181">
        <f>Prod.!D448</f>
        <v>0</v>
      </c>
      <c r="M973" s="181">
        <f>Prod.!E448</f>
        <v>0</v>
      </c>
      <c r="N973" s="160">
        <f>Prod.!F448</f>
        <v>0</v>
      </c>
      <c r="O973" s="160">
        <f>Prod.!G448</f>
        <v>0</v>
      </c>
      <c r="U973" s="374">
        <f>E973</f>
        <v>0</v>
      </c>
      <c r="V973" s="282">
        <f>F973-V976</f>
        <v>0</v>
      </c>
      <c r="W973" s="479"/>
      <c r="X973" s="456"/>
    </row>
    <row r="974" spans="1:24" ht="15" customHeight="1">
      <c r="A974" s="515"/>
      <c r="B974" s="515"/>
      <c r="C974" s="515"/>
      <c r="D974" s="984"/>
      <c r="E974" s="286"/>
      <c r="F974" s="417"/>
      <c r="G974" s="1090"/>
      <c r="J974" t="s">
        <v>67</v>
      </c>
      <c r="K974" s="181">
        <f>Prod.!C449</f>
        <v>0</v>
      </c>
      <c r="L974" s="181">
        <f>Prod.!D449</f>
        <v>0</v>
      </c>
      <c r="M974" s="181">
        <f>Prod.!E449</f>
        <v>0</v>
      </c>
      <c r="N974" s="160">
        <f>Prod.!F449</f>
        <v>0</v>
      </c>
      <c r="O974" s="160">
        <f>Prod.!G449</f>
        <v>0</v>
      </c>
      <c r="T974" s="160"/>
      <c r="U974" s="374">
        <f>E974</f>
        <v>0</v>
      </c>
      <c r="V974" s="282">
        <f>F974</f>
        <v>0</v>
      </c>
      <c r="W974" s="479"/>
      <c r="X974" s="456"/>
    </row>
    <row r="975" spans="1:24" ht="15.75" customHeight="1" thickBot="1">
      <c r="A975" s="515"/>
      <c r="B975" s="515"/>
      <c r="C975" s="515"/>
      <c r="D975" s="517"/>
      <c r="E975" s="286"/>
      <c r="F975" s="417"/>
      <c r="G975" s="379"/>
      <c r="U975" s="374">
        <f>E975</f>
        <v>0</v>
      </c>
      <c r="V975" s="282">
        <f>F975</f>
        <v>0</v>
      </c>
      <c r="W975" s="479"/>
      <c r="X975" s="456"/>
    </row>
    <row r="976" spans="1:24" ht="14.25" customHeight="1" thickBot="1">
      <c r="A976" s="515"/>
      <c r="B976" s="515"/>
      <c r="C976" s="515"/>
      <c r="D976" s="517"/>
      <c r="E976" s="286"/>
      <c r="F976" s="417"/>
      <c r="G976" s="379"/>
      <c r="L976" s="1381" t="s">
        <v>7</v>
      </c>
      <c r="M976" s="1381"/>
      <c r="N976" s="1381"/>
      <c r="U976" s="374">
        <f>E980</f>
        <v>0</v>
      </c>
      <c r="V976" s="282">
        <f>F980</f>
        <v>0</v>
      </c>
      <c r="W976" s="479"/>
      <c r="X976" s="456"/>
    </row>
    <row r="977" spans="1:24" ht="19.5" customHeight="1" thickBot="1">
      <c r="A977" s="515"/>
      <c r="B977" s="515"/>
      <c r="C977" s="515"/>
      <c r="D977" s="517"/>
      <c r="E977" s="286"/>
      <c r="F977" s="417"/>
      <c r="G977" s="379"/>
      <c r="K977" s="163">
        <v>160</v>
      </c>
      <c r="L977" s="1381"/>
      <c r="M977" s="1381"/>
      <c r="N977" s="1381"/>
      <c r="U977" s="483" t="s">
        <v>255</v>
      </c>
      <c r="V977" s="484">
        <f>V967+V968+V969+V970+V971+V972+V973+V974+V975+V976</f>
        <v>0</v>
      </c>
      <c r="W977" s="485"/>
      <c r="X977" s="454"/>
    </row>
    <row r="978" spans="1:24" ht="18" customHeight="1" thickBot="1">
      <c r="A978" s="515"/>
      <c r="B978" s="515"/>
      <c r="C978" s="515"/>
      <c r="D978" s="517"/>
      <c r="E978" s="286"/>
      <c r="F978" s="417"/>
      <c r="G978" s="379"/>
      <c r="L978" s="1381"/>
      <c r="M978" s="1381"/>
      <c r="N978" s="1381"/>
    </row>
    <row r="979" spans="1:24" ht="15" customHeight="1">
      <c r="A979" s="515"/>
      <c r="B979" s="515"/>
      <c r="C979" s="515"/>
      <c r="D979" s="517"/>
      <c r="E979" s="286"/>
      <c r="F979" s="417"/>
      <c r="G979" s="417"/>
      <c r="L979" s="175">
        <f>Prod.!AP445</f>
        <v>6</v>
      </c>
      <c r="M979" s="176">
        <f>Prod.!AQ445</f>
        <v>0</v>
      </c>
      <c r="N979" s="486">
        <f>Prod.!AR445</f>
        <v>0</v>
      </c>
    </row>
    <row r="980" spans="1:24" ht="15" customHeight="1">
      <c r="A980" s="515"/>
      <c r="B980" s="515"/>
      <c r="C980" s="515"/>
      <c r="D980" s="984"/>
      <c r="E980" s="286"/>
      <c r="F980" s="417"/>
      <c r="G980" s="1091"/>
      <c r="L980" s="170">
        <f>Prod.!AP446</f>
        <v>5</v>
      </c>
      <c r="M980" s="171">
        <f>Prod.!AQ446</f>
        <v>0</v>
      </c>
      <c r="N980" s="100">
        <f>Prod.!AR446</f>
        <v>0</v>
      </c>
    </row>
    <row r="981" spans="1:24" ht="15" customHeight="1">
      <c r="A981" s="515"/>
      <c r="B981" s="516"/>
      <c r="C981" s="515"/>
      <c r="D981" s="517"/>
      <c r="E981" s="286"/>
      <c r="F981" s="277"/>
      <c r="G981" s="160"/>
      <c r="L981" s="170">
        <f>Prod.!AP447</f>
        <v>4</v>
      </c>
      <c r="M981" s="171">
        <f>Prod.!AQ447</f>
        <v>0</v>
      </c>
      <c r="N981" s="100">
        <f>Prod.!AR447</f>
        <v>0</v>
      </c>
    </row>
    <row r="982" spans="1:24" ht="15.75" customHeight="1">
      <c r="A982" s="515"/>
      <c r="B982" s="516"/>
      <c r="C982" s="515"/>
      <c r="D982" s="517"/>
      <c r="E982" s="1287"/>
      <c r="F982" s="1287"/>
      <c r="G982" s="379"/>
      <c r="L982" s="170">
        <f>Prod.!AP448</f>
        <v>3</v>
      </c>
      <c r="M982" s="171">
        <f>Prod.!AQ448</f>
        <v>0</v>
      </c>
      <c r="N982" s="100">
        <f>Prod.!AR448</f>
        <v>0</v>
      </c>
      <c r="O982" s="293" t="e">
        <f>N983/((L982*M982)+(L981*M981)+(L980*M980)+(L979*M979))</f>
        <v>#DIV/0!</v>
      </c>
    </row>
    <row r="983" spans="1:24" ht="15.75" customHeight="1">
      <c r="A983" s="515"/>
      <c r="B983" s="515"/>
      <c r="C983" s="515"/>
      <c r="D983" s="517"/>
      <c r="E983" s="984"/>
      <c r="F983" s="1044"/>
      <c r="G983" s="417"/>
      <c r="L983" s="173"/>
      <c r="M983" s="174"/>
      <c r="N983" s="491">
        <f>Prod.!AR449</f>
        <v>0</v>
      </c>
    </row>
    <row r="984" spans="1:24" ht="15" customHeight="1">
      <c r="A984" s="515"/>
      <c r="B984" s="516"/>
      <c r="C984" s="515"/>
      <c r="D984" s="517"/>
      <c r="E984" s="984"/>
      <c r="F984" s="1044"/>
      <c r="G984" s="417"/>
    </row>
    <row r="985" spans="1:24" ht="15" customHeight="1">
      <c r="A985" s="515"/>
      <c r="B985" s="516"/>
      <c r="C985" s="515"/>
      <c r="D985" s="517"/>
      <c r="E985" s="984"/>
      <c r="F985" s="1044"/>
      <c r="G985" s="417"/>
    </row>
    <row r="986" spans="1:24" ht="14.25" customHeight="1">
      <c r="A986" s="515"/>
      <c r="B986" s="515"/>
      <c r="C986" s="515"/>
      <c r="D986" s="517"/>
      <c r="E986" s="984"/>
      <c r="F986" s="1044"/>
      <c r="G986" s="417"/>
    </row>
    <row r="987" spans="1:24" ht="15" customHeight="1">
      <c r="A987" s="515"/>
      <c r="B987" s="516"/>
      <c r="C987" s="515"/>
      <c r="D987" s="517"/>
      <c r="E987" s="984"/>
      <c r="F987" s="172"/>
      <c r="G987" s="417"/>
      <c r="L987" s="1381" t="s">
        <v>7</v>
      </c>
      <c r="M987" s="1381"/>
      <c r="N987" s="1381"/>
    </row>
    <row r="988" spans="1:24" ht="15" customHeight="1">
      <c r="A988" s="515"/>
      <c r="B988" s="516"/>
      <c r="C988" s="515"/>
      <c r="D988" s="517"/>
      <c r="E988" s="984"/>
      <c r="F988" s="493"/>
      <c r="G988" s="417"/>
      <c r="K988" s="163">
        <v>130</v>
      </c>
      <c r="L988" s="1381"/>
      <c r="M988" s="1381"/>
      <c r="N988" s="1381"/>
    </row>
    <row r="989" spans="1:24" ht="15" customHeight="1">
      <c r="A989" s="515"/>
      <c r="B989" s="516"/>
      <c r="C989" s="515"/>
      <c r="D989" s="517"/>
      <c r="E989" s="984"/>
      <c r="F989" s="517"/>
      <c r="G989" s="160"/>
      <c r="L989" s="1381"/>
      <c r="M989" s="1381"/>
      <c r="N989" s="1381"/>
    </row>
    <row r="990" spans="1:24" ht="15" customHeight="1">
      <c r="A990" s="515"/>
      <c r="B990" s="516"/>
      <c r="C990" s="515"/>
      <c r="D990" s="517"/>
      <c r="E990" s="984"/>
      <c r="F990" s="517"/>
      <c r="L990" s="175">
        <f>Prod.!AP437</f>
        <v>6</v>
      </c>
      <c r="M990" s="176">
        <f>Prod.!AQ437</f>
        <v>0</v>
      </c>
      <c r="N990" s="486">
        <f>Prod.!AR437</f>
        <v>0</v>
      </c>
    </row>
    <row r="991" spans="1:24" ht="15" customHeight="1">
      <c r="A991" s="515"/>
      <c r="B991" s="515"/>
      <c r="C991" s="515"/>
      <c r="D991" s="517"/>
      <c r="E991" s="984"/>
      <c r="F991" s="254"/>
      <c r="L991" s="170">
        <f>Prod.!AP438</f>
        <v>5</v>
      </c>
      <c r="M991" s="171">
        <f>Prod.!AQ438</f>
        <v>0</v>
      </c>
      <c r="N991" s="100">
        <f>Prod.!AR438</f>
        <v>0</v>
      </c>
      <c r="O991" s="160"/>
    </row>
    <row r="992" spans="1:24" ht="15" customHeight="1">
      <c r="A992" s="515"/>
      <c r="B992" s="515"/>
      <c r="C992" s="515"/>
      <c r="D992" s="517"/>
      <c r="E992" s="984"/>
      <c r="F992" s="254"/>
      <c r="L992" s="170">
        <f>Prod.!AP439</f>
        <v>4</v>
      </c>
      <c r="M992" s="171">
        <f>Prod.!AQ439</f>
        <v>0</v>
      </c>
      <c r="N992" s="100">
        <f>Prod.!AR439</f>
        <v>0</v>
      </c>
      <c r="O992" s="160"/>
    </row>
    <row r="993" spans="1:24" ht="15.75" customHeight="1">
      <c r="A993" s="515"/>
      <c r="B993" s="515"/>
      <c r="C993" s="515"/>
      <c r="D993" s="517"/>
      <c r="E993" s="984"/>
      <c r="F993" s="536"/>
      <c r="L993" s="170">
        <f>Prod.!AP440</f>
        <v>3</v>
      </c>
      <c r="M993" s="172">
        <f>Prod.!AQ440</f>
        <v>0</v>
      </c>
      <c r="N993" s="100">
        <f>Prod.!AR440</f>
        <v>0</v>
      </c>
      <c r="O993" t="e">
        <f>N994/((L993*M993)+(L992*M992)+(L991*M991)+(L990*M990))</f>
        <v>#DIV/0!</v>
      </c>
    </row>
    <row r="994" spans="1:24" ht="15.75" customHeight="1">
      <c r="A994" s="515"/>
      <c r="B994" s="515"/>
      <c r="C994" s="515"/>
      <c r="D994" s="434"/>
      <c r="E994" s="984"/>
      <c r="F994" s="1092"/>
      <c r="L994" s="173"/>
      <c r="M994" s="174"/>
      <c r="N994" s="491">
        <f>Prod.!AR441</f>
        <v>0</v>
      </c>
      <c r="O994" s="160"/>
    </row>
    <row r="995" spans="1:24" ht="15" customHeight="1">
      <c r="A995" s="984"/>
      <c r="B995" s="984"/>
      <c r="C995" s="984"/>
      <c r="D995" s="984"/>
      <c r="E995" s="515"/>
      <c r="F995" s="517"/>
      <c r="G995" s="1091"/>
    </row>
    <row r="996" spans="1:24" ht="15" customHeight="1">
      <c r="A996" s="984"/>
      <c r="B996" s="1093"/>
      <c r="C996" s="1093"/>
      <c r="D996" s="984"/>
      <c r="E996" s="286"/>
      <c r="F996" s="417"/>
      <c r="G996" s="253"/>
    </row>
    <row r="997" spans="1:24" ht="15" customHeight="1">
      <c r="A997" s="984"/>
      <c r="B997" s="1093"/>
      <c r="C997" s="1093"/>
      <c r="D997" s="984"/>
      <c r="E997" s="286"/>
      <c r="F997" s="417"/>
      <c r="G997" s="253"/>
    </row>
    <row r="998" spans="1:24" ht="15" customHeight="1">
      <c r="A998" s="984"/>
      <c r="B998" s="1093"/>
      <c r="C998" s="1093"/>
      <c r="D998" s="984"/>
      <c r="E998" s="286"/>
      <c r="F998" s="417"/>
      <c r="G998" s="253"/>
    </row>
    <row r="999" spans="1:24" ht="15" customHeight="1">
      <c r="A999" s="984"/>
      <c r="B999" s="1051"/>
      <c r="C999" s="1051"/>
      <c r="D999" s="984"/>
      <c r="E999" s="286"/>
      <c r="F999" s="417"/>
      <c r="G999" s="253"/>
    </row>
    <row r="1000" spans="1:24" ht="15" customHeight="1">
      <c r="A1000" s="984"/>
      <c r="B1000" s="1051"/>
      <c r="C1000" s="1051"/>
      <c r="D1000" s="984"/>
      <c r="E1000" s="286"/>
      <c r="F1000" s="417"/>
    </row>
    <row r="1001" spans="1:24" ht="15" customHeight="1">
      <c r="A1001" s="1084"/>
      <c r="B1001" s="515"/>
      <c r="H1001" s="180"/>
      <c r="J1001" s="515"/>
      <c r="K1001" s="516"/>
      <c r="L1001" s="515"/>
      <c r="M1001" s="517"/>
    </row>
    <row r="1002" spans="1:24" ht="15" customHeight="1">
      <c r="A1002" s="984"/>
      <c r="B1002" s="984"/>
      <c r="D1002" s="434"/>
      <c r="E1002" s="434"/>
      <c r="H1002" s="180"/>
      <c r="J1002" s="1079" t="s">
        <v>315</v>
      </c>
      <c r="K1002" s="1382"/>
      <c r="L1002" s="1382"/>
      <c r="M1002" s="1382"/>
      <c r="N1002" s="1382"/>
      <c r="O1002" s="1382"/>
      <c r="P1002" s="1382"/>
      <c r="Q1002" s="1382"/>
      <c r="R1002" s="1382"/>
    </row>
    <row r="1003" spans="1:24" ht="15.75" customHeight="1" thickBot="1">
      <c r="A1003" s="984"/>
      <c r="B1003" s="1051"/>
      <c r="H1003" s="180"/>
      <c r="J1003" s="1080" t="s">
        <v>1</v>
      </c>
      <c r="K1003" s="466" t="s">
        <v>45</v>
      </c>
      <c r="L1003" s="467" t="s">
        <v>46</v>
      </c>
      <c r="M1003" s="468" t="s">
        <v>47</v>
      </c>
      <c r="N1003" s="511" t="s">
        <v>48</v>
      </c>
      <c r="O1003" s="512" t="s">
        <v>45</v>
      </c>
      <c r="P1003" s="511" t="s">
        <v>46</v>
      </c>
      <c r="Q1003" s="513" t="s">
        <v>47</v>
      </c>
      <c r="R1003" s="511" t="s">
        <v>48</v>
      </c>
    </row>
    <row r="1004" spans="1:24" ht="15.75" customHeight="1" thickBot="1">
      <c r="A1004" s="984"/>
      <c r="B1004" s="984"/>
      <c r="C1004" s="984"/>
      <c r="D1004" s="984"/>
      <c r="E1004" s="984"/>
      <c r="F1004" s="417"/>
      <c r="G1004" s="379"/>
      <c r="J1004" s="1082">
        <v>160</v>
      </c>
      <c r="K1004" s="158">
        <f>Prod.!P468</f>
        <v>0</v>
      </c>
      <c r="L1004" s="158">
        <f>Prod.!Q468</f>
        <v>0</v>
      </c>
      <c r="M1004" s="158">
        <f>Prod.!R468</f>
        <v>0</v>
      </c>
      <c r="N1004" s="158">
        <f>Prod.!S468</f>
        <v>0</v>
      </c>
      <c r="O1004" s="158">
        <f>Prod.!V468</f>
        <v>0</v>
      </c>
      <c r="P1004" s="158">
        <f>Prod.!W468</f>
        <v>0</v>
      </c>
      <c r="Q1004" s="158">
        <f>Prod.!X468</f>
        <v>0</v>
      </c>
      <c r="R1004" s="158">
        <f>Prod.!Y468</f>
        <v>0</v>
      </c>
      <c r="U1004" s="1383" t="s">
        <v>230</v>
      </c>
      <c r="V1004" s="1383"/>
      <c r="W1004" s="1383"/>
      <c r="X1004" s="1383"/>
    </row>
    <row r="1005" spans="1:24" ht="15.75" customHeight="1" thickBot="1">
      <c r="A1005" s="515"/>
      <c r="B1005" s="516"/>
      <c r="C1005" s="515"/>
      <c r="D1005" s="517"/>
      <c r="E1005" s="286"/>
      <c r="F1005" s="417"/>
      <c r="G1005" s="379"/>
      <c r="J1005" s="1083">
        <v>110</v>
      </c>
      <c r="K1005" s="514">
        <f>Prod.!J466</f>
        <v>0</v>
      </c>
      <c r="L1005" s="514">
        <f>Prod.!K466</f>
        <v>0</v>
      </c>
      <c r="M1005" s="518">
        <f>Prod.!L466</f>
        <v>0</v>
      </c>
      <c r="N1005" s="514">
        <f>Prod.!M466</f>
        <v>0</v>
      </c>
      <c r="U1005" s="1384">
        <f>A1001</f>
        <v>0</v>
      </c>
      <c r="V1005" s="1384"/>
      <c r="W1005" s="453" t="s">
        <v>233</v>
      </c>
      <c r="X1005" s="454" t="s">
        <v>234</v>
      </c>
    </row>
    <row r="1006" spans="1:24" ht="15" customHeight="1">
      <c r="A1006" s="515"/>
      <c r="B1006" s="516"/>
      <c r="C1006" s="515"/>
      <c r="D1006" s="517"/>
      <c r="E1006" s="286"/>
      <c r="F1006" s="417"/>
      <c r="G1006" s="379"/>
      <c r="J1006" s="414"/>
      <c r="K1006" s="414"/>
      <c r="L1006" s="1385"/>
      <c r="M1006" s="1385"/>
      <c r="N1006" s="1385"/>
      <c r="O1006" s="1385"/>
      <c r="P1006" s="455"/>
      <c r="U1006" s="231"/>
      <c r="X1006" s="456"/>
    </row>
    <row r="1007" spans="1:24" ht="15" customHeight="1">
      <c r="A1007" s="515"/>
      <c r="B1007" s="516"/>
      <c r="C1007" s="515"/>
      <c r="D1007" s="517"/>
      <c r="E1007" s="929"/>
      <c r="F1007" s="417"/>
      <c r="G1007" s="379"/>
      <c r="J1007" s="181"/>
      <c r="K1007" s="508"/>
      <c r="L1007" s="181"/>
      <c r="M1007" s="508"/>
      <c r="N1007" s="181"/>
      <c r="O1007" s="508"/>
      <c r="U1007" s="458">
        <f>E1006</f>
        <v>0</v>
      </c>
      <c r="V1007" s="282">
        <f>F1006</f>
        <v>0</v>
      </c>
      <c r="W1007" s="459"/>
      <c r="X1007" s="460"/>
    </row>
    <row r="1008" spans="1:24" ht="15" customHeight="1">
      <c r="A1008" s="515"/>
      <c r="B1008" s="516"/>
      <c r="C1008" s="515"/>
      <c r="D1008" s="517"/>
      <c r="E1008" s="286"/>
      <c r="F1008" s="417"/>
      <c r="G1008" s="1048"/>
      <c r="K1008" s="1382"/>
      <c r="L1008" s="1382"/>
      <c r="M1008" s="1382"/>
      <c r="N1008" s="1382"/>
      <c r="O1008" s="1382"/>
      <c r="P1008" s="1382"/>
      <c r="Q1008" s="1382"/>
      <c r="R1008" s="1382"/>
      <c r="U1008" s="462">
        <f t="shared" ref="U1008:U1012" si="73">E1008</f>
        <v>0</v>
      </c>
      <c r="V1008" s="463">
        <f t="shared" ref="V1008:V1012" si="74">F1008</f>
        <v>0</v>
      </c>
      <c r="W1008" s="464">
        <f t="shared" ref="W1008:W1012" si="75">G1008</f>
        <v>0</v>
      </c>
      <c r="X1008" s="465"/>
    </row>
    <row r="1009" spans="1:24" ht="15" customHeight="1">
      <c r="A1009" s="515"/>
      <c r="B1009" s="516"/>
      <c r="C1009" s="515"/>
      <c r="D1009" s="517"/>
      <c r="E1009" s="286"/>
      <c r="F1009" s="417"/>
      <c r="G1009" s="1048"/>
      <c r="J1009" s="1080" t="s">
        <v>1</v>
      </c>
      <c r="K1009" s="466" t="s">
        <v>45</v>
      </c>
      <c r="L1009" s="467" t="s">
        <v>46</v>
      </c>
      <c r="M1009" s="468" t="s">
        <v>47</v>
      </c>
      <c r="N1009" s="467" t="s">
        <v>48</v>
      </c>
      <c r="O1009" s="466" t="s">
        <v>45</v>
      </c>
      <c r="P1009" s="467" t="s">
        <v>46</v>
      </c>
      <c r="Q1009" s="468" t="s">
        <v>47</v>
      </c>
      <c r="R1009" s="467" t="s">
        <v>48</v>
      </c>
      <c r="U1009" s="374">
        <f t="shared" si="73"/>
        <v>0</v>
      </c>
      <c r="V1009" s="282">
        <f t="shared" si="74"/>
        <v>0</v>
      </c>
      <c r="W1009" s="469">
        <f t="shared" si="75"/>
        <v>0</v>
      </c>
      <c r="X1009" s="465">
        <f>$I$1</f>
        <v>0</v>
      </c>
    </row>
    <row r="1010" spans="1:24" ht="15" customHeight="1">
      <c r="A1010" s="515"/>
      <c r="B1010" s="516"/>
      <c r="C1010" s="515"/>
      <c r="D1010" s="517"/>
      <c r="E1010" s="286"/>
      <c r="F1010" s="417"/>
      <c r="G1010" s="1048"/>
      <c r="J1010" s="1081">
        <v>130</v>
      </c>
      <c r="K1010" s="471">
        <f>Prod.!P467</f>
        <v>0</v>
      </c>
      <c r="L1010" s="471">
        <f>Prod.!Q467</f>
        <v>0</v>
      </c>
      <c r="M1010" s="471">
        <f>Prod.!R467</f>
        <v>0</v>
      </c>
      <c r="N1010" s="471">
        <f>Prod.!S467</f>
        <v>0</v>
      </c>
      <c r="O1010" s="471">
        <f>Prod.!V467</f>
        <v>0</v>
      </c>
      <c r="P1010" s="471">
        <f>Prod.!W467</f>
        <v>0</v>
      </c>
      <c r="Q1010" s="471">
        <f>Prod.!X467</f>
        <v>0</v>
      </c>
      <c r="R1010" s="471">
        <f>Prod.!Y467</f>
        <v>0</v>
      </c>
      <c r="U1010" s="374">
        <f t="shared" si="73"/>
        <v>0</v>
      </c>
      <c r="V1010" s="282">
        <f t="shared" si="74"/>
        <v>0</v>
      </c>
      <c r="W1010" s="469">
        <f t="shared" si="75"/>
        <v>0</v>
      </c>
      <c r="X1010" s="465">
        <f>IFERROR($I$2,0)</f>
        <v>0</v>
      </c>
    </row>
    <row r="1011" spans="1:24" ht="15" customHeight="1">
      <c r="A1011" s="515"/>
      <c r="B1011" s="516"/>
      <c r="C1011" s="515"/>
      <c r="D1011" s="517"/>
      <c r="E1011" s="1085"/>
      <c r="F1011" s="517"/>
      <c r="G1011" s="1086"/>
      <c r="U1011" s="374">
        <f t="shared" si="73"/>
        <v>0</v>
      </c>
      <c r="V1011" s="282">
        <f t="shared" si="74"/>
        <v>0</v>
      </c>
      <c r="W1011" s="469">
        <f t="shared" si="75"/>
        <v>0</v>
      </c>
      <c r="X1011" s="475"/>
    </row>
    <row r="1012" spans="1:24" ht="15" customHeight="1">
      <c r="A1012" s="515"/>
      <c r="B1012" s="516"/>
      <c r="C1012" s="515"/>
      <c r="D1012" s="517"/>
      <c r="E1012" s="1085"/>
      <c r="F1012" s="1087"/>
      <c r="G1012" s="1088"/>
      <c r="U1012" s="374">
        <f t="shared" si="73"/>
        <v>0</v>
      </c>
      <c r="V1012" s="282">
        <f t="shared" si="74"/>
        <v>0</v>
      </c>
      <c r="W1012" s="469">
        <f t="shared" si="75"/>
        <v>0</v>
      </c>
      <c r="X1012" s="520">
        <f>IFERROR($I$3,0)</f>
        <v>0</v>
      </c>
    </row>
    <row r="1013" spans="1:24" ht="15" customHeight="1">
      <c r="A1013" s="515"/>
      <c r="B1013" s="515"/>
      <c r="C1013" s="515"/>
      <c r="D1013" s="517"/>
      <c r="E1013" s="1085"/>
      <c r="F1013" s="417"/>
      <c r="G1013" s="1089"/>
      <c r="J1013" t="s">
        <v>65</v>
      </c>
      <c r="K1013" s="181">
        <f>Prod.!C466</f>
        <v>0</v>
      </c>
      <c r="L1013" s="181">
        <f>Prod.!D466</f>
        <v>0</v>
      </c>
      <c r="M1013" s="181">
        <f>Prod.!E466</f>
        <v>0</v>
      </c>
      <c r="N1013" s="160">
        <f>Prod.!F466</f>
        <v>0</v>
      </c>
      <c r="O1013" s="160">
        <f>Prod.!G466</f>
        <v>0</v>
      </c>
      <c r="U1013" s="374">
        <f>E1013</f>
        <v>0</v>
      </c>
      <c r="V1013" s="282">
        <f>F1013-V1016</f>
        <v>0</v>
      </c>
      <c r="W1013" s="479"/>
      <c r="X1013" s="456"/>
    </row>
    <row r="1014" spans="1:24" ht="15" customHeight="1">
      <c r="A1014" s="515"/>
      <c r="B1014" s="515"/>
      <c r="C1014" s="515"/>
      <c r="D1014" s="984"/>
      <c r="E1014" s="286"/>
      <c r="F1014" s="417"/>
      <c r="G1014" s="1090"/>
      <c r="J1014" t="s">
        <v>67</v>
      </c>
      <c r="K1014" s="181">
        <f>Prod.!C467</f>
        <v>0</v>
      </c>
      <c r="L1014" s="181">
        <f>Prod.!D467</f>
        <v>0</v>
      </c>
      <c r="M1014" s="181">
        <f>Prod.!E467</f>
        <v>0</v>
      </c>
      <c r="N1014" s="160">
        <f>Prod.!F467</f>
        <v>0</v>
      </c>
      <c r="O1014" s="160">
        <f>Prod.!G467</f>
        <v>0</v>
      </c>
      <c r="T1014" s="160"/>
      <c r="U1014" s="374">
        <f>E1014</f>
        <v>0</v>
      </c>
      <c r="V1014" s="282">
        <f>F1014</f>
        <v>0</v>
      </c>
      <c r="W1014" s="479"/>
      <c r="X1014" s="456"/>
    </row>
    <row r="1015" spans="1:24" ht="15.75" customHeight="1" thickBot="1">
      <c r="A1015" s="515"/>
      <c r="B1015" s="515"/>
      <c r="C1015" s="515"/>
      <c r="D1015" s="517"/>
      <c r="E1015" s="286"/>
      <c r="F1015" s="417"/>
      <c r="G1015" s="379"/>
      <c r="U1015" s="374">
        <f>E1015</f>
        <v>0</v>
      </c>
      <c r="V1015" s="282">
        <f>F1015</f>
        <v>0</v>
      </c>
      <c r="W1015" s="479"/>
      <c r="X1015" s="456"/>
    </row>
    <row r="1016" spans="1:24" ht="14.25" customHeight="1" thickBot="1">
      <c r="A1016" s="515"/>
      <c r="B1016" s="515"/>
      <c r="C1016" s="515"/>
      <c r="D1016" s="517"/>
      <c r="E1016" s="286"/>
      <c r="F1016" s="417"/>
      <c r="G1016" s="379"/>
      <c r="L1016" s="1381" t="s">
        <v>7</v>
      </c>
      <c r="M1016" s="1381"/>
      <c r="N1016" s="1381"/>
      <c r="U1016" s="374">
        <f>E1020</f>
        <v>0</v>
      </c>
      <c r="V1016" s="282">
        <f>F1020</f>
        <v>0</v>
      </c>
      <c r="W1016" s="479"/>
      <c r="X1016" s="456"/>
    </row>
    <row r="1017" spans="1:24" ht="19.5" customHeight="1" thickBot="1">
      <c r="A1017" s="515"/>
      <c r="B1017" s="515"/>
      <c r="C1017" s="515"/>
      <c r="D1017" s="517"/>
      <c r="E1017" s="286"/>
      <c r="F1017" s="417"/>
      <c r="G1017" s="379"/>
      <c r="K1017" s="163">
        <v>160</v>
      </c>
      <c r="L1017" s="1381"/>
      <c r="M1017" s="1381"/>
      <c r="N1017" s="1381"/>
      <c r="U1017" s="483" t="s">
        <v>255</v>
      </c>
      <c r="V1017" s="484">
        <f>V1007+V1008+V1009+V1010+V1011+V1012+V1013+V1014+V1015+V1016</f>
        <v>0</v>
      </c>
      <c r="W1017" s="485"/>
      <c r="X1017" s="454"/>
    </row>
    <row r="1018" spans="1:24" ht="18" customHeight="1" thickBot="1">
      <c r="A1018" s="515"/>
      <c r="B1018" s="515"/>
      <c r="C1018" s="515"/>
      <c r="D1018" s="517"/>
      <c r="E1018" s="286"/>
      <c r="F1018" s="417"/>
      <c r="G1018" s="379"/>
      <c r="L1018" s="1381"/>
      <c r="M1018" s="1381"/>
      <c r="N1018" s="1381"/>
    </row>
    <row r="1019" spans="1:24" ht="15" customHeight="1">
      <c r="A1019" s="515"/>
      <c r="B1019" s="515"/>
      <c r="C1019" s="515"/>
      <c r="D1019" s="517"/>
      <c r="E1019" s="286"/>
      <c r="F1019" s="417"/>
      <c r="G1019" s="417"/>
      <c r="L1019" s="175">
        <f>Prod.!AP463</f>
        <v>6</v>
      </c>
      <c r="M1019" s="176">
        <f>Prod.!AQ463</f>
        <v>0</v>
      </c>
      <c r="N1019" s="486">
        <f>Prod.!AR463</f>
        <v>0</v>
      </c>
    </row>
    <row r="1020" spans="1:24" ht="15" customHeight="1">
      <c r="A1020" s="515"/>
      <c r="B1020" s="515"/>
      <c r="C1020" s="515"/>
      <c r="D1020" s="984"/>
      <c r="E1020" s="286"/>
      <c r="F1020" s="417"/>
      <c r="G1020" s="1091"/>
      <c r="L1020" s="170">
        <f>Prod.!AP464</f>
        <v>5</v>
      </c>
      <c r="M1020" s="171">
        <f>Prod.!AQ464</f>
        <v>0</v>
      </c>
      <c r="N1020" s="100">
        <f>Prod.!AR464</f>
        <v>0</v>
      </c>
    </row>
    <row r="1021" spans="1:24" ht="15" customHeight="1">
      <c r="A1021" s="515"/>
      <c r="B1021" s="516"/>
      <c r="C1021" s="515"/>
      <c r="D1021" s="517"/>
      <c r="E1021" s="286"/>
      <c r="F1021" s="277"/>
      <c r="G1021" s="160"/>
      <c r="L1021" s="170">
        <f>Prod.!AP465</f>
        <v>4</v>
      </c>
      <c r="M1021" s="171">
        <f>Prod.!AQ465</f>
        <v>0</v>
      </c>
      <c r="N1021" s="100">
        <f>Prod.!AR465</f>
        <v>0</v>
      </c>
    </row>
    <row r="1022" spans="1:24" ht="15.75" customHeight="1">
      <c r="A1022" s="515"/>
      <c r="B1022" s="516"/>
      <c r="C1022" s="515"/>
      <c r="D1022" s="517"/>
      <c r="E1022" s="1287"/>
      <c r="F1022" s="1287"/>
      <c r="G1022" s="379"/>
      <c r="L1022" s="170">
        <f>Prod.!AP466</f>
        <v>3</v>
      </c>
      <c r="M1022" s="171">
        <f>Prod.!AQ466</f>
        <v>0</v>
      </c>
      <c r="N1022" s="100">
        <f>Prod.!AR466</f>
        <v>0</v>
      </c>
      <c r="O1022" s="293" t="e">
        <f>N1023/((L1022*M1022)+(L1021*M1021)+(L1020*M1020)+(L1019*M1019))</f>
        <v>#DIV/0!</v>
      </c>
    </row>
    <row r="1023" spans="1:24" ht="15.75" customHeight="1">
      <c r="A1023" s="515"/>
      <c r="B1023" s="515"/>
      <c r="C1023" s="515"/>
      <c r="D1023" s="517"/>
      <c r="E1023" s="984"/>
      <c r="F1023" s="1044"/>
      <c r="G1023" s="417"/>
      <c r="L1023" s="173"/>
      <c r="M1023" s="174"/>
      <c r="N1023" s="491">
        <f>Prod.!AR467</f>
        <v>0</v>
      </c>
    </row>
    <row r="1024" spans="1:24" ht="15" customHeight="1">
      <c r="A1024" s="515"/>
      <c r="B1024" s="516"/>
      <c r="C1024" s="515"/>
      <c r="D1024" s="517"/>
      <c r="E1024" s="984"/>
      <c r="F1024" s="1044"/>
      <c r="G1024" s="417"/>
    </row>
    <row r="1025" spans="1:15" ht="15" customHeight="1">
      <c r="A1025" s="515"/>
      <c r="B1025" s="516"/>
      <c r="C1025" s="515"/>
      <c r="D1025" s="517"/>
      <c r="E1025" s="984"/>
      <c r="F1025" s="1044"/>
      <c r="G1025" s="417"/>
    </row>
    <row r="1026" spans="1:15" ht="14.25" customHeight="1">
      <c r="A1026" s="515"/>
      <c r="B1026" s="515"/>
      <c r="C1026" s="515"/>
      <c r="D1026" s="517"/>
      <c r="E1026" s="984"/>
      <c r="F1026" s="1044"/>
      <c r="G1026" s="417"/>
    </row>
    <row r="1027" spans="1:15" ht="15" customHeight="1">
      <c r="A1027" s="515"/>
      <c r="B1027" s="516"/>
      <c r="C1027" s="515"/>
      <c r="D1027" s="517"/>
      <c r="E1027" s="984"/>
      <c r="F1027" s="172"/>
      <c r="G1027" s="417"/>
      <c r="L1027" s="1381" t="s">
        <v>7</v>
      </c>
      <c r="M1027" s="1381"/>
      <c r="N1027" s="1381"/>
    </row>
    <row r="1028" spans="1:15" ht="15" customHeight="1">
      <c r="A1028" s="515"/>
      <c r="B1028" s="516"/>
      <c r="C1028" s="515"/>
      <c r="D1028" s="517"/>
      <c r="E1028" s="984"/>
      <c r="F1028" s="493"/>
      <c r="G1028" s="417"/>
      <c r="K1028" s="163">
        <v>130</v>
      </c>
      <c r="L1028" s="1381"/>
      <c r="M1028" s="1381"/>
      <c r="N1028" s="1381"/>
    </row>
    <row r="1029" spans="1:15" ht="15" customHeight="1">
      <c r="A1029" s="515"/>
      <c r="B1029" s="516"/>
      <c r="C1029" s="515"/>
      <c r="D1029" s="517"/>
      <c r="E1029" s="984"/>
      <c r="F1029" s="517"/>
      <c r="G1029" s="160"/>
      <c r="L1029" s="1381"/>
      <c r="M1029" s="1381"/>
      <c r="N1029" s="1381"/>
    </row>
    <row r="1030" spans="1:15" ht="15" customHeight="1">
      <c r="A1030" s="515"/>
      <c r="B1030" s="516"/>
      <c r="C1030" s="515"/>
      <c r="D1030" s="517"/>
      <c r="E1030" s="984"/>
      <c r="F1030" s="517"/>
      <c r="L1030" s="175">
        <f>Prod.!AP455</f>
        <v>6</v>
      </c>
      <c r="M1030" s="176">
        <f>Prod.!AQ455</f>
        <v>0</v>
      </c>
      <c r="N1030" s="486">
        <f>Prod.!AR455</f>
        <v>0</v>
      </c>
    </row>
    <row r="1031" spans="1:15" ht="15" customHeight="1">
      <c r="A1031" s="515"/>
      <c r="B1031" s="515"/>
      <c r="C1031" s="515"/>
      <c r="D1031" s="517"/>
      <c r="E1031" s="984"/>
      <c r="F1031" s="254"/>
      <c r="L1031" s="170">
        <f>Prod.!AP456</f>
        <v>5</v>
      </c>
      <c r="M1031" s="171">
        <f>Prod.!AQ456</f>
        <v>0</v>
      </c>
      <c r="N1031" s="100">
        <f>Prod.!AR456</f>
        <v>0</v>
      </c>
      <c r="O1031" s="160"/>
    </row>
    <row r="1032" spans="1:15" ht="15" customHeight="1">
      <c r="A1032" s="515"/>
      <c r="B1032" s="515"/>
      <c r="C1032" s="515"/>
      <c r="D1032" s="517"/>
      <c r="E1032" s="984"/>
      <c r="F1032" s="254"/>
      <c r="L1032" s="170">
        <f>Prod.!AP457</f>
        <v>4</v>
      </c>
      <c r="M1032" s="171">
        <f>Prod.!AQ457</f>
        <v>0</v>
      </c>
      <c r="N1032" s="100">
        <f>Prod.!AR457</f>
        <v>0</v>
      </c>
      <c r="O1032" s="160"/>
    </row>
    <row r="1033" spans="1:15" ht="15.75" customHeight="1">
      <c r="A1033" s="515"/>
      <c r="B1033" s="515"/>
      <c r="C1033" s="515"/>
      <c r="D1033" s="517"/>
      <c r="E1033" s="984"/>
      <c r="F1033" s="536"/>
      <c r="L1033" s="170">
        <f>Prod.!AP458</f>
        <v>3</v>
      </c>
      <c r="M1033" s="172">
        <f>Prod.!AQ458</f>
        <v>0</v>
      </c>
      <c r="N1033" s="100">
        <f>Prod.!AR458</f>
        <v>0</v>
      </c>
      <c r="O1033" t="e">
        <f>N1034/((L1033*M1033)+(L1032*M1032)+(L1031*M1031)+(L1030*M1030))</f>
        <v>#DIV/0!</v>
      </c>
    </row>
    <row r="1034" spans="1:15" ht="15.75" customHeight="1">
      <c r="A1034" s="515"/>
      <c r="B1034" s="515"/>
      <c r="C1034" s="515"/>
      <c r="D1034" s="434"/>
      <c r="E1034" s="984"/>
      <c r="F1034" s="1092"/>
      <c r="L1034" s="173"/>
      <c r="M1034" s="174"/>
      <c r="N1034" s="491">
        <f>Prod.!AR459</f>
        <v>0</v>
      </c>
      <c r="O1034" s="160"/>
    </row>
    <row r="1035" spans="1:15" ht="15" customHeight="1">
      <c r="A1035" s="984"/>
      <c r="B1035" s="984"/>
      <c r="C1035" s="984"/>
      <c r="D1035" s="984"/>
      <c r="E1035" s="515"/>
      <c r="F1035" s="517"/>
      <c r="G1035" s="1091"/>
    </row>
    <row r="1036" spans="1:15" ht="15" customHeight="1">
      <c r="A1036" s="984"/>
      <c r="B1036" s="1093"/>
      <c r="C1036" s="1093"/>
      <c r="D1036" s="984"/>
      <c r="E1036" s="286"/>
      <c r="F1036" s="417"/>
      <c r="G1036" s="253"/>
    </row>
    <row r="1037" spans="1:15" ht="15" customHeight="1">
      <c r="A1037" s="984"/>
      <c r="B1037" s="1093"/>
      <c r="C1037" s="1093"/>
      <c r="D1037" s="984"/>
      <c r="E1037" s="286"/>
      <c r="F1037" s="417"/>
      <c r="G1037" s="253"/>
    </row>
    <row r="1038" spans="1:15" ht="15" customHeight="1">
      <c r="A1038" s="984"/>
      <c r="B1038" s="1093"/>
      <c r="C1038" s="1093"/>
      <c r="D1038" s="984"/>
      <c r="E1038" s="286"/>
      <c r="F1038" s="417"/>
      <c r="G1038" s="253"/>
    </row>
    <row r="1039" spans="1:15" ht="15" customHeight="1">
      <c r="A1039" s="984"/>
      <c r="B1039" s="1051"/>
      <c r="C1039" s="1051"/>
      <c r="D1039" s="984"/>
      <c r="E1039" s="286"/>
      <c r="F1039" s="417"/>
      <c r="G1039" s="253"/>
    </row>
    <row r="1040" spans="1:15" ht="15" customHeight="1">
      <c r="A1040" s="984"/>
      <c r="B1040" s="1051"/>
      <c r="C1040" s="1051"/>
      <c r="D1040" s="984"/>
      <c r="E1040" s="286"/>
      <c r="F1040" s="417"/>
    </row>
    <row r="1041" spans="1:24" ht="15" customHeight="1">
      <c r="A1041" s="1084"/>
      <c r="B1041" s="515"/>
      <c r="H1041" s="180"/>
      <c r="J1041" s="515"/>
      <c r="K1041" s="516"/>
      <c r="L1041" s="515"/>
      <c r="M1041" s="517"/>
    </row>
    <row r="1042" spans="1:24" ht="15" customHeight="1">
      <c r="A1042" s="984"/>
      <c r="B1042" s="984"/>
      <c r="D1042" s="434"/>
      <c r="E1042" s="434"/>
      <c r="H1042" s="180"/>
      <c r="J1042" s="1079" t="s">
        <v>316</v>
      </c>
      <c r="K1042" s="1382"/>
      <c r="L1042" s="1382"/>
      <c r="M1042" s="1382"/>
      <c r="N1042" s="1382"/>
      <c r="O1042" s="1382"/>
      <c r="P1042" s="1382"/>
      <c r="Q1042" s="1382"/>
      <c r="R1042" s="1382"/>
    </row>
    <row r="1043" spans="1:24" ht="15.75" customHeight="1" thickBot="1">
      <c r="A1043" s="984"/>
      <c r="B1043" s="1051"/>
      <c r="H1043" s="180"/>
      <c r="J1043" s="1080" t="s">
        <v>1</v>
      </c>
      <c r="K1043" s="466" t="s">
        <v>45</v>
      </c>
      <c r="L1043" s="467" t="s">
        <v>46</v>
      </c>
      <c r="M1043" s="468" t="s">
        <v>47</v>
      </c>
      <c r="N1043" s="511" t="s">
        <v>48</v>
      </c>
      <c r="O1043" s="512" t="s">
        <v>45</v>
      </c>
      <c r="P1043" s="511" t="s">
        <v>46</v>
      </c>
      <c r="Q1043" s="513" t="s">
        <v>47</v>
      </c>
      <c r="R1043" s="511" t="s">
        <v>48</v>
      </c>
    </row>
    <row r="1044" spans="1:24" ht="15.75" customHeight="1" thickBot="1">
      <c r="A1044" s="984"/>
      <c r="B1044" s="984"/>
      <c r="C1044" s="984"/>
      <c r="D1044" s="984"/>
      <c r="E1044" s="984"/>
      <c r="F1044" s="417"/>
      <c r="G1044" s="379"/>
      <c r="J1044" s="1082">
        <v>160</v>
      </c>
      <c r="K1044" s="158">
        <f>Prod.!P486</f>
        <v>0</v>
      </c>
      <c r="L1044" s="158">
        <f>Prod.!Q486</f>
        <v>0</v>
      </c>
      <c r="M1044" s="158">
        <f>Prod.!R486</f>
        <v>0</v>
      </c>
      <c r="N1044" s="158">
        <f>Prod.!S486</f>
        <v>0</v>
      </c>
      <c r="O1044" s="158">
        <f>Prod.!V486</f>
        <v>0</v>
      </c>
      <c r="P1044" s="158">
        <f>Prod.!W486</f>
        <v>0</v>
      </c>
      <c r="Q1044" s="158">
        <f>Prod.!X486</f>
        <v>0</v>
      </c>
      <c r="R1044" s="158">
        <f>Prod.!Y486</f>
        <v>0</v>
      </c>
      <c r="U1044" s="1383" t="s">
        <v>230</v>
      </c>
      <c r="V1044" s="1383"/>
      <c r="W1044" s="1383"/>
      <c r="X1044" s="1383"/>
    </row>
    <row r="1045" spans="1:24" ht="15.75" customHeight="1" thickBot="1">
      <c r="A1045" s="515"/>
      <c r="B1045" s="516"/>
      <c r="C1045" s="515"/>
      <c r="D1045" s="517"/>
      <c r="E1045" s="286"/>
      <c r="F1045" s="417"/>
      <c r="G1045" s="379"/>
      <c r="J1045" s="1083">
        <v>110</v>
      </c>
      <c r="K1045" s="514">
        <f>Prod.!J484</f>
        <v>0</v>
      </c>
      <c r="L1045" s="514">
        <f>Prod.!K484</f>
        <v>0</v>
      </c>
      <c r="M1045" s="522">
        <f>Prod.!L484</f>
        <v>0</v>
      </c>
      <c r="N1045" s="514">
        <f>Prod.!M484</f>
        <v>0</v>
      </c>
      <c r="U1045" s="1384">
        <f>A1041</f>
        <v>0</v>
      </c>
      <c r="V1045" s="1384"/>
      <c r="W1045" s="453" t="s">
        <v>233</v>
      </c>
      <c r="X1045" s="454" t="s">
        <v>234</v>
      </c>
    </row>
    <row r="1046" spans="1:24" ht="15" customHeight="1">
      <c r="A1046" s="515"/>
      <c r="B1046" s="516"/>
      <c r="C1046" s="515"/>
      <c r="D1046" s="517"/>
      <c r="E1046" s="286"/>
      <c r="F1046" s="417"/>
      <c r="G1046" s="379"/>
      <c r="J1046" s="414"/>
      <c r="K1046" s="414"/>
      <c r="L1046" s="1385"/>
      <c r="M1046" s="1385"/>
      <c r="N1046" s="1385"/>
      <c r="O1046" s="1385"/>
      <c r="P1046" s="455"/>
      <c r="U1046" s="231"/>
      <c r="X1046" s="456"/>
    </row>
    <row r="1047" spans="1:24" ht="15" customHeight="1">
      <c r="A1047" s="515"/>
      <c r="B1047" s="516"/>
      <c r="C1047" s="515"/>
      <c r="D1047" s="517"/>
      <c r="E1047" s="929"/>
      <c r="F1047" s="417"/>
      <c r="G1047" s="379"/>
      <c r="J1047" s="181"/>
      <c r="K1047" s="508"/>
      <c r="L1047" s="181"/>
      <c r="M1047" s="508"/>
      <c r="N1047" s="181"/>
      <c r="O1047" s="508"/>
      <c r="U1047" s="458">
        <f>E1046</f>
        <v>0</v>
      </c>
      <c r="V1047" s="282">
        <f>F1046</f>
        <v>0</v>
      </c>
      <c r="W1047" s="459"/>
      <c r="X1047" s="460"/>
    </row>
    <row r="1048" spans="1:24" ht="15" customHeight="1">
      <c r="A1048" s="515"/>
      <c r="B1048" s="516"/>
      <c r="C1048" s="515"/>
      <c r="D1048" s="517"/>
      <c r="E1048" s="286"/>
      <c r="F1048" s="417"/>
      <c r="G1048" s="1048"/>
      <c r="K1048" s="1382"/>
      <c r="L1048" s="1382"/>
      <c r="M1048" s="1382"/>
      <c r="N1048" s="1382"/>
      <c r="O1048" s="1382"/>
      <c r="P1048" s="1382"/>
      <c r="Q1048" s="1382"/>
      <c r="R1048" s="1382"/>
      <c r="U1048" s="462">
        <f t="shared" ref="U1048:U1052" si="76">E1048</f>
        <v>0</v>
      </c>
      <c r="V1048" s="463">
        <f t="shared" ref="V1048:V1052" si="77">F1048</f>
        <v>0</v>
      </c>
      <c r="W1048" s="464">
        <f t="shared" ref="W1048:W1052" si="78">G1048</f>
        <v>0</v>
      </c>
      <c r="X1048" s="465"/>
    </row>
    <row r="1049" spans="1:24" ht="15" customHeight="1">
      <c r="A1049" s="515"/>
      <c r="B1049" s="516"/>
      <c r="C1049" s="515"/>
      <c r="D1049" s="517"/>
      <c r="E1049" s="286"/>
      <c r="F1049" s="417"/>
      <c r="G1049" s="1048"/>
      <c r="J1049" s="1080" t="s">
        <v>1</v>
      </c>
      <c r="K1049" s="466" t="s">
        <v>45</v>
      </c>
      <c r="L1049" s="467" t="s">
        <v>46</v>
      </c>
      <c r="M1049" s="468" t="s">
        <v>47</v>
      </c>
      <c r="N1049" s="467" t="s">
        <v>48</v>
      </c>
      <c r="O1049" s="466" t="s">
        <v>45</v>
      </c>
      <c r="P1049" s="467" t="s">
        <v>46</v>
      </c>
      <c r="Q1049" s="468" t="s">
        <v>47</v>
      </c>
      <c r="R1049" s="467" t="s">
        <v>48</v>
      </c>
      <c r="U1049" s="374">
        <f t="shared" si="76"/>
        <v>0</v>
      </c>
      <c r="V1049" s="282">
        <f t="shared" si="77"/>
        <v>0</v>
      </c>
      <c r="W1049" s="469">
        <f t="shared" si="78"/>
        <v>0</v>
      </c>
      <c r="X1049" s="465">
        <f>$I$1</f>
        <v>0</v>
      </c>
    </row>
    <row r="1050" spans="1:24" ht="15" customHeight="1">
      <c r="A1050" s="515"/>
      <c r="B1050" s="516"/>
      <c r="C1050" s="515"/>
      <c r="D1050" s="517"/>
      <c r="E1050" s="286"/>
      <c r="F1050" s="417"/>
      <c r="G1050" s="1048"/>
      <c r="J1050" s="1081">
        <v>130</v>
      </c>
      <c r="K1050" s="471">
        <f>Prod.!P485</f>
        <v>0</v>
      </c>
      <c r="L1050" s="471">
        <f>Prod.!Q485</f>
        <v>0</v>
      </c>
      <c r="M1050" s="471">
        <f>Prod.!R485</f>
        <v>0</v>
      </c>
      <c r="N1050" s="471">
        <f>Prod.!S485</f>
        <v>0</v>
      </c>
      <c r="O1050" s="471">
        <f>Prod.!V485</f>
        <v>0</v>
      </c>
      <c r="P1050" s="471">
        <f>Prod.!W485</f>
        <v>0</v>
      </c>
      <c r="Q1050" s="471">
        <f>Prod.!X485</f>
        <v>0</v>
      </c>
      <c r="R1050" s="471">
        <f>Prod.!Y485</f>
        <v>0</v>
      </c>
      <c r="U1050" s="374">
        <f t="shared" si="76"/>
        <v>0</v>
      </c>
      <c r="V1050" s="282">
        <f t="shared" si="77"/>
        <v>0</v>
      </c>
      <c r="W1050" s="469">
        <f t="shared" si="78"/>
        <v>0</v>
      </c>
      <c r="X1050" s="465">
        <f>IFERROR($I$2,0)</f>
        <v>0</v>
      </c>
    </row>
    <row r="1051" spans="1:24" ht="15" customHeight="1">
      <c r="A1051" s="515"/>
      <c r="B1051" s="516"/>
      <c r="C1051" s="515"/>
      <c r="D1051" s="517"/>
      <c r="E1051" s="1085"/>
      <c r="F1051" s="517"/>
      <c r="G1051" s="1086"/>
      <c r="U1051" s="374">
        <f t="shared" si="76"/>
        <v>0</v>
      </c>
      <c r="V1051" s="282">
        <f t="shared" si="77"/>
        <v>0</v>
      </c>
      <c r="W1051" s="469">
        <f t="shared" si="78"/>
        <v>0</v>
      </c>
      <c r="X1051" s="475"/>
    </row>
    <row r="1052" spans="1:24" ht="15" customHeight="1">
      <c r="A1052" s="515"/>
      <c r="B1052" s="516"/>
      <c r="C1052" s="515"/>
      <c r="D1052" s="517"/>
      <c r="E1052" s="1085"/>
      <c r="F1052" s="1087"/>
      <c r="G1052" s="1088"/>
      <c r="U1052" s="374">
        <f t="shared" si="76"/>
        <v>0</v>
      </c>
      <c r="V1052" s="282">
        <f t="shared" si="77"/>
        <v>0</v>
      </c>
      <c r="W1052" s="469">
        <f t="shared" si="78"/>
        <v>0</v>
      </c>
      <c r="X1052" s="520">
        <f>IFERROR($I$3,0)</f>
        <v>0</v>
      </c>
    </row>
    <row r="1053" spans="1:24" ht="15" customHeight="1">
      <c r="A1053" s="515"/>
      <c r="B1053" s="515"/>
      <c r="C1053" s="515"/>
      <c r="D1053" s="517"/>
      <c r="E1053" s="1085"/>
      <c r="F1053" s="417"/>
      <c r="G1053" s="1089"/>
      <c r="J1053" t="s">
        <v>65</v>
      </c>
      <c r="K1053" s="181">
        <f>Prod.!C484</f>
        <v>0</v>
      </c>
      <c r="L1053" s="181">
        <f>Prod.!D484</f>
        <v>0</v>
      </c>
      <c r="M1053" s="181">
        <f>Prod.!E484</f>
        <v>0</v>
      </c>
      <c r="N1053" s="160">
        <f>Prod.!F484</f>
        <v>0</v>
      </c>
      <c r="O1053" s="160">
        <f>Prod.!G484</f>
        <v>0</v>
      </c>
      <c r="U1053" s="374">
        <f>E1053</f>
        <v>0</v>
      </c>
      <c r="V1053" s="282">
        <f>F1053-V1056</f>
        <v>0</v>
      </c>
      <c r="W1053" s="479"/>
      <c r="X1053" s="456"/>
    </row>
    <row r="1054" spans="1:24" ht="15" customHeight="1">
      <c r="A1054" s="515"/>
      <c r="B1054" s="515"/>
      <c r="C1054" s="515"/>
      <c r="D1054" s="984"/>
      <c r="E1054" s="286"/>
      <c r="F1054" s="417"/>
      <c r="G1054" s="1090"/>
      <c r="J1054" t="s">
        <v>67</v>
      </c>
      <c r="K1054" s="181">
        <f>Prod.!C485</f>
        <v>0</v>
      </c>
      <c r="L1054" s="181">
        <f>Prod.!D485</f>
        <v>0</v>
      </c>
      <c r="M1054" s="181">
        <f>Prod.!E485</f>
        <v>0</v>
      </c>
      <c r="N1054" s="160">
        <f>Prod.!F485</f>
        <v>0</v>
      </c>
      <c r="O1054" s="160">
        <f>Prod.!G485</f>
        <v>0</v>
      </c>
      <c r="T1054" s="160"/>
      <c r="U1054" s="374">
        <f>E1054</f>
        <v>0</v>
      </c>
      <c r="V1054" s="282">
        <f>F1054</f>
        <v>0</v>
      </c>
      <c r="W1054" s="479"/>
      <c r="X1054" s="456"/>
    </row>
    <row r="1055" spans="1:24" ht="15.75" customHeight="1" thickBot="1">
      <c r="A1055" s="515"/>
      <c r="B1055" s="515"/>
      <c r="C1055" s="515"/>
      <c r="D1055" s="517"/>
      <c r="E1055" s="286"/>
      <c r="F1055" s="417"/>
      <c r="G1055" s="379"/>
      <c r="U1055" s="374">
        <f>E1055</f>
        <v>0</v>
      </c>
      <c r="V1055" s="282">
        <f>F1055</f>
        <v>0</v>
      </c>
      <c r="W1055" s="479"/>
      <c r="X1055" s="456"/>
    </row>
    <row r="1056" spans="1:24" ht="14.25" customHeight="1" thickBot="1">
      <c r="A1056" s="515"/>
      <c r="B1056" s="515"/>
      <c r="C1056" s="515"/>
      <c r="D1056" s="517"/>
      <c r="E1056" s="286"/>
      <c r="F1056" s="417"/>
      <c r="G1056" s="379"/>
      <c r="L1056" s="1381" t="s">
        <v>7</v>
      </c>
      <c r="M1056" s="1381"/>
      <c r="N1056" s="1381"/>
      <c r="U1056" s="374">
        <f>E1060</f>
        <v>0</v>
      </c>
      <c r="V1056" s="282">
        <f>F1060</f>
        <v>0</v>
      </c>
      <c r="W1056" s="479"/>
      <c r="X1056" s="456"/>
    </row>
    <row r="1057" spans="1:24" ht="19.5" customHeight="1" thickBot="1">
      <c r="A1057" s="515"/>
      <c r="B1057" s="515"/>
      <c r="C1057" s="515"/>
      <c r="D1057" s="517"/>
      <c r="E1057" s="286"/>
      <c r="F1057" s="417"/>
      <c r="G1057" s="379"/>
      <c r="K1057" s="163">
        <v>160</v>
      </c>
      <c r="L1057" s="1381"/>
      <c r="M1057" s="1381"/>
      <c r="N1057" s="1381"/>
      <c r="U1057" s="483" t="s">
        <v>255</v>
      </c>
      <c r="V1057" s="484">
        <f>V1047+V1048+V1049+V1050+V1051+V1052+V1053+V1054+V1055+V1056</f>
        <v>0</v>
      </c>
      <c r="W1057" s="485"/>
      <c r="X1057" s="454"/>
    </row>
    <row r="1058" spans="1:24" ht="18" customHeight="1" thickBot="1">
      <c r="A1058" s="515"/>
      <c r="B1058" s="515"/>
      <c r="C1058" s="515"/>
      <c r="D1058" s="517"/>
      <c r="E1058" s="286"/>
      <c r="F1058" s="417"/>
      <c r="G1058" s="379"/>
      <c r="L1058" s="1381"/>
      <c r="M1058" s="1381"/>
      <c r="N1058" s="1381"/>
    </row>
    <row r="1059" spans="1:24" ht="15" customHeight="1">
      <c r="A1059" s="515"/>
      <c r="B1059" s="515"/>
      <c r="C1059" s="515"/>
      <c r="D1059" s="517"/>
      <c r="E1059" s="286"/>
      <c r="F1059" s="417"/>
      <c r="G1059" s="417"/>
      <c r="L1059" s="175">
        <f>Prod.!AP481</f>
        <v>6</v>
      </c>
      <c r="M1059" s="176">
        <f>Prod.!AQ481</f>
        <v>0</v>
      </c>
      <c r="N1059" s="486">
        <f>Prod.!AR481</f>
        <v>0</v>
      </c>
    </row>
    <row r="1060" spans="1:24" ht="15" customHeight="1">
      <c r="A1060" s="515"/>
      <c r="B1060" s="515"/>
      <c r="C1060" s="515"/>
      <c r="D1060" s="984"/>
      <c r="E1060" s="286"/>
      <c r="F1060" s="417"/>
      <c r="G1060" s="1091"/>
      <c r="L1060" s="170">
        <f>Prod.!AP482</f>
        <v>5</v>
      </c>
      <c r="M1060" s="171">
        <f>Prod.!AQ482</f>
        <v>0</v>
      </c>
      <c r="N1060" s="100">
        <f>Prod.!AR482</f>
        <v>0</v>
      </c>
    </row>
    <row r="1061" spans="1:24" ht="15" customHeight="1">
      <c r="A1061" s="515"/>
      <c r="B1061" s="516"/>
      <c r="C1061" s="515"/>
      <c r="D1061" s="517"/>
      <c r="E1061" s="286"/>
      <c r="F1061" s="277"/>
      <c r="G1061" s="160"/>
      <c r="L1061" s="170">
        <f>Prod.!AP483</f>
        <v>4</v>
      </c>
      <c r="M1061" s="171">
        <f>Prod.!AQ483</f>
        <v>0</v>
      </c>
      <c r="N1061" s="100">
        <f>Prod.!AR483</f>
        <v>0</v>
      </c>
    </row>
    <row r="1062" spans="1:24" ht="15.75" customHeight="1">
      <c r="A1062" s="515"/>
      <c r="B1062" s="516"/>
      <c r="C1062" s="515"/>
      <c r="D1062" s="517"/>
      <c r="E1062" s="1287"/>
      <c r="F1062" s="1287"/>
      <c r="G1062" s="379"/>
      <c r="L1062" s="170">
        <f>Prod.!AP484</f>
        <v>3</v>
      </c>
      <c r="M1062" s="171">
        <f>Prod.!AQ484</f>
        <v>0</v>
      </c>
      <c r="N1062" s="100">
        <f>Prod.!AR484</f>
        <v>0</v>
      </c>
      <c r="O1062" s="293" t="e">
        <f>N1063/((L1062*M1062)+(L1061*M1061)+(L1060*M1060)+(L1059*M1059))</f>
        <v>#DIV/0!</v>
      </c>
    </row>
    <row r="1063" spans="1:24" ht="15.75" customHeight="1">
      <c r="A1063" s="515"/>
      <c r="B1063" s="515"/>
      <c r="C1063" s="515"/>
      <c r="D1063" s="517"/>
      <c r="E1063" s="984"/>
      <c r="F1063" s="1044"/>
      <c r="G1063" s="417"/>
      <c r="L1063" s="173"/>
      <c r="M1063" s="174"/>
      <c r="N1063" s="491">
        <f>Prod.!AR485</f>
        <v>0</v>
      </c>
    </row>
    <row r="1064" spans="1:24" ht="15" customHeight="1">
      <c r="A1064" s="515"/>
      <c r="B1064" s="516"/>
      <c r="C1064" s="515"/>
      <c r="D1064" s="517"/>
      <c r="E1064" s="984"/>
      <c r="F1064" s="1044"/>
      <c r="G1064" s="417"/>
    </row>
    <row r="1065" spans="1:24" ht="15" customHeight="1">
      <c r="A1065" s="515"/>
      <c r="B1065" s="516"/>
      <c r="C1065" s="515"/>
      <c r="D1065" s="517"/>
      <c r="E1065" s="984"/>
      <c r="F1065" s="1044"/>
      <c r="G1065" s="417"/>
    </row>
    <row r="1066" spans="1:24" ht="14.25" customHeight="1">
      <c r="A1066" s="515"/>
      <c r="B1066" s="515"/>
      <c r="C1066" s="515"/>
      <c r="D1066" s="517"/>
      <c r="E1066" s="984"/>
      <c r="F1066" s="1044"/>
      <c r="G1066" s="417"/>
    </row>
    <row r="1067" spans="1:24" ht="15" customHeight="1">
      <c r="A1067" s="515"/>
      <c r="B1067" s="516"/>
      <c r="C1067" s="515"/>
      <c r="D1067" s="517"/>
      <c r="E1067" s="984"/>
      <c r="F1067" s="172"/>
      <c r="G1067" s="417"/>
      <c r="L1067" s="1381" t="s">
        <v>7</v>
      </c>
      <c r="M1067" s="1381"/>
      <c r="N1067" s="1381"/>
    </row>
    <row r="1068" spans="1:24" ht="15" customHeight="1">
      <c r="A1068" s="515"/>
      <c r="B1068" s="516"/>
      <c r="C1068" s="515"/>
      <c r="D1068" s="517"/>
      <c r="E1068" s="984"/>
      <c r="F1068" s="493"/>
      <c r="G1068" s="417"/>
      <c r="K1068" s="163">
        <v>130</v>
      </c>
      <c r="L1068" s="1381"/>
      <c r="M1068" s="1381"/>
      <c r="N1068" s="1381"/>
    </row>
    <row r="1069" spans="1:24" ht="15" customHeight="1">
      <c r="A1069" s="515"/>
      <c r="B1069" s="516"/>
      <c r="C1069" s="515"/>
      <c r="D1069" s="517"/>
      <c r="E1069" s="984"/>
      <c r="F1069" s="517"/>
      <c r="G1069" s="160"/>
      <c r="L1069" s="1381"/>
      <c r="M1069" s="1381"/>
      <c r="N1069" s="1381"/>
    </row>
    <row r="1070" spans="1:24" ht="15" customHeight="1">
      <c r="A1070" s="515"/>
      <c r="B1070" s="516"/>
      <c r="C1070" s="515"/>
      <c r="D1070" s="517"/>
      <c r="E1070" s="984"/>
      <c r="F1070" s="517"/>
      <c r="L1070" s="175">
        <f>Prod.!AP473</f>
        <v>6</v>
      </c>
      <c r="M1070" s="176">
        <f>Prod.!AQ473</f>
        <v>0</v>
      </c>
      <c r="N1070" s="486">
        <f>Prod.!AR473</f>
        <v>0</v>
      </c>
    </row>
    <row r="1071" spans="1:24" ht="15" customHeight="1">
      <c r="A1071" s="515"/>
      <c r="B1071" s="515"/>
      <c r="C1071" s="515"/>
      <c r="D1071" s="517"/>
      <c r="E1071" s="984"/>
      <c r="F1071" s="254"/>
      <c r="L1071" s="170">
        <f>Prod.!AP474</f>
        <v>5</v>
      </c>
      <c r="M1071" s="171">
        <f>Prod.!AQ474</f>
        <v>0</v>
      </c>
      <c r="N1071" s="100">
        <f>Prod.!AR474</f>
        <v>0</v>
      </c>
      <c r="O1071" s="160"/>
    </row>
    <row r="1072" spans="1:24" ht="15" customHeight="1">
      <c r="A1072" s="515"/>
      <c r="B1072" s="515"/>
      <c r="C1072" s="515"/>
      <c r="D1072" s="517"/>
      <c r="E1072" s="984"/>
      <c r="F1072" s="254"/>
      <c r="L1072" s="170">
        <f>Prod.!AP475</f>
        <v>4</v>
      </c>
      <c r="M1072" s="171">
        <f>Prod.!AQ475</f>
        <v>0</v>
      </c>
      <c r="N1072" s="100">
        <f>Prod.!AR475</f>
        <v>0</v>
      </c>
      <c r="O1072" s="160"/>
    </row>
    <row r="1073" spans="1:24" ht="15.75" customHeight="1">
      <c r="A1073" s="515"/>
      <c r="B1073" s="515"/>
      <c r="C1073" s="515"/>
      <c r="D1073" s="517"/>
      <c r="E1073" s="984"/>
      <c r="F1073" s="536"/>
      <c r="L1073" s="170">
        <f>Prod.!AP476</f>
        <v>3</v>
      </c>
      <c r="M1073" s="172">
        <f>Prod.!AQ476</f>
        <v>0</v>
      </c>
      <c r="N1073" s="100">
        <f>Prod.!AR476</f>
        <v>0</v>
      </c>
      <c r="O1073" t="e">
        <f>N1074/((L1073*M1073)+(L1072*M1072)+(L1071*M1071)+(L1070*M1070))</f>
        <v>#DIV/0!</v>
      </c>
    </row>
    <row r="1074" spans="1:24" ht="15.75" customHeight="1">
      <c r="A1074" s="515"/>
      <c r="B1074" s="515"/>
      <c r="C1074" s="515"/>
      <c r="D1074" s="434"/>
      <c r="E1074" s="984"/>
      <c r="F1074" s="1092"/>
      <c r="L1074" s="173"/>
      <c r="M1074" s="174"/>
      <c r="N1074" s="491">
        <f>Prod.!AR477</f>
        <v>0</v>
      </c>
      <c r="O1074" s="160"/>
    </row>
    <row r="1075" spans="1:24" ht="15" customHeight="1">
      <c r="A1075" s="984"/>
      <c r="B1075" s="984"/>
      <c r="C1075" s="984"/>
      <c r="D1075" s="984"/>
      <c r="E1075" s="515"/>
      <c r="F1075" s="517"/>
      <c r="G1075" s="1091"/>
    </row>
    <row r="1076" spans="1:24" ht="15" customHeight="1">
      <c r="A1076" s="984"/>
      <c r="B1076" s="1093"/>
      <c r="C1076" s="1093"/>
      <c r="D1076" s="984"/>
      <c r="E1076" s="286"/>
      <c r="F1076" s="417"/>
      <c r="G1076" s="253"/>
    </row>
    <row r="1077" spans="1:24" ht="15" customHeight="1">
      <c r="A1077" s="984"/>
      <c r="B1077" s="1093"/>
      <c r="C1077" s="1093"/>
      <c r="D1077" s="984"/>
      <c r="E1077" s="286"/>
      <c r="F1077" s="417"/>
      <c r="G1077" s="253"/>
    </row>
    <row r="1078" spans="1:24" ht="15" customHeight="1">
      <c r="A1078" s="984"/>
      <c r="B1078" s="1093"/>
      <c r="C1078" s="1093"/>
      <c r="D1078" s="984"/>
      <c r="E1078" s="286"/>
      <c r="F1078" s="417"/>
      <c r="G1078" s="253"/>
    </row>
    <row r="1079" spans="1:24" ht="15" customHeight="1">
      <c r="A1079" s="984"/>
      <c r="B1079" s="1051"/>
      <c r="C1079" s="1051"/>
      <c r="D1079" s="984"/>
      <c r="E1079" s="286"/>
      <c r="F1079" s="417"/>
      <c r="G1079" s="253"/>
    </row>
    <row r="1080" spans="1:24" ht="15" customHeight="1">
      <c r="A1080" s="984"/>
      <c r="B1080" s="1051"/>
      <c r="C1080" s="1051"/>
      <c r="D1080" s="984"/>
      <c r="E1080" s="286"/>
      <c r="F1080" s="417"/>
    </row>
    <row r="1081" spans="1:24" ht="15" customHeight="1">
      <c r="A1081" s="1084"/>
      <c r="B1081" s="515"/>
      <c r="H1081" s="180"/>
      <c r="J1081" s="515"/>
      <c r="K1081" s="516"/>
      <c r="L1081" s="515"/>
      <c r="M1081" s="517"/>
    </row>
    <row r="1082" spans="1:24" ht="15" customHeight="1">
      <c r="A1082" s="984"/>
      <c r="B1082" s="984"/>
      <c r="D1082" s="434"/>
      <c r="E1082" s="434"/>
      <c r="H1082" s="180"/>
      <c r="J1082" s="1079" t="s">
        <v>317</v>
      </c>
      <c r="K1082" s="1382"/>
      <c r="L1082" s="1382"/>
      <c r="M1082" s="1382"/>
      <c r="N1082" s="1382"/>
      <c r="O1082" s="1382"/>
      <c r="P1082" s="1382"/>
      <c r="Q1082" s="1382"/>
      <c r="R1082" s="1382"/>
    </row>
    <row r="1083" spans="1:24" ht="15.75" customHeight="1" thickBot="1">
      <c r="A1083" s="984"/>
      <c r="B1083" s="1051"/>
      <c r="H1083" s="180"/>
      <c r="J1083" s="1080" t="s">
        <v>1</v>
      </c>
      <c r="K1083" s="466" t="s">
        <v>45</v>
      </c>
      <c r="L1083" s="467" t="s">
        <v>46</v>
      </c>
      <c r="M1083" s="468" t="s">
        <v>47</v>
      </c>
      <c r="N1083" s="511" t="s">
        <v>48</v>
      </c>
      <c r="O1083" s="512" t="s">
        <v>45</v>
      </c>
      <c r="P1083" s="511" t="s">
        <v>46</v>
      </c>
      <c r="Q1083" s="513" t="s">
        <v>47</v>
      </c>
      <c r="R1083" s="511" t="s">
        <v>48</v>
      </c>
    </row>
    <row r="1084" spans="1:24" ht="15.75" customHeight="1" thickBot="1">
      <c r="A1084" s="984"/>
      <c r="B1084" s="984"/>
      <c r="C1084" s="984"/>
      <c r="D1084" s="984"/>
      <c r="E1084" s="984"/>
      <c r="F1084" s="417"/>
      <c r="G1084" s="379"/>
      <c r="J1084" s="1082">
        <v>160</v>
      </c>
      <c r="K1084" s="158">
        <f>Prod.!P504</f>
        <v>0</v>
      </c>
      <c r="L1084" s="158">
        <f>Prod.!Q504</f>
        <v>0</v>
      </c>
      <c r="M1084" s="158">
        <f>Prod.!R504</f>
        <v>0</v>
      </c>
      <c r="N1084" s="158">
        <f>Prod.!S504</f>
        <v>0</v>
      </c>
      <c r="O1084" s="158">
        <f>Prod.!V504</f>
        <v>0</v>
      </c>
      <c r="P1084" s="158">
        <f>Prod.!W504</f>
        <v>0</v>
      </c>
      <c r="Q1084" s="158">
        <f>Prod.!X504</f>
        <v>0</v>
      </c>
      <c r="R1084" s="158">
        <f>Prod.!Y504</f>
        <v>0</v>
      </c>
      <c r="U1084" s="1383" t="s">
        <v>230</v>
      </c>
      <c r="V1084" s="1383"/>
      <c r="W1084" s="1383"/>
      <c r="X1084" s="1383"/>
    </row>
    <row r="1085" spans="1:24" ht="15.75" customHeight="1" thickBot="1">
      <c r="A1085" s="515"/>
      <c r="B1085" s="516"/>
      <c r="C1085" s="515"/>
      <c r="D1085" s="517"/>
      <c r="E1085" s="286"/>
      <c r="F1085" s="417"/>
      <c r="G1085" s="379"/>
      <c r="J1085" s="1083">
        <v>110</v>
      </c>
      <c r="K1085" s="514">
        <f>Prod.!J502</f>
        <v>0</v>
      </c>
      <c r="L1085" s="514">
        <f>Prod.!K502</f>
        <v>0</v>
      </c>
      <c r="M1085" s="522">
        <f>Prod.!L502</f>
        <v>0</v>
      </c>
      <c r="N1085" s="514">
        <f>Prod.!M502</f>
        <v>0</v>
      </c>
      <c r="U1085" s="1384">
        <f>A1081</f>
        <v>0</v>
      </c>
      <c r="V1085" s="1384"/>
      <c r="W1085" s="453" t="s">
        <v>233</v>
      </c>
      <c r="X1085" s="454" t="s">
        <v>234</v>
      </c>
    </row>
    <row r="1086" spans="1:24" ht="15" customHeight="1">
      <c r="A1086" s="515"/>
      <c r="B1086" s="516"/>
      <c r="C1086" s="515"/>
      <c r="D1086" s="517"/>
      <c r="E1086" s="286"/>
      <c r="F1086" s="417"/>
      <c r="G1086" s="379"/>
      <c r="J1086" s="414"/>
      <c r="K1086" s="414"/>
      <c r="L1086" s="1385"/>
      <c r="M1086" s="1385"/>
      <c r="N1086" s="1385"/>
      <c r="O1086" s="1385"/>
      <c r="P1086" s="455"/>
      <c r="U1086" s="231"/>
      <c r="X1086" s="456"/>
    </row>
    <row r="1087" spans="1:24" ht="15" customHeight="1">
      <c r="A1087" s="515"/>
      <c r="B1087" s="516"/>
      <c r="C1087" s="515"/>
      <c r="D1087" s="517"/>
      <c r="E1087" s="929"/>
      <c r="F1087" s="417"/>
      <c r="G1087" s="379"/>
      <c r="J1087" s="181"/>
      <c r="K1087" s="508"/>
      <c r="L1087" s="181"/>
      <c r="M1087" s="508"/>
      <c r="N1087" s="181"/>
      <c r="O1087" s="508"/>
      <c r="U1087" s="458">
        <f>E1086</f>
        <v>0</v>
      </c>
      <c r="V1087" s="282">
        <f>F1086</f>
        <v>0</v>
      </c>
      <c r="W1087" s="459"/>
      <c r="X1087" s="460"/>
    </row>
    <row r="1088" spans="1:24" ht="15" customHeight="1">
      <c r="A1088" s="515"/>
      <c r="B1088" s="516"/>
      <c r="C1088" s="515"/>
      <c r="D1088" s="517"/>
      <c r="E1088" s="286"/>
      <c r="F1088" s="417"/>
      <c r="G1088" s="1048"/>
      <c r="K1088" s="1382"/>
      <c r="L1088" s="1382"/>
      <c r="M1088" s="1382"/>
      <c r="N1088" s="1382"/>
      <c r="O1088" s="1382"/>
      <c r="P1088" s="1382"/>
      <c r="Q1088" s="1382"/>
      <c r="R1088" s="1382"/>
      <c r="U1088" s="462">
        <f t="shared" ref="U1088:U1092" si="79">E1088</f>
        <v>0</v>
      </c>
      <c r="V1088" s="463">
        <f t="shared" ref="V1088:V1092" si="80">F1088</f>
        <v>0</v>
      </c>
      <c r="W1088" s="464">
        <f t="shared" ref="W1088:W1092" si="81">G1088</f>
        <v>0</v>
      </c>
      <c r="X1088" s="465"/>
    </row>
    <row r="1089" spans="1:24" ht="15" customHeight="1">
      <c r="A1089" s="515"/>
      <c r="B1089" s="516"/>
      <c r="C1089" s="515"/>
      <c r="D1089" s="517"/>
      <c r="E1089" s="286"/>
      <c r="F1089" s="417"/>
      <c r="G1089" s="1048"/>
      <c r="J1089" s="1080" t="s">
        <v>1</v>
      </c>
      <c r="K1089" s="466" t="s">
        <v>45</v>
      </c>
      <c r="L1089" s="467" t="s">
        <v>46</v>
      </c>
      <c r="M1089" s="468" t="s">
        <v>47</v>
      </c>
      <c r="N1089" s="467" t="s">
        <v>48</v>
      </c>
      <c r="O1089" s="466" t="s">
        <v>45</v>
      </c>
      <c r="P1089" s="467" t="s">
        <v>46</v>
      </c>
      <c r="Q1089" s="468" t="s">
        <v>47</v>
      </c>
      <c r="R1089" s="467" t="s">
        <v>48</v>
      </c>
      <c r="U1089" s="374">
        <f t="shared" si="79"/>
        <v>0</v>
      </c>
      <c r="V1089" s="282">
        <f t="shared" si="80"/>
        <v>0</v>
      </c>
      <c r="W1089" s="469">
        <f t="shared" si="81"/>
        <v>0</v>
      </c>
      <c r="X1089" s="465">
        <f>$I$1</f>
        <v>0</v>
      </c>
    </row>
    <row r="1090" spans="1:24" ht="15" customHeight="1">
      <c r="A1090" s="515"/>
      <c r="B1090" s="516"/>
      <c r="C1090" s="515"/>
      <c r="D1090" s="517"/>
      <c r="E1090" s="286"/>
      <c r="F1090" s="417"/>
      <c r="G1090" s="1048"/>
      <c r="J1090" s="1081">
        <v>130</v>
      </c>
      <c r="K1090" s="471">
        <f>Prod.!P503</f>
        <v>0</v>
      </c>
      <c r="L1090" s="471">
        <f>Prod.!Q503</f>
        <v>0</v>
      </c>
      <c r="M1090" s="471">
        <f>Prod.!R503</f>
        <v>0</v>
      </c>
      <c r="N1090" s="471">
        <f>Prod.!S503</f>
        <v>0</v>
      </c>
      <c r="O1090" s="471">
        <f>Prod.!V503</f>
        <v>0</v>
      </c>
      <c r="P1090" s="471">
        <f>Prod.!W503</f>
        <v>0</v>
      </c>
      <c r="Q1090" s="471">
        <f>Prod.!X503</f>
        <v>0</v>
      </c>
      <c r="R1090" s="471">
        <f>Prod.!Y503</f>
        <v>0</v>
      </c>
      <c r="U1090" s="374">
        <f t="shared" si="79"/>
        <v>0</v>
      </c>
      <c r="V1090" s="282">
        <f t="shared" si="80"/>
        <v>0</v>
      </c>
      <c r="W1090" s="469">
        <f t="shared" si="81"/>
        <v>0</v>
      </c>
      <c r="X1090" s="465">
        <f>IFERROR($I$2,0)</f>
        <v>0</v>
      </c>
    </row>
    <row r="1091" spans="1:24" ht="15" customHeight="1">
      <c r="A1091" s="515"/>
      <c r="B1091" s="516"/>
      <c r="C1091" s="515"/>
      <c r="D1091" s="517"/>
      <c r="E1091" s="1085"/>
      <c r="F1091" s="517"/>
      <c r="G1091" s="1086"/>
      <c r="U1091" s="374">
        <f t="shared" si="79"/>
        <v>0</v>
      </c>
      <c r="V1091" s="282">
        <f t="shared" si="80"/>
        <v>0</v>
      </c>
      <c r="W1091" s="469">
        <f t="shared" si="81"/>
        <v>0</v>
      </c>
      <c r="X1091" s="475"/>
    </row>
    <row r="1092" spans="1:24" ht="15" customHeight="1">
      <c r="A1092" s="515"/>
      <c r="B1092" s="516"/>
      <c r="C1092" s="515"/>
      <c r="D1092" s="517"/>
      <c r="E1092" s="1085"/>
      <c r="F1092" s="1087"/>
      <c r="G1092" s="1088"/>
      <c r="U1092" s="374">
        <f t="shared" si="79"/>
        <v>0</v>
      </c>
      <c r="V1092" s="282">
        <f t="shared" si="80"/>
        <v>0</v>
      </c>
      <c r="W1092" s="469">
        <f t="shared" si="81"/>
        <v>0</v>
      </c>
      <c r="X1092" s="520">
        <f>IFERROR($I$3,0)</f>
        <v>0</v>
      </c>
    </row>
    <row r="1093" spans="1:24" ht="15" customHeight="1">
      <c r="A1093" s="515"/>
      <c r="B1093" s="515"/>
      <c r="C1093" s="515"/>
      <c r="D1093" s="517"/>
      <c r="E1093" s="1085"/>
      <c r="F1093" s="417"/>
      <c r="G1093" s="1089"/>
      <c r="J1093" t="s">
        <v>65</v>
      </c>
      <c r="K1093" s="181">
        <f>Prod.!C503</f>
        <v>0</v>
      </c>
      <c r="L1093" s="181">
        <f>Prod.!D503</f>
        <v>0</v>
      </c>
      <c r="M1093" s="181">
        <f>Prod.!E503</f>
        <v>0</v>
      </c>
      <c r="N1093" s="160">
        <f>Prod.!F503</f>
        <v>0</v>
      </c>
      <c r="O1093" s="160">
        <f>Prod.!G503</f>
        <v>0</v>
      </c>
      <c r="U1093" s="374">
        <f>E1093</f>
        <v>0</v>
      </c>
      <c r="V1093" s="282">
        <f>F1093-V1096</f>
        <v>0</v>
      </c>
      <c r="W1093" s="479"/>
      <c r="X1093" s="456"/>
    </row>
    <row r="1094" spans="1:24" ht="15" customHeight="1">
      <c r="A1094" s="515"/>
      <c r="B1094" s="515"/>
      <c r="C1094" s="515"/>
      <c r="D1094" s="984"/>
      <c r="E1094" s="286"/>
      <c r="F1094" s="417"/>
      <c r="G1094" s="1090"/>
      <c r="J1094" t="s">
        <v>67</v>
      </c>
      <c r="K1094" s="181">
        <f>Prod.!C504</f>
        <v>0</v>
      </c>
      <c r="L1094" s="181">
        <f>Prod.!D504</f>
        <v>0</v>
      </c>
      <c r="M1094" s="181">
        <f>Prod.!E504</f>
        <v>0</v>
      </c>
      <c r="N1094" s="160">
        <f>Prod.!F504</f>
        <v>0</v>
      </c>
      <c r="O1094" s="160">
        <f>Prod.!G504</f>
        <v>0</v>
      </c>
      <c r="T1094" s="160"/>
      <c r="U1094" s="374">
        <f>E1094</f>
        <v>0</v>
      </c>
      <c r="V1094" s="282">
        <f>F1094</f>
        <v>0</v>
      </c>
      <c r="W1094" s="479"/>
      <c r="X1094" s="456"/>
    </row>
    <row r="1095" spans="1:24" ht="15.75" customHeight="1" thickBot="1">
      <c r="A1095" s="515"/>
      <c r="B1095" s="515"/>
      <c r="C1095" s="515"/>
      <c r="D1095" s="517"/>
      <c r="E1095" s="286"/>
      <c r="F1095" s="417"/>
      <c r="G1095" s="379"/>
      <c r="U1095" s="374">
        <f>E1095</f>
        <v>0</v>
      </c>
      <c r="V1095" s="282">
        <f>F1095</f>
        <v>0</v>
      </c>
      <c r="W1095" s="479"/>
      <c r="X1095" s="456"/>
    </row>
    <row r="1096" spans="1:24" ht="14.25" customHeight="1" thickBot="1">
      <c r="A1096" s="515"/>
      <c r="B1096" s="515"/>
      <c r="C1096" s="515"/>
      <c r="D1096" s="517"/>
      <c r="E1096" s="286"/>
      <c r="F1096" s="417"/>
      <c r="G1096" s="379"/>
      <c r="L1096" s="1381" t="s">
        <v>7</v>
      </c>
      <c r="M1096" s="1381"/>
      <c r="N1096" s="1381"/>
      <c r="U1096" s="374">
        <f>E1100</f>
        <v>0</v>
      </c>
      <c r="V1096" s="282">
        <f>F1100</f>
        <v>0</v>
      </c>
      <c r="W1096" s="479"/>
      <c r="X1096" s="456"/>
    </row>
    <row r="1097" spans="1:24" ht="19.5" customHeight="1" thickBot="1">
      <c r="A1097" s="515"/>
      <c r="B1097" s="515"/>
      <c r="C1097" s="515"/>
      <c r="D1097" s="517"/>
      <c r="E1097" s="286"/>
      <c r="F1097" s="417"/>
      <c r="G1097" s="379"/>
      <c r="K1097" s="163">
        <v>160</v>
      </c>
      <c r="L1097" s="1381"/>
      <c r="M1097" s="1381"/>
      <c r="N1097" s="1381"/>
      <c r="U1097" s="483" t="s">
        <v>255</v>
      </c>
      <c r="V1097" s="484">
        <f>V1087+V1088+V1089+V1090+V1091+V1092+V1093+V1094+V1095+V1096</f>
        <v>0</v>
      </c>
      <c r="W1097" s="485"/>
      <c r="X1097" s="454"/>
    </row>
    <row r="1098" spans="1:24" ht="18" customHeight="1" thickBot="1">
      <c r="A1098" s="515"/>
      <c r="B1098" s="515"/>
      <c r="C1098" s="515"/>
      <c r="D1098" s="517"/>
      <c r="E1098" s="286"/>
      <c r="F1098" s="417"/>
      <c r="G1098" s="379"/>
      <c r="L1098" s="1381"/>
      <c r="M1098" s="1381"/>
      <c r="N1098" s="1381"/>
    </row>
    <row r="1099" spans="1:24" ht="15" customHeight="1">
      <c r="A1099" s="515"/>
      <c r="B1099" s="515"/>
      <c r="C1099" s="515"/>
      <c r="D1099" s="517"/>
      <c r="E1099" s="286"/>
      <c r="F1099" s="417"/>
      <c r="G1099" s="417"/>
      <c r="L1099" s="175">
        <f>Prod.!AP499</f>
        <v>6</v>
      </c>
      <c r="M1099" s="176">
        <f>Prod.!AQ499</f>
        <v>0</v>
      </c>
      <c r="N1099" s="486">
        <f>Prod.!AR499</f>
        <v>0</v>
      </c>
    </row>
    <row r="1100" spans="1:24" ht="15" customHeight="1">
      <c r="A1100" s="515"/>
      <c r="B1100" s="515"/>
      <c r="C1100" s="515"/>
      <c r="D1100" s="984"/>
      <c r="E1100" s="286"/>
      <c r="F1100" s="417"/>
      <c r="G1100" s="1091"/>
      <c r="L1100" s="170">
        <f>Prod.!AP500</f>
        <v>5</v>
      </c>
      <c r="M1100" s="171">
        <f>Prod.!AQ500</f>
        <v>0</v>
      </c>
      <c r="N1100" s="100">
        <f>Prod.!AR500</f>
        <v>0</v>
      </c>
    </row>
    <row r="1101" spans="1:24" ht="15" customHeight="1">
      <c r="A1101" s="515"/>
      <c r="B1101" s="516"/>
      <c r="C1101" s="515"/>
      <c r="D1101" s="517"/>
      <c r="E1101" s="286"/>
      <c r="F1101" s="277"/>
      <c r="G1101" s="160"/>
      <c r="L1101" s="170">
        <f>Prod.!AP501</f>
        <v>4</v>
      </c>
      <c r="M1101" s="171">
        <f>Prod.!AQ501</f>
        <v>0</v>
      </c>
      <c r="N1101" s="100">
        <f>Prod.!AR501</f>
        <v>0</v>
      </c>
    </row>
    <row r="1102" spans="1:24" ht="15.75" customHeight="1">
      <c r="A1102" s="515"/>
      <c r="B1102" s="516"/>
      <c r="C1102" s="515"/>
      <c r="D1102" s="517"/>
      <c r="E1102" s="1287"/>
      <c r="F1102" s="1287"/>
      <c r="G1102" s="379"/>
      <c r="L1102" s="170">
        <f>Prod.!AP502</f>
        <v>3</v>
      </c>
      <c r="M1102" s="171">
        <f>Prod.!AQ502</f>
        <v>0</v>
      </c>
      <c r="N1102" s="100">
        <f>Prod.!AR502</f>
        <v>0</v>
      </c>
      <c r="O1102" s="293" t="e">
        <f>N1103/((L1102*M1102)+(L1101*M1101)+(L1100*M1100)+(L1099*M1099))</f>
        <v>#DIV/0!</v>
      </c>
    </row>
    <row r="1103" spans="1:24" ht="15.75" customHeight="1">
      <c r="A1103" s="515"/>
      <c r="B1103" s="515"/>
      <c r="C1103" s="515"/>
      <c r="D1103" s="517"/>
      <c r="E1103" s="984"/>
      <c r="F1103" s="1044"/>
      <c r="G1103" s="417"/>
      <c r="L1103" s="173"/>
      <c r="M1103" s="174"/>
      <c r="N1103" s="491">
        <f>Prod.!AR503</f>
        <v>0</v>
      </c>
    </row>
    <row r="1104" spans="1:24" ht="15" customHeight="1">
      <c r="A1104" s="515"/>
      <c r="B1104" s="516"/>
      <c r="C1104" s="515"/>
      <c r="D1104" s="517"/>
      <c r="E1104" s="984"/>
      <c r="F1104" s="1044"/>
      <c r="G1104" s="417"/>
    </row>
    <row r="1105" spans="1:15" ht="15" customHeight="1">
      <c r="A1105" s="515"/>
      <c r="B1105" s="516"/>
      <c r="C1105" s="515"/>
      <c r="D1105" s="517"/>
      <c r="E1105" s="984"/>
      <c r="F1105" s="1044"/>
      <c r="G1105" s="417"/>
    </row>
    <row r="1106" spans="1:15" ht="14.25" customHeight="1">
      <c r="A1106" s="515"/>
      <c r="B1106" s="515"/>
      <c r="C1106" s="515"/>
      <c r="D1106" s="517"/>
      <c r="E1106" s="984"/>
      <c r="F1106" s="1044"/>
      <c r="G1106" s="417"/>
    </row>
    <row r="1107" spans="1:15" ht="15" customHeight="1">
      <c r="A1107" s="515"/>
      <c r="B1107" s="516"/>
      <c r="C1107" s="515"/>
      <c r="D1107" s="517"/>
      <c r="E1107" s="984"/>
      <c r="F1107" s="172"/>
      <c r="G1107" s="417"/>
      <c r="L1107" s="1381" t="s">
        <v>7</v>
      </c>
      <c r="M1107" s="1381"/>
      <c r="N1107" s="1381"/>
    </row>
    <row r="1108" spans="1:15" ht="15" customHeight="1">
      <c r="A1108" s="515"/>
      <c r="B1108" s="516"/>
      <c r="C1108" s="515"/>
      <c r="D1108" s="517"/>
      <c r="E1108" s="984"/>
      <c r="F1108" s="493"/>
      <c r="G1108" s="417"/>
      <c r="K1108" s="163">
        <v>130</v>
      </c>
      <c r="L1108" s="1381"/>
      <c r="M1108" s="1381"/>
      <c r="N1108" s="1381"/>
    </row>
    <row r="1109" spans="1:15" ht="15" customHeight="1">
      <c r="A1109" s="515"/>
      <c r="B1109" s="516"/>
      <c r="C1109" s="515"/>
      <c r="D1109" s="517"/>
      <c r="E1109" s="984"/>
      <c r="F1109" s="517"/>
      <c r="G1109" s="160"/>
      <c r="L1109" s="1381"/>
      <c r="M1109" s="1381"/>
      <c r="N1109" s="1381"/>
    </row>
    <row r="1110" spans="1:15" ht="15" customHeight="1">
      <c r="A1110" s="515"/>
      <c r="B1110" s="516"/>
      <c r="C1110" s="515"/>
      <c r="D1110" s="517"/>
      <c r="E1110" s="984"/>
      <c r="F1110" s="517"/>
      <c r="L1110" s="175">
        <f>Prod.!AP491</f>
        <v>6</v>
      </c>
      <c r="M1110" s="176">
        <f>Prod.!AQ491</f>
        <v>0</v>
      </c>
      <c r="N1110" s="486">
        <f>Prod.!AR491</f>
        <v>0</v>
      </c>
    </row>
    <row r="1111" spans="1:15" ht="15" customHeight="1">
      <c r="A1111" s="515"/>
      <c r="B1111" s="515"/>
      <c r="C1111" s="515"/>
      <c r="D1111" s="517"/>
      <c r="E1111" s="984"/>
      <c r="F1111" s="254"/>
      <c r="L1111" s="170">
        <f>Prod.!AP492</f>
        <v>5</v>
      </c>
      <c r="M1111" s="171">
        <f>Prod.!AQ492</f>
        <v>0</v>
      </c>
      <c r="N1111" s="100">
        <f>Prod.!AR492</f>
        <v>0</v>
      </c>
      <c r="O1111" s="160"/>
    </row>
    <row r="1112" spans="1:15" ht="15" customHeight="1">
      <c r="A1112" s="515"/>
      <c r="B1112" s="515"/>
      <c r="C1112" s="515"/>
      <c r="D1112" s="517"/>
      <c r="E1112" s="984"/>
      <c r="F1112" s="254"/>
      <c r="L1112" s="170">
        <f>Prod.!AP493</f>
        <v>4</v>
      </c>
      <c r="M1112" s="171">
        <f>Prod.!AQ493</f>
        <v>0</v>
      </c>
      <c r="N1112" s="100">
        <f>Prod.!AR493</f>
        <v>0</v>
      </c>
      <c r="O1112" s="160"/>
    </row>
    <row r="1113" spans="1:15" ht="15.75" customHeight="1">
      <c r="A1113" s="515"/>
      <c r="B1113" s="515"/>
      <c r="C1113" s="515"/>
      <c r="D1113" s="517"/>
      <c r="E1113" s="984"/>
      <c r="F1113" s="536"/>
      <c r="L1113" s="170">
        <f>Prod.!AP494</f>
        <v>3</v>
      </c>
      <c r="M1113" s="172">
        <f>Prod.!AQ494</f>
        <v>0</v>
      </c>
      <c r="N1113" s="100">
        <f>Prod.!AR494</f>
        <v>0</v>
      </c>
      <c r="O1113" t="e">
        <f>N1114/((L1113*M1113)+(L1112*M1112)+(L1111*M1111)+(L1110*M1110))</f>
        <v>#DIV/0!</v>
      </c>
    </row>
    <row r="1114" spans="1:15" ht="15.75" customHeight="1">
      <c r="A1114" s="515"/>
      <c r="B1114" s="515"/>
      <c r="C1114" s="515"/>
      <c r="D1114" s="434"/>
      <c r="E1114" s="984"/>
      <c r="F1114" s="1092"/>
      <c r="L1114" s="173"/>
      <c r="M1114" s="174"/>
      <c r="N1114" s="491">
        <f>Prod.!AR495</f>
        <v>0</v>
      </c>
      <c r="O1114" s="160"/>
    </row>
    <row r="1115" spans="1:15" ht="15" customHeight="1">
      <c r="A1115" s="984"/>
      <c r="B1115" s="984"/>
      <c r="C1115" s="984"/>
      <c r="D1115" s="984"/>
      <c r="E1115" s="515"/>
      <c r="F1115" s="517"/>
      <c r="G1115" s="1091"/>
    </row>
    <row r="1116" spans="1:15" ht="15" customHeight="1">
      <c r="A1116" s="984"/>
      <c r="B1116" s="1093"/>
      <c r="C1116" s="1093"/>
      <c r="D1116" s="984"/>
      <c r="E1116" s="286"/>
      <c r="F1116" s="417"/>
      <c r="G1116" s="253"/>
    </row>
    <row r="1117" spans="1:15" ht="15" customHeight="1">
      <c r="A1117" s="984"/>
      <c r="B1117" s="1093"/>
      <c r="C1117" s="1093"/>
      <c r="D1117" s="984"/>
      <c r="E1117" s="286"/>
      <c r="F1117" s="417"/>
      <c r="G1117" s="253"/>
    </row>
    <row r="1118" spans="1:15" ht="15" customHeight="1">
      <c r="A1118" s="984"/>
      <c r="B1118" s="1093"/>
      <c r="C1118" s="1093"/>
      <c r="D1118" s="984"/>
      <c r="E1118" s="286"/>
      <c r="F1118" s="417"/>
      <c r="G1118" s="253"/>
    </row>
    <row r="1119" spans="1:15" ht="15" customHeight="1">
      <c r="A1119" s="984"/>
      <c r="B1119" s="1051"/>
      <c r="C1119" s="1051"/>
      <c r="D1119" s="984"/>
      <c r="E1119" s="286"/>
      <c r="F1119" s="417"/>
      <c r="G1119" s="253"/>
    </row>
    <row r="1120" spans="1:15" ht="15" customHeight="1">
      <c r="A1120" s="984"/>
      <c r="B1120" s="1051"/>
      <c r="C1120" s="1051"/>
      <c r="D1120" s="984"/>
      <c r="E1120" s="286"/>
      <c r="F1120" s="417"/>
    </row>
    <row r="1121" spans="1:24" ht="15" customHeight="1">
      <c r="A1121" s="1084"/>
      <c r="B1121" s="515"/>
      <c r="H1121" s="180"/>
      <c r="J1121" s="515"/>
      <c r="K1121" s="516"/>
      <c r="L1121" s="515"/>
      <c r="M1121" s="517"/>
    </row>
    <row r="1122" spans="1:24" ht="15" customHeight="1">
      <c r="A1122" s="984"/>
      <c r="B1122" s="984"/>
      <c r="D1122" s="434"/>
      <c r="E1122" s="434"/>
      <c r="H1122" s="180"/>
      <c r="J1122" s="1079" t="s">
        <v>318</v>
      </c>
      <c r="K1122" s="1382"/>
      <c r="L1122" s="1382"/>
      <c r="M1122" s="1382"/>
      <c r="N1122" s="1382"/>
      <c r="O1122" s="1382"/>
      <c r="P1122" s="1382"/>
      <c r="Q1122" s="1382"/>
      <c r="R1122" s="1382"/>
    </row>
    <row r="1123" spans="1:24" ht="15.75" customHeight="1" thickBot="1">
      <c r="A1123" s="984"/>
      <c r="B1123" s="1051"/>
      <c r="H1123" s="180"/>
      <c r="J1123" s="1080" t="s">
        <v>1</v>
      </c>
      <c r="K1123" s="466" t="s">
        <v>45</v>
      </c>
      <c r="L1123" s="467" t="s">
        <v>46</v>
      </c>
      <c r="M1123" s="468" t="s">
        <v>47</v>
      </c>
      <c r="N1123" s="511" t="s">
        <v>48</v>
      </c>
      <c r="O1123" s="512" t="s">
        <v>45</v>
      </c>
      <c r="P1123" s="511" t="s">
        <v>46</v>
      </c>
      <c r="Q1123" s="513" t="s">
        <v>47</v>
      </c>
      <c r="R1123" s="511" t="s">
        <v>48</v>
      </c>
    </row>
    <row r="1124" spans="1:24" ht="15.75" customHeight="1" thickBot="1">
      <c r="A1124" s="984"/>
      <c r="B1124" s="984"/>
      <c r="C1124" s="984"/>
      <c r="D1124" s="984"/>
      <c r="E1124" s="984"/>
      <c r="F1124" s="417"/>
      <c r="G1124" s="379"/>
      <c r="J1124" s="1082">
        <v>160</v>
      </c>
      <c r="K1124" s="158">
        <f>Prod.!P522</f>
        <v>0</v>
      </c>
      <c r="L1124" s="158">
        <f>Prod.!Q522</f>
        <v>0</v>
      </c>
      <c r="M1124" s="158">
        <f>Prod.!R522</f>
        <v>0</v>
      </c>
      <c r="N1124" s="158">
        <f>Prod.!S522</f>
        <v>0</v>
      </c>
      <c r="O1124" s="158">
        <f>Prod.!V522</f>
        <v>0</v>
      </c>
      <c r="P1124" s="158">
        <f>Prod.!W522</f>
        <v>0</v>
      </c>
      <c r="Q1124" s="158">
        <f>Prod.!X522</f>
        <v>0</v>
      </c>
      <c r="R1124" s="158">
        <f>Prod.!Y522</f>
        <v>0</v>
      </c>
      <c r="U1124" s="1383" t="s">
        <v>230</v>
      </c>
      <c r="V1124" s="1383"/>
      <c r="W1124" s="1383"/>
      <c r="X1124" s="1383"/>
    </row>
    <row r="1125" spans="1:24" ht="15.75" customHeight="1" thickBot="1">
      <c r="A1125" s="515"/>
      <c r="B1125" s="516"/>
      <c r="C1125" s="515"/>
      <c r="D1125" s="517"/>
      <c r="E1125" s="286"/>
      <c r="F1125" s="417"/>
      <c r="G1125" s="379"/>
      <c r="J1125" s="1083">
        <v>110</v>
      </c>
      <c r="K1125" s="514">
        <f>Prod.!J520</f>
        <v>0</v>
      </c>
      <c r="L1125" s="514">
        <f>Prod.!K520</f>
        <v>0</v>
      </c>
      <c r="M1125" s="522">
        <f>Prod.!L520</f>
        <v>0</v>
      </c>
      <c r="N1125" s="514">
        <f>Prod.!M520</f>
        <v>0</v>
      </c>
      <c r="U1125" s="1384">
        <f>A1121</f>
        <v>0</v>
      </c>
      <c r="V1125" s="1384"/>
      <c r="W1125" s="453" t="s">
        <v>233</v>
      </c>
      <c r="X1125" s="454" t="s">
        <v>234</v>
      </c>
    </row>
    <row r="1126" spans="1:24" ht="15" customHeight="1">
      <c r="A1126" s="515"/>
      <c r="B1126" s="516"/>
      <c r="C1126" s="515"/>
      <c r="D1126" s="517"/>
      <c r="E1126" s="286"/>
      <c r="F1126" s="417"/>
      <c r="G1126" s="379"/>
      <c r="J1126" s="414"/>
      <c r="K1126" s="414"/>
      <c r="L1126" s="1385"/>
      <c r="M1126" s="1385"/>
      <c r="N1126" s="1385"/>
      <c r="O1126" s="1385"/>
      <c r="P1126" s="455"/>
      <c r="U1126" s="231"/>
      <c r="X1126" s="456"/>
    </row>
    <row r="1127" spans="1:24" ht="15" customHeight="1">
      <c r="A1127" s="515"/>
      <c r="B1127" s="516"/>
      <c r="C1127" s="515"/>
      <c r="D1127" s="517"/>
      <c r="E1127" s="929"/>
      <c r="F1127" s="417"/>
      <c r="G1127" s="379"/>
      <c r="J1127" s="181"/>
      <c r="K1127" s="508"/>
      <c r="L1127" s="181"/>
      <c r="M1127" s="508"/>
      <c r="N1127" s="181"/>
      <c r="O1127" s="508"/>
      <c r="U1127" s="458">
        <f>E1126</f>
        <v>0</v>
      </c>
      <c r="V1127" s="282">
        <f>F1126</f>
        <v>0</v>
      </c>
      <c r="W1127" s="459"/>
      <c r="X1127" s="460"/>
    </row>
    <row r="1128" spans="1:24" ht="15" customHeight="1">
      <c r="A1128" s="515"/>
      <c r="B1128" s="516"/>
      <c r="C1128" s="515"/>
      <c r="D1128" s="517"/>
      <c r="E1128" s="286"/>
      <c r="F1128" s="417"/>
      <c r="G1128" s="1048"/>
      <c r="K1128" s="1382"/>
      <c r="L1128" s="1382"/>
      <c r="M1128" s="1382"/>
      <c r="N1128" s="1382"/>
      <c r="O1128" s="1382"/>
      <c r="P1128" s="1382"/>
      <c r="Q1128" s="1382"/>
      <c r="R1128" s="1382"/>
      <c r="U1128" s="462">
        <f t="shared" ref="U1128:U1132" si="82">E1128</f>
        <v>0</v>
      </c>
      <c r="V1128" s="463">
        <f t="shared" ref="V1128:V1132" si="83">F1128</f>
        <v>0</v>
      </c>
      <c r="W1128" s="464">
        <f t="shared" ref="W1128:W1132" si="84">G1128</f>
        <v>0</v>
      </c>
      <c r="X1128" s="465"/>
    </row>
    <row r="1129" spans="1:24" ht="15" customHeight="1">
      <c r="A1129" s="515"/>
      <c r="B1129" s="516"/>
      <c r="C1129" s="515"/>
      <c r="D1129" s="517"/>
      <c r="E1129" s="286"/>
      <c r="F1129" s="417"/>
      <c r="G1129" s="1048"/>
      <c r="J1129" s="1080" t="s">
        <v>1</v>
      </c>
      <c r="K1129" s="466" t="s">
        <v>45</v>
      </c>
      <c r="L1129" s="467" t="s">
        <v>46</v>
      </c>
      <c r="M1129" s="468" t="s">
        <v>47</v>
      </c>
      <c r="N1129" s="467" t="s">
        <v>48</v>
      </c>
      <c r="O1129" s="466" t="s">
        <v>45</v>
      </c>
      <c r="P1129" s="467" t="s">
        <v>46</v>
      </c>
      <c r="Q1129" s="468" t="s">
        <v>47</v>
      </c>
      <c r="R1129" s="467" t="s">
        <v>48</v>
      </c>
      <c r="U1129" s="374">
        <f t="shared" si="82"/>
        <v>0</v>
      </c>
      <c r="V1129" s="282">
        <f t="shared" si="83"/>
        <v>0</v>
      </c>
      <c r="W1129" s="469">
        <f t="shared" si="84"/>
        <v>0</v>
      </c>
      <c r="X1129" s="465">
        <f>$I$1</f>
        <v>0</v>
      </c>
    </row>
    <row r="1130" spans="1:24" ht="15" customHeight="1">
      <c r="A1130" s="515"/>
      <c r="B1130" s="516"/>
      <c r="C1130" s="515"/>
      <c r="D1130" s="517"/>
      <c r="E1130" s="286"/>
      <c r="F1130" s="417"/>
      <c r="G1130" s="1048"/>
      <c r="J1130" s="1081">
        <v>130</v>
      </c>
      <c r="K1130" s="471">
        <f>Prod.!P521</f>
        <v>0</v>
      </c>
      <c r="L1130" s="471">
        <f>Prod.!Q521</f>
        <v>0</v>
      </c>
      <c r="M1130" s="471">
        <f>Prod.!R521</f>
        <v>0</v>
      </c>
      <c r="N1130" s="471">
        <f>Prod.!S521</f>
        <v>0</v>
      </c>
      <c r="O1130" s="471">
        <f>Prod.!V521</f>
        <v>0</v>
      </c>
      <c r="P1130" s="471">
        <f>Prod.!W521</f>
        <v>0</v>
      </c>
      <c r="Q1130" s="471">
        <f>Prod.!X521</f>
        <v>0</v>
      </c>
      <c r="R1130" s="471">
        <f>Prod.!Y521</f>
        <v>0</v>
      </c>
      <c r="U1130" s="374">
        <f t="shared" si="82"/>
        <v>0</v>
      </c>
      <c r="V1130" s="282">
        <f t="shared" si="83"/>
        <v>0</v>
      </c>
      <c r="W1130" s="469">
        <f t="shared" si="84"/>
        <v>0</v>
      </c>
      <c r="X1130" s="465">
        <f>IFERROR($I$2,0)</f>
        <v>0</v>
      </c>
    </row>
    <row r="1131" spans="1:24" ht="15" customHeight="1">
      <c r="A1131" s="515"/>
      <c r="B1131" s="516"/>
      <c r="C1131" s="515"/>
      <c r="D1131" s="517"/>
      <c r="E1131" s="1085"/>
      <c r="F1131" s="517"/>
      <c r="G1131" s="1086"/>
      <c r="U1131" s="374">
        <f t="shared" si="82"/>
        <v>0</v>
      </c>
      <c r="V1131" s="282">
        <f t="shared" si="83"/>
        <v>0</v>
      </c>
      <c r="W1131" s="469">
        <f t="shared" si="84"/>
        <v>0</v>
      </c>
      <c r="X1131" s="475"/>
    </row>
    <row r="1132" spans="1:24" ht="15" customHeight="1">
      <c r="A1132" s="515"/>
      <c r="B1132" s="516"/>
      <c r="C1132" s="515"/>
      <c r="D1132" s="517"/>
      <c r="E1132" s="1085"/>
      <c r="F1132" s="1087"/>
      <c r="G1132" s="1088"/>
      <c r="U1132" s="374">
        <f t="shared" si="82"/>
        <v>0</v>
      </c>
      <c r="V1132" s="282">
        <f t="shared" si="83"/>
        <v>0</v>
      </c>
      <c r="W1132" s="469">
        <f t="shared" si="84"/>
        <v>0</v>
      </c>
      <c r="X1132" s="520">
        <f>IFERROR($I$3,0)</f>
        <v>0</v>
      </c>
    </row>
    <row r="1133" spans="1:24" ht="15" customHeight="1">
      <c r="A1133" s="515"/>
      <c r="B1133" s="515"/>
      <c r="C1133" s="515"/>
      <c r="D1133" s="517"/>
      <c r="E1133" s="1085"/>
      <c r="F1133" s="417"/>
      <c r="G1133" s="1089"/>
      <c r="J1133" t="s">
        <v>65</v>
      </c>
      <c r="K1133" s="181">
        <f>Prod.!C520</f>
        <v>0</v>
      </c>
      <c r="L1133" s="181">
        <f>Prod.!D520</f>
        <v>0</v>
      </c>
      <c r="M1133" s="181">
        <f>Prod.!E520</f>
        <v>0</v>
      </c>
      <c r="N1133" s="160">
        <f>Prod.!F520</f>
        <v>0</v>
      </c>
      <c r="O1133" s="160">
        <f>Prod.!G520</f>
        <v>0</v>
      </c>
      <c r="U1133" s="374">
        <f>E1133</f>
        <v>0</v>
      </c>
      <c r="V1133" s="282">
        <f>F1133-V1136</f>
        <v>0</v>
      </c>
      <c r="W1133" s="479"/>
      <c r="X1133" s="456"/>
    </row>
    <row r="1134" spans="1:24" ht="15" customHeight="1">
      <c r="A1134" s="515"/>
      <c r="B1134" s="515"/>
      <c r="C1134" s="515"/>
      <c r="D1134" s="984"/>
      <c r="E1134" s="286"/>
      <c r="F1134" s="417"/>
      <c r="G1134" s="1090"/>
      <c r="J1134" t="s">
        <v>67</v>
      </c>
      <c r="K1134" s="181">
        <f>Prod.!C521</f>
        <v>0</v>
      </c>
      <c r="L1134" s="181">
        <f>Prod.!D521</f>
        <v>0</v>
      </c>
      <c r="M1134" s="181">
        <f>Prod.!E521</f>
        <v>0</v>
      </c>
      <c r="N1134" s="160">
        <f>Prod.!F521</f>
        <v>0</v>
      </c>
      <c r="O1134" s="160">
        <f>Prod.!G521</f>
        <v>0</v>
      </c>
      <c r="T1134" s="160"/>
      <c r="U1134" s="374">
        <f>E1134</f>
        <v>0</v>
      </c>
      <c r="V1134" s="282">
        <f>F1134</f>
        <v>0</v>
      </c>
      <c r="W1134" s="479"/>
      <c r="X1134" s="456"/>
    </row>
    <row r="1135" spans="1:24" ht="15.75" customHeight="1" thickBot="1">
      <c r="A1135" s="515"/>
      <c r="B1135" s="515"/>
      <c r="C1135" s="515"/>
      <c r="D1135" s="517"/>
      <c r="E1135" s="286"/>
      <c r="F1135" s="417"/>
      <c r="G1135" s="379"/>
      <c r="U1135" s="374">
        <f>E1135</f>
        <v>0</v>
      </c>
      <c r="V1135" s="282">
        <f>F1135</f>
        <v>0</v>
      </c>
      <c r="W1135" s="479"/>
      <c r="X1135" s="456"/>
    </row>
    <row r="1136" spans="1:24" ht="14.25" customHeight="1" thickBot="1">
      <c r="A1136" s="515"/>
      <c r="B1136" s="515"/>
      <c r="C1136" s="515"/>
      <c r="D1136" s="517"/>
      <c r="E1136" s="286"/>
      <c r="F1136" s="417"/>
      <c r="G1136" s="379"/>
      <c r="L1136" s="1381" t="s">
        <v>7</v>
      </c>
      <c r="M1136" s="1381"/>
      <c r="N1136" s="1381"/>
      <c r="U1136" s="374">
        <f>E1140</f>
        <v>0</v>
      </c>
      <c r="V1136" s="282">
        <f>F1140</f>
        <v>0</v>
      </c>
      <c r="W1136" s="479"/>
      <c r="X1136" s="456"/>
    </row>
    <row r="1137" spans="1:24" ht="19.5" customHeight="1" thickBot="1">
      <c r="A1137" s="515"/>
      <c r="B1137" s="515"/>
      <c r="C1137" s="515"/>
      <c r="D1137" s="517"/>
      <c r="E1137" s="286"/>
      <c r="F1137" s="417"/>
      <c r="G1137" s="379"/>
      <c r="K1137" s="163">
        <v>160</v>
      </c>
      <c r="L1137" s="1381"/>
      <c r="M1137" s="1381"/>
      <c r="N1137" s="1381"/>
      <c r="U1137" s="483" t="s">
        <v>255</v>
      </c>
      <c r="V1137" s="484">
        <f>V1127+V1128+V1129+V1130+V1131+V1132+V1133+V1134+V1135+V1136</f>
        <v>0</v>
      </c>
      <c r="W1137" s="485"/>
      <c r="X1137" s="454"/>
    </row>
    <row r="1138" spans="1:24" ht="18" customHeight="1" thickBot="1">
      <c r="A1138" s="515"/>
      <c r="B1138" s="515"/>
      <c r="C1138" s="515"/>
      <c r="D1138" s="517"/>
      <c r="E1138" s="286"/>
      <c r="F1138" s="417"/>
      <c r="G1138" s="379"/>
      <c r="L1138" s="1381"/>
      <c r="M1138" s="1381"/>
      <c r="N1138" s="1381"/>
    </row>
    <row r="1139" spans="1:24" ht="15" customHeight="1">
      <c r="A1139" s="515"/>
      <c r="B1139" s="515"/>
      <c r="C1139" s="515"/>
      <c r="D1139" s="517"/>
      <c r="E1139" s="286"/>
      <c r="F1139" s="417"/>
      <c r="G1139" s="417"/>
      <c r="L1139" s="175">
        <f>Prod.!AP517</f>
        <v>6</v>
      </c>
      <c r="M1139" s="176">
        <f>Prod.!AQ517</f>
        <v>0</v>
      </c>
      <c r="N1139" s="486">
        <f>Prod.!AR517</f>
        <v>0</v>
      </c>
    </row>
    <row r="1140" spans="1:24" ht="15" customHeight="1">
      <c r="A1140" s="515"/>
      <c r="B1140" s="515"/>
      <c r="C1140" s="515"/>
      <c r="D1140" s="984"/>
      <c r="E1140" s="286"/>
      <c r="F1140" s="417"/>
      <c r="G1140" s="1091"/>
      <c r="L1140" s="170">
        <f>Prod.!AP518</f>
        <v>5</v>
      </c>
      <c r="M1140" s="171">
        <f>Prod.!AQ518</f>
        <v>0</v>
      </c>
      <c r="N1140" s="100">
        <f>Prod.!AR518</f>
        <v>0</v>
      </c>
    </row>
    <row r="1141" spans="1:24" ht="15" customHeight="1">
      <c r="A1141" s="515"/>
      <c r="B1141" s="516"/>
      <c r="C1141" s="515"/>
      <c r="D1141" s="517"/>
      <c r="E1141" s="286"/>
      <c r="F1141" s="277"/>
      <c r="G1141" s="160"/>
      <c r="L1141" s="170">
        <f>Prod.!AP519</f>
        <v>4</v>
      </c>
      <c r="M1141" s="171">
        <f>Prod.!AQ519</f>
        <v>0</v>
      </c>
      <c r="N1141" s="100">
        <f>Prod.!AR519</f>
        <v>0</v>
      </c>
    </row>
    <row r="1142" spans="1:24" ht="15.75" customHeight="1">
      <c r="A1142" s="515"/>
      <c r="B1142" s="516"/>
      <c r="C1142" s="515"/>
      <c r="D1142" s="517"/>
      <c r="E1142" s="1287"/>
      <c r="F1142" s="1287"/>
      <c r="G1142" s="379"/>
      <c r="L1142" s="170">
        <f>Prod.!AP520</f>
        <v>3</v>
      </c>
      <c r="M1142" s="171">
        <f>Prod.!AQ520</f>
        <v>0</v>
      </c>
      <c r="N1142" s="100">
        <f>Prod.!AR520</f>
        <v>0</v>
      </c>
      <c r="O1142" s="293" t="e">
        <f>N1143/((L1142*M1142)+(L1141*M1141)+(L1140*M1140)+(L1139*M1139))</f>
        <v>#DIV/0!</v>
      </c>
    </row>
    <row r="1143" spans="1:24" ht="15.75" customHeight="1">
      <c r="A1143" s="515"/>
      <c r="B1143" s="515"/>
      <c r="C1143" s="515"/>
      <c r="D1143" s="517"/>
      <c r="E1143" s="984"/>
      <c r="F1143" s="1044"/>
      <c r="G1143" s="417"/>
      <c r="L1143" s="173"/>
      <c r="M1143" s="174"/>
      <c r="N1143" s="491">
        <f>Prod.!AR521</f>
        <v>0</v>
      </c>
    </row>
    <row r="1144" spans="1:24" ht="15" customHeight="1">
      <c r="A1144" s="515"/>
      <c r="B1144" s="516"/>
      <c r="C1144" s="515"/>
      <c r="D1144" s="517"/>
      <c r="E1144" s="984"/>
      <c r="F1144" s="1044"/>
      <c r="G1144" s="417"/>
    </row>
    <row r="1145" spans="1:24" ht="15" customHeight="1">
      <c r="A1145" s="515"/>
      <c r="B1145" s="516"/>
      <c r="C1145" s="515"/>
      <c r="D1145" s="517"/>
      <c r="E1145" s="984"/>
      <c r="F1145" s="1044"/>
      <c r="G1145" s="417"/>
    </row>
    <row r="1146" spans="1:24" ht="14.25" customHeight="1">
      <c r="A1146" s="515"/>
      <c r="B1146" s="515"/>
      <c r="C1146" s="515"/>
      <c r="D1146" s="517"/>
      <c r="E1146" s="984"/>
      <c r="F1146" s="1044"/>
      <c r="G1146" s="417"/>
    </row>
    <row r="1147" spans="1:24" ht="15" customHeight="1">
      <c r="A1147" s="515"/>
      <c r="B1147" s="516"/>
      <c r="C1147" s="515"/>
      <c r="D1147" s="517"/>
      <c r="E1147" s="984"/>
      <c r="F1147" s="172"/>
      <c r="G1147" s="417"/>
      <c r="L1147" s="1381" t="s">
        <v>7</v>
      </c>
      <c r="M1147" s="1381"/>
      <c r="N1147" s="1381"/>
    </row>
    <row r="1148" spans="1:24" ht="15" customHeight="1">
      <c r="A1148" s="515"/>
      <c r="B1148" s="516"/>
      <c r="C1148" s="515"/>
      <c r="D1148" s="517"/>
      <c r="E1148" s="984"/>
      <c r="F1148" s="493"/>
      <c r="G1148" s="417"/>
      <c r="K1148" s="163">
        <v>130</v>
      </c>
      <c r="L1148" s="1381"/>
      <c r="M1148" s="1381"/>
      <c r="N1148" s="1381"/>
    </row>
    <row r="1149" spans="1:24" ht="15" customHeight="1">
      <c r="A1149" s="515"/>
      <c r="B1149" s="516"/>
      <c r="C1149" s="515"/>
      <c r="D1149" s="517"/>
      <c r="E1149" s="984"/>
      <c r="F1149" s="517"/>
      <c r="G1149" s="160"/>
      <c r="L1149" s="1381"/>
      <c r="M1149" s="1381"/>
      <c r="N1149" s="1381"/>
    </row>
    <row r="1150" spans="1:24" ht="15" customHeight="1">
      <c r="A1150" s="515"/>
      <c r="B1150" s="516"/>
      <c r="C1150" s="515"/>
      <c r="D1150" s="517"/>
      <c r="E1150" s="984"/>
      <c r="F1150" s="517"/>
      <c r="L1150" s="175">
        <f>Prod.!AP509</f>
        <v>6</v>
      </c>
      <c r="M1150" s="176">
        <f>Prod.!AQ509</f>
        <v>0</v>
      </c>
      <c r="N1150" s="486">
        <f>Prod.!AR509</f>
        <v>0</v>
      </c>
    </row>
    <row r="1151" spans="1:24" ht="15" customHeight="1">
      <c r="A1151" s="515"/>
      <c r="B1151" s="515"/>
      <c r="C1151" s="515"/>
      <c r="D1151" s="517"/>
      <c r="E1151" s="984"/>
      <c r="F1151" s="254"/>
      <c r="L1151" s="170">
        <f>Prod.!AP510</f>
        <v>5</v>
      </c>
      <c r="M1151" s="171">
        <f>Prod.!AQ510</f>
        <v>0</v>
      </c>
      <c r="N1151" s="100">
        <f>Prod.!AR510</f>
        <v>0</v>
      </c>
      <c r="O1151" s="160"/>
    </row>
    <row r="1152" spans="1:24" ht="15" customHeight="1">
      <c r="A1152" s="515"/>
      <c r="B1152" s="515"/>
      <c r="C1152" s="515"/>
      <c r="D1152" s="517"/>
      <c r="E1152" s="984"/>
      <c r="F1152" s="254"/>
      <c r="L1152" s="170">
        <f>Prod.!AP511</f>
        <v>4</v>
      </c>
      <c r="M1152" s="171">
        <f>Prod.!AQ511</f>
        <v>0</v>
      </c>
      <c r="N1152" s="100">
        <f>Prod.!AR511</f>
        <v>0</v>
      </c>
      <c r="O1152" s="160"/>
    </row>
    <row r="1153" spans="1:24" ht="15.75" customHeight="1">
      <c r="A1153" s="515"/>
      <c r="B1153" s="515"/>
      <c r="C1153" s="515"/>
      <c r="D1153" s="517"/>
      <c r="E1153" s="984"/>
      <c r="F1153" s="536"/>
      <c r="L1153" s="170">
        <f>Prod.!AP512</f>
        <v>3</v>
      </c>
      <c r="M1153" s="172">
        <f>Prod.!AQ512</f>
        <v>0</v>
      </c>
      <c r="N1153" s="100">
        <f>Prod.!AR512</f>
        <v>0</v>
      </c>
      <c r="O1153" t="e">
        <f>N1154/((L1153*M1153)+(L1152*M1152)+(L1151*M1151)+(L1150*M1150))</f>
        <v>#DIV/0!</v>
      </c>
    </row>
    <row r="1154" spans="1:24" ht="15.75" customHeight="1">
      <c r="A1154" s="515"/>
      <c r="B1154" s="515"/>
      <c r="C1154" s="515"/>
      <c r="D1154" s="434"/>
      <c r="E1154" s="984"/>
      <c r="F1154" s="1092"/>
      <c r="L1154" s="173"/>
      <c r="M1154" s="174"/>
      <c r="N1154" s="491">
        <f>Prod.!AR513</f>
        <v>0</v>
      </c>
      <c r="O1154" s="160"/>
    </row>
    <row r="1155" spans="1:24" ht="15" customHeight="1">
      <c r="A1155" s="984"/>
      <c r="B1155" s="984"/>
      <c r="C1155" s="984"/>
      <c r="D1155" s="984"/>
      <c r="E1155" s="515"/>
      <c r="F1155" s="517"/>
      <c r="G1155" s="1091"/>
    </row>
    <row r="1156" spans="1:24" ht="15" customHeight="1">
      <c r="A1156" s="984"/>
      <c r="B1156" s="1093"/>
      <c r="C1156" s="1093"/>
      <c r="D1156" s="984"/>
      <c r="E1156" s="286"/>
      <c r="F1156" s="417"/>
      <c r="G1156" s="253"/>
    </row>
    <row r="1157" spans="1:24" ht="15" customHeight="1">
      <c r="A1157" s="984"/>
      <c r="B1157" s="1093"/>
      <c r="C1157" s="1093"/>
      <c r="D1157" s="984"/>
      <c r="E1157" s="286"/>
      <c r="F1157" s="417"/>
      <c r="G1157" s="253"/>
    </row>
    <row r="1158" spans="1:24" ht="15" customHeight="1">
      <c r="A1158" s="984"/>
      <c r="B1158" s="1093"/>
      <c r="C1158" s="1093"/>
      <c r="D1158" s="984"/>
      <c r="E1158" s="286"/>
      <c r="F1158" s="417"/>
      <c r="G1158" s="253"/>
    </row>
    <row r="1159" spans="1:24" ht="15" customHeight="1">
      <c r="A1159" s="984"/>
      <c r="B1159" s="1051"/>
      <c r="C1159" s="1051"/>
      <c r="D1159" s="984"/>
      <c r="E1159" s="286"/>
      <c r="F1159" s="417"/>
      <c r="G1159" s="253"/>
    </row>
    <row r="1160" spans="1:24" ht="15" customHeight="1">
      <c r="A1160" s="984"/>
      <c r="B1160" s="1051"/>
      <c r="C1160" s="1051"/>
      <c r="D1160" s="984"/>
      <c r="E1160" s="286"/>
      <c r="F1160" s="417"/>
    </row>
    <row r="1161" spans="1:24" ht="15" customHeight="1">
      <c r="A1161" s="1084"/>
      <c r="B1161" s="515"/>
      <c r="H1161" s="180"/>
      <c r="J1161" s="515"/>
      <c r="K1161" s="516"/>
      <c r="L1161" s="515"/>
      <c r="M1161" s="517"/>
    </row>
    <row r="1162" spans="1:24" ht="15" customHeight="1">
      <c r="A1162" s="984"/>
      <c r="B1162" s="984"/>
      <c r="D1162" s="434"/>
      <c r="E1162" s="434"/>
      <c r="H1162" s="180"/>
      <c r="J1162" s="1079" t="s">
        <v>319</v>
      </c>
      <c r="K1162" s="1382"/>
      <c r="L1162" s="1382"/>
      <c r="M1162" s="1382"/>
      <c r="N1162" s="1382"/>
      <c r="O1162" s="1382"/>
      <c r="P1162" s="1382"/>
      <c r="Q1162" s="1382"/>
      <c r="R1162" s="1382"/>
    </row>
    <row r="1163" spans="1:24" ht="15.75" customHeight="1" thickBot="1">
      <c r="A1163" s="984"/>
      <c r="B1163" s="1051"/>
      <c r="H1163" s="180"/>
      <c r="J1163" s="1080" t="s">
        <v>1</v>
      </c>
      <c r="K1163" s="466" t="s">
        <v>45</v>
      </c>
      <c r="L1163" s="467" t="s">
        <v>46</v>
      </c>
      <c r="M1163" s="468" t="s">
        <v>47</v>
      </c>
      <c r="N1163" s="511" t="s">
        <v>48</v>
      </c>
      <c r="O1163" s="512" t="s">
        <v>45</v>
      </c>
      <c r="P1163" s="511" t="s">
        <v>46</v>
      </c>
      <c r="Q1163" s="513" t="s">
        <v>47</v>
      </c>
      <c r="R1163" s="511" t="s">
        <v>48</v>
      </c>
    </row>
    <row r="1164" spans="1:24" ht="15.75" customHeight="1" thickBot="1">
      <c r="A1164" s="984"/>
      <c r="B1164" s="984"/>
      <c r="C1164" s="984"/>
      <c r="D1164" s="984"/>
      <c r="E1164" s="984"/>
      <c r="F1164" s="417"/>
      <c r="G1164" s="379"/>
      <c r="J1164" s="1082">
        <v>160</v>
      </c>
      <c r="K1164" s="158">
        <f>Prod.!P540</f>
        <v>0</v>
      </c>
      <c r="L1164" s="158">
        <f>Prod.!Q540</f>
        <v>0</v>
      </c>
      <c r="M1164" s="158">
        <f>Prod.!R540</f>
        <v>0</v>
      </c>
      <c r="N1164" s="158">
        <f>Prod.!S540</f>
        <v>0</v>
      </c>
      <c r="O1164" s="158">
        <f>Prod.!V540</f>
        <v>0</v>
      </c>
      <c r="P1164" s="158">
        <f>Prod.!W540</f>
        <v>0</v>
      </c>
      <c r="Q1164" s="158">
        <f>Prod.!X540</f>
        <v>0</v>
      </c>
      <c r="R1164" s="158">
        <f>Prod.!Y540</f>
        <v>0</v>
      </c>
      <c r="U1164" s="1383" t="s">
        <v>230</v>
      </c>
      <c r="V1164" s="1383"/>
      <c r="W1164" s="1383"/>
      <c r="X1164" s="1383"/>
    </row>
    <row r="1165" spans="1:24" ht="15.75" customHeight="1" thickBot="1">
      <c r="A1165" s="515"/>
      <c r="B1165" s="516"/>
      <c r="C1165" s="515"/>
      <c r="D1165" s="517"/>
      <c r="E1165" s="286"/>
      <c r="F1165" s="417"/>
      <c r="G1165" s="379"/>
      <c r="J1165" s="1083">
        <v>110</v>
      </c>
      <c r="K1165" s="514">
        <f>Prod.!J538</f>
        <v>0</v>
      </c>
      <c r="L1165" s="514">
        <f>Prod.!K538</f>
        <v>0</v>
      </c>
      <c r="M1165" s="522">
        <f>Prod.!L538</f>
        <v>0</v>
      </c>
      <c r="N1165" s="514">
        <f>Prod.!M538</f>
        <v>0</v>
      </c>
      <c r="U1165" s="1384">
        <f>A1161</f>
        <v>0</v>
      </c>
      <c r="V1165" s="1384"/>
      <c r="W1165" s="453" t="s">
        <v>233</v>
      </c>
      <c r="X1165" s="454" t="s">
        <v>234</v>
      </c>
    </row>
    <row r="1166" spans="1:24" ht="15" customHeight="1">
      <c r="A1166" s="515"/>
      <c r="B1166" s="516"/>
      <c r="C1166" s="515"/>
      <c r="D1166" s="517"/>
      <c r="E1166" s="286"/>
      <c r="F1166" s="417"/>
      <c r="G1166" s="379"/>
      <c r="J1166" s="414"/>
      <c r="K1166" s="414"/>
      <c r="L1166" s="1385"/>
      <c r="M1166" s="1385"/>
      <c r="N1166" s="1385"/>
      <c r="O1166" s="1385"/>
      <c r="P1166" s="455"/>
      <c r="U1166" s="231"/>
      <c r="X1166" s="456"/>
    </row>
    <row r="1167" spans="1:24" ht="15" customHeight="1">
      <c r="A1167" s="515"/>
      <c r="B1167" s="516"/>
      <c r="C1167" s="515"/>
      <c r="D1167" s="517"/>
      <c r="E1167" s="929"/>
      <c r="F1167" s="417"/>
      <c r="G1167" s="379"/>
      <c r="J1167" s="181"/>
      <c r="K1167" s="508"/>
      <c r="L1167" s="181"/>
      <c r="M1167" s="508"/>
      <c r="N1167" s="181"/>
      <c r="O1167" s="508"/>
      <c r="U1167" s="458">
        <f>E1166</f>
        <v>0</v>
      </c>
      <c r="V1167" s="282">
        <f>F1166</f>
        <v>0</v>
      </c>
      <c r="W1167" s="459"/>
      <c r="X1167" s="460"/>
    </row>
    <row r="1168" spans="1:24" ht="15" customHeight="1">
      <c r="A1168" s="515"/>
      <c r="B1168" s="516"/>
      <c r="C1168" s="515"/>
      <c r="D1168" s="517"/>
      <c r="E1168" s="286"/>
      <c r="F1168" s="417"/>
      <c r="G1168" s="1048"/>
      <c r="K1168" s="1382"/>
      <c r="L1168" s="1382"/>
      <c r="M1168" s="1382"/>
      <c r="N1168" s="1382"/>
      <c r="O1168" s="1382"/>
      <c r="P1168" s="1382"/>
      <c r="Q1168" s="1382"/>
      <c r="R1168" s="1382"/>
      <c r="U1168" s="462">
        <f t="shared" ref="U1168:U1172" si="85">E1168</f>
        <v>0</v>
      </c>
      <c r="V1168" s="463">
        <f t="shared" ref="V1168:V1172" si="86">F1168</f>
        <v>0</v>
      </c>
      <c r="W1168" s="464">
        <f t="shared" ref="W1168:W1172" si="87">G1168</f>
        <v>0</v>
      </c>
      <c r="X1168" s="465"/>
    </row>
    <row r="1169" spans="1:24" ht="15" customHeight="1">
      <c r="A1169" s="515"/>
      <c r="B1169" s="516"/>
      <c r="C1169" s="515"/>
      <c r="D1169" s="517"/>
      <c r="E1169" s="286"/>
      <c r="F1169" s="417"/>
      <c r="G1169" s="1048"/>
      <c r="J1169" s="1080" t="s">
        <v>1</v>
      </c>
      <c r="K1169" s="466" t="s">
        <v>45</v>
      </c>
      <c r="L1169" s="467" t="s">
        <v>46</v>
      </c>
      <c r="M1169" s="468" t="s">
        <v>47</v>
      </c>
      <c r="N1169" s="467" t="s">
        <v>48</v>
      </c>
      <c r="O1169" s="466" t="s">
        <v>45</v>
      </c>
      <c r="P1169" s="467" t="s">
        <v>46</v>
      </c>
      <c r="Q1169" s="468" t="s">
        <v>47</v>
      </c>
      <c r="R1169" s="467" t="s">
        <v>48</v>
      </c>
      <c r="U1169" s="374">
        <f t="shared" si="85"/>
        <v>0</v>
      </c>
      <c r="V1169" s="282">
        <f t="shared" si="86"/>
        <v>0</v>
      </c>
      <c r="W1169" s="469">
        <f t="shared" si="87"/>
        <v>0</v>
      </c>
      <c r="X1169" s="465">
        <f>$I$1</f>
        <v>0</v>
      </c>
    </row>
    <row r="1170" spans="1:24" ht="15" customHeight="1">
      <c r="A1170" s="515"/>
      <c r="B1170" s="516"/>
      <c r="C1170" s="515"/>
      <c r="D1170" s="517"/>
      <c r="E1170" s="286"/>
      <c r="F1170" s="417"/>
      <c r="G1170" s="1048"/>
      <c r="J1170" s="1081">
        <v>130</v>
      </c>
      <c r="K1170" s="471">
        <f>Prod.!P539</f>
        <v>0</v>
      </c>
      <c r="L1170" s="471">
        <f>Prod.!Q539</f>
        <v>0</v>
      </c>
      <c r="M1170" s="471">
        <f>Prod.!R539</f>
        <v>0</v>
      </c>
      <c r="N1170" s="471">
        <f>Prod.!S539</f>
        <v>0</v>
      </c>
      <c r="O1170" s="471">
        <f>Prod.!V539</f>
        <v>0</v>
      </c>
      <c r="P1170" s="471">
        <f>Prod.!W539</f>
        <v>0</v>
      </c>
      <c r="Q1170" s="471">
        <f>Prod.!X539</f>
        <v>0</v>
      </c>
      <c r="R1170" s="471">
        <f>Prod.!Y539</f>
        <v>0</v>
      </c>
      <c r="U1170" s="374">
        <f t="shared" si="85"/>
        <v>0</v>
      </c>
      <c r="V1170" s="282">
        <f t="shared" si="86"/>
        <v>0</v>
      </c>
      <c r="W1170" s="469">
        <f t="shared" si="87"/>
        <v>0</v>
      </c>
      <c r="X1170" s="465">
        <f>IFERROR($I$2,0)</f>
        <v>0</v>
      </c>
    </row>
    <row r="1171" spans="1:24" ht="15" customHeight="1">
      <c r="A1171" s="515"/>
      <c r="B1171" s="516"/>
      <c r="C1171" s="515"/>
      <c r="D1171" s="517"/>
      <c r="E1171" s="1085"/>
      <c r="F1171" s="517"/>
      <c r="G1171" s="1086"/>
      <c r="U1171" s="374">
        <f t="shared" si="85"/>
        <v>0</v>
      </c>
      <c r="V1171" s="282">
        <f t="shared" si="86"/>
        <v>0</v>
      </c>
      <c r="W1171" s="469">
        <f t="shared" si="87"/>
        <v>0</v>
      </c>
      <c r="X1171" s="475"/>
    </row>
    <row r="1172" spans="1:24" ht="15" customHeight="1">
      <c r="A1172" s="515"/>
      <c r="B1172" s="516"/>
      <c r="C1172" s="515"/>
      <c r="D1172" s="517"/>
      <c r="E1172" s="1085"/>
      <c r="F1172" s="1087"/>
      <c r="G1172" s="1088"/>
      <c r="U1172" s="374">
        <f t="shared" si="85"/>
        <v>0</v>
      </c>
      <c r="V1172" s="282">
        <f t="shared" si="86"/>
        <v>0</v>
      </c>
      <c r="W1172" s="469">
        <f t="shared" si="87"/>
        <v>0</v>
      </c>
      <c r="X1172" s="520">
        <f>IFERROR($I$3,0)</f>
        <v>0</v>
      </c>
    </row>
    <row r="1173" spans="1:24" ht="15" customHeight="1">
      <c r="A1173" s="515"/>
      <c r="B1173" s="515"/>
      <c r="C1173" s="515"/>
      <c r="D1173" s="517"/>
      <c r="E1173" s="1085"/>
      <c r="F1173" s="417"/>
      <c r="G1173" s="1089"/>
      <c r="J1173" t="s">
        <v>65</v>
      </c>
      <c r="K1173" s="181">
        <f>Prod.!C538</f>
        <v>0</v>
      </c>
      <c r="L1173" s="181">
        <f>Prod.!D538</f>
        <v>0</v>
      </c>
      <c r="M1173" s="181">
        <f>Prod.!E538</f>
        <v>0</v>
      </c>
      <c r="N1173" s="160">
        <f>Prod.!F538</f>
        <v>0</v>
      </c>
      <c r="O1173" s="160">
        <f>Prod.!G538</f>
        <v>0</v>
      </c>
      <c r="U1173" s="374">
        <f>E1173</f>
        <v>0</v>
      </c>
      <c r="V1173" s="282">
        <f>F1173-V1176</f>
        <v>0</v>
      </c>
      <c r="W1173" s="479"/>
      <c r="X1173" s="456"/>
    </row>
    <row r="1174" spans="1:24" ht="15" customHeight="1">
      <c r="A1174" s="515"/>
      <c r="B1174" s="515"/>
      <c r="C1174" s="515"/>
      <c r="D1174" s="984"/>
      <c r="E1174" s="286"/>
      <c r="F1174" s="417"/>
      <c r="G1174" s="1090"/>
      <c r="J1174" t="s">
        <v>67</v>
      </c>
      <c r="K1174" s="181">
        <f>Prod.!C539</f>
        <v>0</v>
      </c>
      <c r="L1174" s="181">
        <f>Prod.!D539</f>
        <v>0</v>
      </c>
      <c r="M1174" s="181">
        <f>Prod.!E539</f>
        <v>0</v>
      </c>
      <c r="N1174" s="160">
        <f>Prod.!F539</f>
        <v>0</v>
      </c>
      <c r="O1174" s="160">
        <f>Prod.!G539</f>
        <v>0</v>
      </c>
      <c r="T1174" s="160"/>
      <c r="U1174" s="374">
        <f>E1174</f>
        <v>0</v>
      </c>
      <c r="V1174" s="282">
        <f>F1174</f>
        <v>0</v>
      </c>
      <c r="W1174" s="479"/>
      <c r="X1174" s="456"/>
    </row>
    <row r="1175" spans="1:24" ht="15.75" customHeight="1" thickBot="1">
      <c r="A1175" s="515"/>
      <c r="B1175" s="515"/>
      <c r="C1175" s="515"/>
      <c r="D1175" s="517"/>
      <c r="E1175" s="286"/>
      <c r="F1175" s="417"/>
      <c r="G1175" s="379"/>
      <c r="U1175" s="374">
        <f>E1175</f>
        <v>0</v>
      </c>
      <c r="V1175" s="282">
        <f>F1175</f>
        <v>0</v>
      </c>
      <c r="W1175" s="479"/>
      <c r="X1175" s="456"/>
    </row>
    <row r="1176" spans="1:24" ht="14.25" customHeight="1" thickBot="1">
      <c r="A1176" s="515"/>
      <c r="B1176" s="515"/>
      <c r="C1176" s="515"/>
      <c r="D1176" s="517"/>
      <c r="E1176" s="286"/>
      <c r="F1176" s="417"/>
      <c r="G1176" s="379"/>
      <c r="L1176" s="1381" t="s">
        <v>7</v>
      </c>
      <c r="M1176" s="1381"/>
      <c r="N1176" s="1381"/>
      <c r="U1176" s="374">
        <f>E1180</f>
        <v>0</v>
      </c>
      <c r="V1176" s="282">
        <f>F1180</f>
        <v>0</v>
      </c>
      <c r="W1176" s="479"/>
      <c r="X1176" s="456"/>
    </row>
    <row r="1177" spans="1:24" ht="19.5" customHeight="1" thickBot="1">
      <c r="A1177" s="515"/>
      <c r="B1177" s="515"/>
      <c r="C1177" s="515"/>
      <c r="D1177" s="517"/>
      <c r="E1177" s="286"/>
      <c r="F1177" s="417"/>
      <c r="G1177" s="379"/>
      <c r="K1177" s="163">
        <v>160</v>
      </c>
      <c r="L1177" s="1381"/>
      <c r="M1177" s="1381"/>
      <c r="N1177" s="1381"/>
      <c r="U1177" s="483" t="s">
        <v>255</v>
      </c>
      <c r="V1177" s="484">
        <f>V1167+V1168+V1169+V1170+V1171+V1172+V1173+V1174+V1175+V1176</f>
        <v>0</v>
      </c>
      <c r="W1177" s="485"/>
      <c r="X1177" s="454"/>
    </row>
    <row r="1178" spans="1:24" ht="18" customHeight="1" thickBot="1">
      <c r="A1178" s="515"/>
      <c r="B1178" s="515"/>
      <c r="C1178" s="515"/>
      <c r="D1178" s="517"/>
      <c r="E1178" s="286"/>
      <c r="F1178" s="417"/>
      <c r="G1178" s="379"/>
      <c r="L1178" s="1381"/>
      <c r="M1178" s="1381"/>
      <c r="N1178" s="1381"/>
    </row>
    <row r="1179" spans="1:24" ht="15" customHeight="1">
      <c r="A1179" s="515"/>
      <c r="B1179" s="515"/>
      <c r="C1179" s="515"/>
      <c r="D1179" s="517"/>
      <c r="E1179" s="286"/>
      <c r="F1179" s="417"/>
      <c r="G1179" s="417"/>
      <c r="L1179" s="175">
        <f>Prod.!AP535</f>
        <v>6</v>
      </c>
      <c r="M1179" s="176">
        <f>Prod.!AQ535</f>
        <v>0</v>
      </c>
      <c r="N1179" s="486">
        <f>Prod.!AR535</f>
        <v>0</v>
      </c>
    </row>
    <row r="1180" spans="1:24" ht="15" customHeight="1">
      <c r="A1180" s="515"/>
      <c r="B1180" s="515"/>
      <c r="C1180" s="515"/>
      <c r="D1180" s="984"/>
      <c r="E1180" s="286"/>
      <c r="F1180" s="417"/>
      <c r="G1180" s="1091"/>
      <c r="L1180" s="170">
        <f>Prod.!AP536</f>
        <v>5</v>
      </c>
      <c r="M1180" s="171">
        <f>Prod.!AQ536</f>
        <v>0</v>
      </c>
      <c r="N1180" s="100">
        <f>Prod.!AR536</f>
        <v>0</v>
      </c>
    </row>
    <row r="1181" spans="1:24" ht="15" customHeight="1">
      <c r="A1181" s="515"/>
      <c r="B1181" s="516"/>
      <c r="C1181" s="515"/>
      <c r="D1181" s="517"/>
      <c r="E1181" s="286"/>
      <c r="F1181" s="277"/>
      <c r="G1181" s="160"/>
      <c r="L1181" s="170">
        <f>Prod.!AP537</f>
        <v>4</v>
      </c>
      <c r="M1181" s="171">
        <f>Prod.!AQ537</f>
        <v>0</v>
      </c>
      <c r="N1181" s="100">
        <f>Prod.!AR537</f>
        <v>0</v>
      </c>
    </row>
    <row r="1182" spans="1:24" ht="15.75" customHeight="1">
      <c r="A1182" s="515"/>
      <c r="B1182" s="516"/>
      <c r="C1182" s="515"/>
      <c r="D1182" s="517"/>
      <c r="E1182" s="1287"/>
      <c r="F1182" s="1287"/>
      <c r="G1182" s="379"/>
      <c r="L1182" s="170">
        <f>Prod.!AP538</f>
        <v>3</v>
      </c>
      <c r="M1182" s="171">
        <f>Prod.!AQ538</f>
        <v>0</v>
      </c>
      <c r="N1182" s="100">
        <f>Prod.!AR538</f>
        <v>0</v>
      </c>
      <c r="O1182" s="293" t="e">
        <f>N1183/((L1182*M1182)+(L1181*M1181)+(L1180*M1180)+(L1179*M1179))</f>
        <v>#DIV/0!</v>
      </c>
    </row>
    <row r="1183" spans="1:24" ht="15.75" customHeight="1">
      <c r="A1183" s="515"/>
      <c r="B1183" s="515"/>
      <c r="C1183" s="515"/>
      <c r="D1183" s="517"/>
      <c r="E1183" s="984"/>
      <c r="F1183" s="1044"/>
      <c r="G1183" s="417"/>
      <c r="L1183" s="173"/>
      <c r="M1183" s="174"/>
      <c r="N1183" s="491">
        <f>Prod.!AR539</f>
        <v>0</v>
      </c>
    </row>
    <row r="1184" spans="1:24" ht="15" customHeight="1">
      <c r="A1184" s="515"/>
      <c r="B1184" s="516"/>
      <c r="C1184" s="515"/>
      <c r="D1184" s="517"/>
      <c r="E1184" s="984"/>
      <c r="F1184" s="1044"/>
      <c r="G1184" s="417"/>
    </row>
    <row r="1185" spans="1:15" ht="15" customHeight="1">
      <c r="A1185" s="515"/>
      <c r="B1185" s="516"/>
      <c r="C1185" s="515"/>
      <c r="D1185" s="517"/>
      <c r="E1185" s="984"/>
      <c r="F1185" s="1044"/>
      <c r="G1185" s="417"/>
    </row>
    <row r="1186" spans="1:15" ht="14.25" customHeight="1">
      <c r="A1186" s="515"/>
      <c r="B1186" s="515"/>
      <c r="C1186" s="515"/>
      <c r="D1186" s="517"/>
      <c r="E1186" s="984"/>
      <c r="F1186" s="1044"/>
      <c r="G1186" s="417"/>
    </row>
    <row r="1187" spans="1:15" ht="15" customHeight="1">
      <c r="A1187" s="515"/>
      <c r="B1187" s="516"/>
      <c r="C1187" s="515"/>
      <c r="D1187" s="517"/>
      <c r="E1187" s="984"/>
      <c r="F1187" s="172"/>
      <c r="G1187" s="417"/>
      <c r="L1187" s="1381" t="s">
        <v>7</v>
      </c>
      <c r="M1187" s="1381"/>
      <c r="N1187" s="1381"/>
    </row>
    <row r="1188" spans="1:15" ht="15" customHeight="1">
      <c r="A1188" s="515"/>
      <c r="B1188" s="516"/>
      <c r="C1188" s="515"/>
      <c r="D1188" s="517"/>
      <c r="E1188" s="984"/>
      <c r="F1188" s="493"/>
      <c r="G1188" s="417"/>
      <c r="K1188" s="163">
        <v>130</v>
      </c>
      <c r="L1188" s="1381"/>
      <c r="M1188" s="1381"/>
      <c r="N1188" s="1381"/>
    </row>
    <row r="1189" spans="1:15" ht="15" customHeight="1">
      <c r="A1189" s="515"/>
      <c r="B1189" s="516"/>
      <c r="C1189" s="515"/>
      <c r="D1189" s="517"/>
      <c r="E1189" s="984"/>
      <c r="F1189" s="517"/>
      <c r="G1189" s="160"/>
      <c r="L1189" s="1381"/>
      <c r="M1189" s="1381"/>
      <c r="N1189" s="1381"/>
    </row>
    <row r="1190" spans="1:15" ht="15" customHeight="1">
      <c r="A1190" s="515"/>
      <c r="B1190" s="516"/>
      <c r="C1190" s="515"/>
      <c r="D1190" s="517"/>
      <c r="E1190" s="984"/>
      <c r="F1190" s="517"/>
      <c r="L1190" s="175">
        <f>Prod.!AP527</f>
        <v>6</v>
      </c>
      <c r="M1190" s="176">
        <f>Prod.!AQ527</f>
        <v>0</v>
      </c>
      <c r="N1190" s="486">
        <f>Prod.!AR527</f>
        <v>0</v>
      </c>
    </row>
    <row r="1191" spans="1:15" ht="15" customHeight="1">
      <c r="A1191" s="515"/>
      <c r="B1191" s="515"/>
      <c r="C1191" s="515"/>
      <c r="D1191" s="517"/>
      <c r="E1191" s="984"/>
      <c r="F1191" s="254"/>
      <c r="L1191" s="170">
        <f>Prod.!AP528</f>
        <v>5</v>
      </c>
      <c r="M1191" s="171">
        <f>Prod.!AQ528</f>
        <v>0</v>
      </c>
      <c r="N1191" s="100">
        <f>Prod.!AR528</f>
        <v>0</v>
      </c>
      <c r="O1191" s="160"/>
    </row>
    <row r="1192" spans="1:15" ht="15" customHeight="1">
      <c r="A1192" s="515"/>
      <c r="B1192" s="515"/>
      <c r="C1192" s="515"/>
      <c r="D1192" s="517"/>
      <c r="E1192" s="984"/>
      <c r="F1192" s="254"/>
      <c r="L1192" s="170">
        <f>Prod.!AP529</f>
        <v>4</v>
      </c>
      <c r="M1192" s="171">
        <f>Prod.!AQ529</f>
        <v>0</v>
      </c>
      <c r="N1192" s="100">
        <f>Prod.!AR529</f>
        <v>0</v>
      </c>
      <c r="O1192" s="160"/>
    </row>
    <row r="1193" spans="1:15" ht="15.75" customHeight="1">
      <c r="A1193" s="515"/>
      <c r="B1193" s="515"/>
      <c r="C1193" s="515"/>
      <c r="D1193" s="517"/>
      <c r="E1193" s="984"/>
      <c r="F1193" s="536"/>
      <c r="L1193" s="170">
        <f>Prod.!AP530</f>
        <v>3</v>
      </c>
      <c r="M1193" s="172">
        <f>Prod.!AQ530</f>
        <v>0</v>
      </c>
      <c r="N1193" s="100">
        <f>Prod.!AR530</f>
        <v>0</v>
      </c>
      <c r="O1193" t="e">
        <f>N1194/((L1193*M1193)+(L1192*M1192)+(L1191*M1191)+(L1190*M1190))</f>
        <v>#DIV/0!</v>
      </c>
    </row>
    <row r="1194" spans="1:15" ht="15.75" customHeight="1">
      <c r="A1194" s="515"/>
      <c r="B1194" s="515"/>
      <c r="C1194" s="515"/>
      <c r="D1194" s="434"/>
      <c r="E1194" s="984"/>
      <c r="F1194" s="1092"/>
      <c r="L1194" s="173"/>
      <c r="M1194" s="174"/>
      <c r="N1194" s="491">
        <f>Prod.!AR531</f>
        <v>0</v>
      </c>
      <c r="O1194" s="160"/>
    </row>
    <row r="1195" spans="1:15" ht="15" customHeight="1">
      <c r="A1195" s="984"/>
      <c r="B1195" s="984"/>
      <c r="C1195" s="984"/>
      <c r="D1195" s="984"/>
      <c r="E1195" s="515"/>
      <c r="F1195" s="517"/>
      <c r="G1195" s="1091"/>
    </row>
    <row r="1196" spans="1:15" ht="15" customHeight="1">
      <c r="A1196" s="984"/>
      <c r="B1196" s="1093"/>
      <c r="C1196" s="1093"/>
      <c r="D1196" s="984"/>
      <c r="E1196" s="286"/>
      <c r="F1196" s="417"/>
      <c r="G1196" s="253"/>
    </row>
    <row r="1197" spans="1:15" ht="15" customHeight="1">
      <c r="A1197" s="984"/>
      <c r="B1197" s="1093"/>
      <c r="C1197" s="1093"/>
      <c r="D1197" s="984"/>
      <c r="E1197" s="286"/>
      <c r="F1197" s="417"/>
      <c r="G1197" s="253"/>
    </row>
    <row r="1198" spans="1:15" ht="15" customHeight="1">
      <c r="A1198" s="984"/>
      <c r="B1198" s="1093"/>
      <c r="C1198" s="1093"/>
      <c r="D1198" s="984"/>
      <c r="E1198" s="286"/>
      <c r="F1198" s="417"/>
      <c r="G1198" s="253"/>
    </row>
    <row r="1199" spans="1:15" ht="15" customHeight="1">
      <c r="A1199" s="984"/>
      <c r="B1199" s="1051"/>
      <c r="C1199" s="1051"/>
      <c r="D1199" s="984"/>
      <c r="E1199" s="286"/>
      <c r="F1199" s="417"/>
      <c r="G1199" s="253"/>
    </row>
    <row r="1200" spans="1:15" ht="15" customHeight="1">
      <c r="A1200" s="984"/>
      <c r="B1200" s="1051"/>
      <c r="C1200" s="1051"/>
      <c r="D1200" s="984"/>
      <c r="E1200" s="286"/>
      <c r="F1200" s="417"/>
    </row>
    <row r="1201" spans="1:24" ht="15" customHeight="1">
      <c r="A1201" s="523"/>
      <c r="B1201" s="248"/>
      <c r="C1201" s="180"/>
      <c r="D1201" s="180"/>
      <c r="E1201" s="180"/>
      <c r="F1201" s="180"/>
      <c r="G1201" s="180"/>
      <c r="H1201" s="180"/>
      <c r="J1201" s="515"/>
      <c r="K1201" s="516"/>
      <c r="L1201" s="515"/>
      <c r="M1201" s="517"/>
    </row>
    <row r="1202" spans="1:24" ht="15" customHeight="1">
      <c r="A1202" s="247"/>
      <c r="B1202" s="247"/>
      <c r="C1202" s="180"/>
      <c r="D1202" s="524"/>
      <c r="E1202" s="524"/>
      <c r="F1202" s="180"/>
      <c r="G1202" s="180"/>
      <c r="H1202" s="180"/>
      <c r="J1202" s="507" t="s">
        <v>320</v>
      </c>
      <c r="K1202" s="1382"/>
      <c r="L1202" s="1382"/>
      <c r="M1202" s="1382"/>
      <c r="N1202" s="1382"/>
      <c r="O1202" s="1382"/>
      <c r="P1202" s="1382"/>
      <c r="Q1202" s="1382"/>
      <c r="R1202" s="1382"/>
    </row>
    <row r="1203" spans="1:24" ht="15.75" customHeight="1" thickBot="1">
      <c r="A1203" s="247"/>
      <c r="B1203" s="265"/>
      <c r="C1203" s="180"/>
      <c r="D1203" s="180"/>
      <c r="E1203" s="180"/>
      <c r="F1203" s="180"/>
      <c r="G1203" s="180"/>
      <c r="H1203" s="180"/>
      <c r="J1203" s="302" t="s">
        <v>1</v>
      </c>
      <c r="K1203" s="466" t="s">
        <v>45</v>
      </c>
      <c r="L1203" s="467" t="s">
        <v>46</v>
      </c>
      <c r="M1203" s="468" t="s">
        <v>47</v>
      </c>
      <c r="N1203" s="511" t="s">
        <v>48</v>
      </c>
      <c r="O1203" s="512" t="s">
        <v>45</v>
      </c>
      <c r="P1203" s="511" t="s">
        <v>46</v>
      </c>
      <c r="Q1203" s="513" t="s">
        <v>47</v>
      </c>
      <c r="R1203" s="511" t="s">
        <v>48</v>
      </c>
    </row>
    <row r="1204" spans="1:24" ht="15.75" customHeight="1" thickBot="1">
      <c r="A1204" s="247"/>
      <c r="B1204" s="247"/>
      <c r="C1204" s="247"/>
      <c r="D1204" s="247"/>
      <c r="E1204" s="247"/>
      <c r="F1204" s="256"/>
      <c r="G1204" s="263"/>
      <c r="H1204" s="180"/>
      <c r="J1204" s="510">
        <v>160</v>
      </c>
      <c r="K1204" s="158">
        <f>Prod.!P558</f>
        <v>0</v>
      </c>
      <c r="L1204" s="158">
        <f>Prod.!Q558</f>
        <v>0</v>
      </c>
      <c r="M1204" s="158">
        <f>Prod.!R558</f>
        <v>0</v>
      </c>
      <c r="N1204" s="158">
        <f>Prod.!S558</f>
        <v>0</v>
      </c>
      <c r="O1204" s="158">
        <f>Prod.!V558</f>
        <v>0</v>
      </c>
      <c r="P1204" s="158">
        <f>Prod.!W558</f>
        <v>0</v>
      </c>
      <c r="Q1204" s="158">
        <f>Prod.!X558</f>
        <v>0</v>
      </c>
      <c r="R1204" s="158">
        <f>Prod.!Y558</f>
        <v>0</v>
      </c>
      <c r="U1204" s="1383" t="s">
        <v>230</v>
      </c>
      <c r="V1204" s="1383"/>
      <c r="W1204" s="1383"/>
      <c r="X1204" s="1383"/>
    </row>
    <row r="1205" spans="1:24" ht="15.75" customHeight="1" thickBot="1">
      <c r="A1205" s="248"/>
      <c r="B1205" s="525"/>
      <c r="C1205" s="248"/>
      <c r="D1205" s="526"/>
      <c r="E1205" s="395"/>
      <c r="F1205" s="256"/>
      <c r="G1205" s="263"/>
      <c r="H1205" s="180"/>
      <c r="J1205" s="450">
        <v>110</v>
      </c>
      <c r="K1205" s="514">
        <f>Prod.!J556</f>
        <v>0</v>
      </c>
      <c r="L1205" s="514">
        <f>Prod.!K556</f>
        <v>0</v>
      </c>
      <c r="M1205" s="514">
        <f>Prod.!L556</f>
        <v>0</v>
      </c>
      <c r="N1205" s="514">
        <f>Prod.!M556</f>
        <v>0</v>
      </c>
      <c r="U1205" s="1384">
        <f>A1201</f>
        <v>0</v>
      </c>
      <c r="V1205" s="1384"/>
      <c r="W1205" s="453" t="s">
        <v>233</v>
      </c>
      <c r="X1205" s="454" t="s">
        <v>234</v>
      </c>
    </row>
    <row r="1206" spans="1:24" ht="15" customHeight="1">
      <c r="A1206" s="248"/>
      <c r="B1206" s="525"/>
      <c r="C1206" s="248"/>
      <c r="D1206" s="526"/>
      <c r="E1206" s="395"/>
      <c r="F1206" s="256"/>
      <c r="G1206" s="263"/>
      <c r="H1206" s="180"/>
      <c r="J1206" s="414"/>
      <c r="K1206" s="414"/>
      <c r="L1206" s="1385"/>
      <c r="M1206" s="1385"/>
      <c r="N1206" s="1385"/>
      <c r="O1206" s="1385"/>
      <c r="P1206" s="455"/>
      <c r="U1206" s="231"/>
      <c r="X1206" s="456"/>
    </row>
    <row r="1207" spans="1:24" ht="15" customHeight="1">
      <c r="A1207" s="248"/>
      <c r="B1207" s="525"/>
      <c r="C1207" s="248"/>
      <c r="D1207" s="526"/>
      <c r="E1207" s="527"/>
      <c r="F1207" s="256"/>
      <c r="G1207" s="263"/>
      <c r="H1207" s="180"/>
      <c r="J1207" s="181"/>
      <c r="K1207" s="508"/>
      <c r="L1207" s="181"/>
      <c r="M1207" s="508"/>
      <c r="N1207" s="181"/>
      <c r="O1207" s="508"/>
      <c r="U1207" s="458">
        <f>E1206</f>
        <v>0</v>
      </c>
      <c r="V1207" s="282">
        <f>F1206</f>
        <v>0</v>
      </c>
      <c r="W1207" s="459"/>
      <c r="X1207" s="460"/>
    </row>
    <row r="1208" spans="1:24" ht="15" customHeight="1">
      <c r="A1208" s="248"/>
      <c r="B1208" s="525"/>
      <c r="C1208" s="248"/>
      <c r="D1208" s="526"/>
      <c r="E1208" s="395"/>
      <c r="F1208" s="256"/>
      <c r="G1208" s="262"/>
      <c r="H1208" s="180"/>
      <c r="K1208" s="1382"/>
      <c r="L1208" s="1382"/>
      <c r="M1208" s="1382"/>
      <c r="N1208" s="1382"/>
      <c r="O1208" s="1382"/>
      <c r="P1208" s="1382"/>
      <c r="Q1208" s="1382"/>
      <c r="R1208" s="1382"/>
      <c r="U1208" s="462">
        <f t="shared" ref="U1208:U1212" si="88">E1208</f>
        <v>0</v>
      </c>
      <c r="V1208" s="463">
        <f t="shared" ref="V1208:V1212" si="89">F1208</f>
        <v>0</v>
      </c>
      <c r="W1208" s="464">
        <f t="shared" ref="W1208:W1212" si="90">G1208</f>
        <v>0</v>
      </c>
      <c r="X1208" s="465"/>
    </row>
    <row r="1209" spans="1:24" ht="15" customHeight="1">
      <c r="A1209" s="248"/>
      <c r="B1209" s="525"/>
      <c r="C1209" s="248"/>
      <c r="D1209" s="526"/>
      <c r="E1209" s="395"/>
      <c r="F1209" s="256"/>
      <c r="G1209" s="262"/>
      <c r="H1209" s="180"/>
      <c r="J1209" s="302" t="s">
        <v>1</v>
      </c>
      <c r="K1209" s="466" t="s">
        <v>45</v>
      </c>
      <c r="L1209" s="467" t="s">
        <v>46</v>
      </c>
      <c r="M1209" s="468" t="s">
        <v>47</v>
      </c>
      <c r="N1209" s="467" t="s">
        <v>48</v>
      </c>
      <c r="O1209" s="466" t="s">
        <v>45</v>
      </c>
      <c r="P1209" s="467" t="s">
        <v>46</v>
      </c>
      <c r="Q1209" s="468" t="s">
        <v>47</v>
      </c>
      <c r="R1209" s="467" t="s">
        <v>48</v>
      </c>
      <c r="U1209" s="374">
        <f t="shared" si="88"/>
        <v>0</v>
      </c>
      <c r="V1209" s="282">
        <f t="shared" si="89"/>
        <v>0</v>
      </c>
      <c r="W1209" s="469">
        <f t="shared" si="90"/>
        <v>0</v>
      </c>
      <c r="X1209" s="465">
        <f>$I$1</f>
        <v>0</v>
      </c>
    </row>
    <row r="1210" spans="1:24" ht="15" customHeight="1">
      <c r="A1210" s="248"/>
      <c r="B1210" s="525"/>
      <c r="C1210" s="248"/>
      <c r="D1210" s="526"/>
      <c r="E1210" s="395"/>
      <c r="F1210" s="256"/>
      <c r="G1210" s="262"/>
      <c r="H1210" s="180"/>
      <c r="J1210" s="470">
        <v>130</v>
      </c>
      <c r="K1210" s="471">
        <f>Prod.!P557</f>
        <v>0</v>
      </c>
      <c r="L1210" s="471">
        <f>Prod.!Q557</f>
        <v>0</v>
      </c>
      <c r="M1210" s="471">
        <f>Prod.!R557</f>
        <v>0</v>
      </c>
      <c r="N1210" s="471">
        <f>Prod.!S557</f>
        <v>0</v>
      </c>
      <c r="O1210" s="471">
        <f>Prod.!V557</f>
        <v>0</v>
      </c>
      <c r="P1210" s="471">
        <f>Prod.!W557</f>
        <v>0</v>
      </c>
      <c r="Q1210" s="471">
        <f>Prod.!X557</f>
        <v>0</v>
      </c>
      <c r="R1210" s="471">
        <f>Prod.!Y557</f>
        <v>0</v>
      </c>
      <c r="U1210" s="374">
        <f t="shared" si="88"/>
        <v>0</v>
      </c>
      <c r="V1210" s="282">
        <f t="shared" si="89"/>
        <v>0</v>
      </c>
      <c r="W1210" s="469">
        <f t="shared" si="90"/>
        <v>0</v>
      </c>
      <c r="X1210" s="465">
        <f>IFERROR($I$2,0)</f>
        <v>0</v>
      </c>
    </row>
    <row r="1211" spans="1:24" ht="15" customHeight="1">
      <c r="A1211" s="248"/>
      <c r="B1211" s="525"/>
      <c r="C1211" s="248"/>
      <c r="D1211" s="526"/>
      <c r="E1211" s="528"/>
      <c r="F1211" s="526"/>
      <c r="G1211" s="529"/>
      <c r="H1211" s="180"/>
      <c r="U1211" s="374">
        <f t="shared" si="88"/>
        <v>0</v>
      </c>
      <c r="V1211" s="282">
        <f t="shared" si="89"/>
        <v>0</v>
      </c>
      <c r="W1211" s="469">
        <f t="shared" si="90"/>
        <v>0</v>
      </c>
      <c r="X1211" s="475"/>
    </row>
    <row r="1212" spans="1:24" ht="15" customHeight="1">
      <c r="A1212" s="248"/>
      <c r="B1212" s="525"/>
      <c r="C1212" s="248"/>
      <c r="D1212" s="526"/>
      <c r="E1212" s="528"/>
      <c r="F1212" s="530"/>
      <c r="G1212" s="531"/>
      <c r="H1212" s="180"/>
      <c r="U1212" s="374">
        <f t="shared" si="88"/>
        <v>0</v>
      </c>
      <c r="V1212" s="282">
        <f t="shared" si="89"/>
        <v>0</v>
      </c>
      <c r="W1212" s="469">
        <f t="shared" si="90"/>
        <v>0</v>
      </c>
      <c r="X1212" s="520">
        <f>IFERROR($I$3,0)</f>
        <v>0</v>
      </c>
    </row>
    <row r="1213" spans="1:24" ht="15" customHeight="1">
      <c r="A1213" s="248"/>
      <c r="B1213" s="248"/>
      <c r="C1213" s="248"/>
      <c r="D1213" s="526"/>
      <c r="E1213" s="528"/>
      <c r="F1213" s="256"/>
      <c r="G1213" s="532"/>
      <c r="H1213" s="180"/>
      <c r="J1213" t="s">
        <v>65</v>
      </c>
      <c r="K1213" s="181">
        <f>Prod.!C556</f>
        <v>0</v>
      </c>
      <c r="L1213" s="181">
        <f>Prod.!D556</f>
        <v>0</v>
      </c>
      <c r="M1213" s="181">
        <f>Prod.!E556</f>
        <v>0</v>
      </c>
      <c r="N1213" s="160">
        <f>Prod.!F556</f>
        <v>0</v>
      </c>
      <c r="O1213" s="160">
        <f>Prod.!G556</f>
        <v>0</v>
      </c>
      <c r="U1213" s="374">
        <f>E1213</f>
        <v>0</v>
      </c>
      <c r="V1213" s="282">
        <f>F1213-V1216</f>
        <v>0</v>
      </c>
      <c r="W1213" s="479"/>
      <c r="X1213" s="456"/>
    </row>
    <row r="1214" spans="1:24" ht="15" customHeight="1">
      <c r="A1214" s="248"/>
      <c r="B1214" s="248"/>
      <c r="C1214" s="248"/>
      <c r="D1214" s="247"/>
      <c r="E1214" s="395"/>
      <c r="F1214" s="256"/>
      <c r="G1214" s="533"/>
      <c r="H1214" s="180"/>
      <c r="J1214" t="s">
        <v>67</v>
      </c>
      <c r="K1214" s="181">
        <f>Prod.!C557</f>
        <v>0</v>
      </c>
      <c r="L1214" s="181">
        <f>Prod.!D557</f>
        <v>0</v>
      </c>
      <c r="M1214" s="181">
        <f>Prod.!E557</f>
        <v>0</v>
      </c>
      <c r="N1214" s="160">
        <f>Prod.!F557</f>
        <v>0</v>
      </c>
      <c r="O1214" s="160">
        <f>Prod.!G557</f>
        <v>0</v>
      </c>
      <c r="T1214" s="160"/>
      <c r="U1214" s="374">
        <f>E1214</f>
        <v>0</v>
      </c>
      <c r="V1214" s="282">
        <f>F1214</f>
        <v>0</v>
      </c>
      <c r="W1214" s="479"/>
      <c r="X1214" s="456"/>
    </row>
    <row r="1215" spans="1:24" ht="15.75" customHeight="1" thickBot="1">
      <c r="A1215" s="248"/>
      <c r="B1215" s="248"/>
      <c r="C1215" s="248"/>
      <c r="D1215" s="526"/>
      <c r="E1215" s="395"/>
      <c r="F1215" s="256"/>
      <c r="G1215" s="263"/>
      <c r="H1215" s="180"/>
      <c r="U1215" s="374">
        <f>E1215</f>
        <v>0</v>
      </c>
      <c r="V1215" s="282">
        <f>F1215</f>
        <v>0</v>
      </c>
      <c r="W1215" s="479"/>
      <c r="X1215" s="456"/>
    </row>
    <row r="1216" spans="1:24" ht="14.25" customHeight="1" thickBot="1">
      <c r="A1216" s="248"/>
      <c r="B1216" s="248"/>
      <c r="C1216" s="248"/>
      <c r="D1216" s="526"/>
      <c r="E1216" s="395"/>
      <c r="F1216" s="256"/>
      <c r="G1216" s="263"/>
      <c r="H1216" s="180"/>
      <c r="L1216" s="1381" t="s">
        <v>7</v>
      </c>
      <c r="M1216" s="1381"/>
      <c r="N1216" s="1381"/>
      <c r="U1216" s="374">
        <f>E1220</f>
        <v>0</v>
      </c>
      <c r="V1216" s="282">
        <f>F1220</f>
        <v>0</v>
      </c>
      <c r="W1216" s="479"/>
      <c r="X1216" s="456"/>
    </row>
    <row r="1217" spans="1:24" ht="19.5" customHeight="1" thickBot="1">
      <c r="A1217" s="248"/>
      <c r="B1217" s="248"/>
      <c r="C1217" s="248"/>
      <c r="D1217" s="526"/>
      <c r="E1217" s="395"/>
      <c r="F1217" s="256"/>
      <c r="G1217" s="263"/>
      <c r="H1217" s="180"/>
      <c r="K1217" s="163">
        <v>160</v>
      </c>
      <c r="L1217" s="1381"/>
      <c r="M1217" s="1381"/>
      <c r="N1217" s="1381"/>
      <c r="U1217" s="483" t="s">
        <v>255</v>
      </c>
      <c r="V1217" s="484">
        <f>V1207+V1208+V1209+V1210+V1211+V1212+V1213+V1214+V1215+V1216</f>
        <v>0</v>
      </c>
      <c r="W1217" s="485"/>
      <c r="X1217" s="454"/>
    </row>
    <row r="1218" spans="1:24" ht="18" customHeight="1" thickBot="1">
      <c r="A1218" s="248"/>
      <c r="B1218" s="248"/>
      <c r="C1218" s="248"/>
      <c r="D1218" s="526"/>
      <c r="E1218" s="395"/>
      <c r="F1218" s="256"/>
      <c r="G1218" s="263"/>
      <c r="H1218" s="180"/>
      <c r="L1218" s="1381"/>
      <c r="M1218" s="1381"/>
      <c r="N1218" s="1381"/>
    </row>
    <row r="1219" spans="1:24" ht="15" customHeight="1">
      <c r="A1219" s="248"/>
      <c r="B1219" s="248"/>
      <c r="C1219" s="248"/>
      <c r="D1219" s="526"/>
      <c r="E1219" s="395"/>
      <c r="F1219" s="256"/>
      <c r="G1219" s="256"/>
      <c r="H1219" s="180"/>
      <c r="L1219" s="175">
        <f>Prod.!AP553</f>
        <v>6</v>
      </c>
      <c r="M1219" s="176">
        <f>Prod.!AQ553</f>
        <v>0</v>
      </c>
      <c r="N1219" s="519">
        <f>Prod.!AR553</f>
        <v>0</v>
      </c>
    </row>
    <row r="1220" spans="1:24" ht="15" customHeight="1">
      <c r="A1220" s="248"/>
      <c r="B1220" s="248"/>
      <c r="C1220" s="248"/>
      <c r="D1220" s="247"/>
      <c r="E1220" s="395"/>
      <c r="F1220" s="256"/>
      <c r="G1220" s="534"/>
      <c r="H1220" s="180"/>
      <c r="L1220" s="170">
        <f>Prod.!AP554</f>
        <v>5</v>
      </c>
      <c r="M1220" s="171">
        <f>Prod.!AQ554</f>
        <v>0</v>
      </c>
      <c r="N1220" s="538">
        <f>Prod.!AR554</f>
        <v>0</v>
      </c>
    </row>
    <row r="1221" spans="1:24" ht="15" customHeight="1">
      <c r="A1221" s="248"/>
      <c r="B1221" s="525"/>
      <c r="C1221" s="248"/>
      <c r="D1221" s="526"/>
      <c r="E1221" s="395"/>
      <c r="F1221" s="254"/>
      <c r="G1221" s="294"/>
      <c r="H1221" s="180"/>
      <c r="L1221" s="170">
        <f>Prod.!AP555</f>
        <v>4</v>
      </c>
      <c r="M1221" s="171">
        <f>Prod.!AQ555</f>
        <v>0</v>
      </c>
      <c r="N1221" s="538">
        <f>Prod.!AR555</f>
        <v>0</v>
      </c>
    </row>
    <row r="1222" spans="1:24" ht="15.75" customHeight="1">
      <c r="A1222" s="248"/>
      <c r="B1222" s="525"/>
      <c r="C1222" s="248"/>
      <c r="D1222" s="526"/>
      <c r="E1222" s="1283"/>
      <c r="F1222" s="1283"/>
      <c r="G1222" s="263"/>
      <c r="H1222" s="180"/>
      <c r="L1222" s="170">
        <f>Prod.!AP556</f>
        <v>3</v>
      </c>
      <c r="M1222" s="171">
        <f>Prod.!AQ556</f>
        <v>0</v>
      </c>
      <c r="N1222" s="538">
        <f>Prod.!AR556</f>
        <v>0</v>
      </c>
      <c r="O1222" s="293" t="e">
        <f>N1223/((L1222*M1222)+(L1221*M1221)+(L1220*M1220)+(L1219*M1219))</f>
        <v>#DIV/0!</v>
      </c>
    </row>
    <row r="1223" spans="1:24" ht="15.75" customHeight="1">
      <c r="A1223" s="248"/>
      <c r="B1223" s="248"/>
      <c r="C1223" s="248"/>
      <c r="D1223" s="526"/>
      <c r="E1223" s="247"/>
      <c r="F1223" s="253"/>
      <c r="G1223" s="256"/>
      <c r="H1223" s="180"/>
      <c r="L1223" s="173"/>
      <c r="M1223" s="174"/>
      <c r="N1223" s="539">
        <f>Prod.!AR557</f>
        <v>0</v>
      </c>
    </row>
    <row r="1224" spans="1:24" ht="15" customHeight="1">
      <c r="A1224" s="248"/>
      <c r="B1224" s="525"/>
      <c r="C1224" s="248"/>
      <c r="D1224" s="526"/>
      <c r="E1224" s="247"/>
      <c r="F1224" s="253"/>
      <c r="G1224" s="256"/>
      <c r="H1224" s="180"/>
    </row>
    <row r="1225" spans="1:24" ht="15" customHeight="1">
      <c r="A1225" s="248"/>
      <c r="B1225" s="525"/>
      <c r="C1225" s="248"/>
      <c r="D1225" s="526"/>
      <c r="E1225" s="247"/>
      <c r="F1225" s="253"/>
      <c r="G1225" s="256"/>
      <c r="H1225" s="180"/>
    </row>
    <row r="1226" spans="1:24" ht="14.25" customHeight="1">
      <c r="A1226" s="248"/>
      <c r="B1226" s="248"/>
      <c r="C1226" s="248"/>
      <c r="D1226" s="526"/>
      <c r="E1226" s="247"/>
      <c r="F1226" s="253"/>
      <c r="G1226" s="256"/>
      <c r="H1226" s="180"/>
    </row>
    <row r="1227" spans="1:24" ht="15" customHeight="1">
      <c r="A1227" s="248"/>
      <c r="B1227" s="525"/>
      <c r="C1227" s="248"/>
      <c r="D1227" s="526"/>
      <c r="E1227" s="247"/>
      <c r="F1227" s="535"/>
      <c r="G1227" s="256"/>
      <c r="H1227" s="180"/>
      <c r="L1227" s="1381" t="s">
        <v>7</v>
      </c>
      <c r="M1227" s="1381"/>
      <c r="N1227" s="1381"/>
    </row>
    <row r="1228" spans="1:24" ht="15" customHeight="1">
      <c r="A1228" s="248"/>
      <c r="B1228" s="525"/>
      <c r="C1228" s="248"/>
      <c r="D1228" s="526"/>
      <c r="E1228" s="247"/>
      <c r="F1228" s="292"/>
      <c r="G1228" s="256"/>
      <c r="H1228" s="180"/>
      <c r="K1228" s="163">
        <v>130</v>
      </c>
      <c r="L1228" s="1381"/>
      <c r="M1228" s="1381"/>
      <c r="N1228" s="1381"/>
    </row>
    <row r="1229" spans="1:24" ht="15" customHeight="1">
      <c r="A1229" s="248"/>
      <c r="B1229" s="525"/>
      <c r="C1229" s="248"/>
      <c r="D1229" s="526"/>
      <c r="E1229" s="247"/>
      <c r="F1229" s="526"/>
      <c r="G1229" s="294"/>
      <c r="H1229" s="180"/>
      <c r="L1229" s="1381"/>
      <c r="M1229" s="1381"/>
      <c r="N1229" s="1381"/>
    </row>
    <row r="1230" spans="1:24" ht="15" customHeight="1">
      <c r="A1230" s="248"/>
      <c r="B1230" s="525"/>
      <c r="C1230" s="248"/>
      <c r="D1230" s="526"/>
      <c r="E1230" s="247"/>
      <c r="F1230" s="526"/>
      <c r="G1230" s="180"/>
      <c r="H1230" s="180"/>
      <c r="L1230" s="175">
        <f>Prod.!AP545</f>
        <v>6</v>
      </c>
      <c r="M1230" s="176">
        <f>Prod.!AQ545</f>
        <v>0</v>
      </c>
      <c r="N1230" s="519">
        <f>Prod.!AR545</f>
        <v>0</v>
      </c>
    </row>
    <row r="1231" spans="1:24" ht="15" customHeight="1">
      <c r="A1231" s="248"/>
      <c r="B1231" s="248"/>
      <c r="C1231" s="248"/>
      <c r="D1231" s="526"/>
      <c r="E1231" s="247"/>
      <c r="F1231" s="254"/>
      <c r="G1231" s="180"/>
      <c r="H1231" s="180"/>
      <c r="L1231" s="170">
        <f>Prod.!AP546</f>
        <v>5</v>
      </c>
      <c r="M1231" s="171">
        <f>Prod.!AQ546</f>
        <v>0</v>
      </c>
      <c r="N1231" s="538">
        <f>Prod.!AR546</f>
        <v>0</v>
      </c>
      <c r="O1231" s="160"/>
    </row>
    <row r="1232" spans="1:24" ht="15" customHeight="1">
      <c r="A1232" s="248"/>
      <c r="B1232" s="248"/>
      <c r="C1232" s="248"/>
      <c r="D1232" s="526"/>
      <c r="E1232" s="247"/>
      <c r="F1232" s="254"/>
      <c r="G1232" s="180"/>
      <c r="H1232" s="180"/>
      <c r="L1232" s="170">
        <f>Prod.!AP547</f>
        <v>4</v>
      </c>
      <c r="M1232" s="171">
        <f>Prod.!AQ547</f>
        <v>0</v>
      </c>
      <c r="N1232" s="538">
        <f>Prod.!AR547</f>
        <v>0</v>
      </c>
      <c r="O1232" s="160"/>
    </row>
    <row r="1233" spans="1:15" ht="15.75" customHeight="1">
      <c r="A1233" s="248"/>
      <c r="B1233" s="248"/>
      <c r="C1233" s="248"/>
      <c r="D1233" s="526"/>
      <c r="E1233" s="247"/>
      <c r="F1233" s="536"/>
      <c r="G1233" s="180"/>
      <c r="H1233" s="180"/>
      <c r="L1233" s="170">
        <f>Prod.!AP548</f>
        <v>3</v>
      </c>
      <c r="M1233" s="172">
        <f>Prod.!AQ548</f>
        <v>0</v>
      </c>
      <c r="N1233" s="538">
        <f>Prod.!AR548</f>
        <v>0</v>
      </c>
      <c r="O1233" t="e">
        <f>N1234/((L1233*M1233)+(L1232*M1232)+(L1231*M1231)+(L1230*M1230))</f>
        <v>#DIV/0!</v>
      </c>
    </row>
    <row r="1234" spans="1:15" ht="15.75" customHeight="1">
      <c r="A1234" s="248"/>
      <c r="B1234" s="248"/>
      <c r="C1234" s="248"/>
      <c r="D1234" s="524"/>
      <c r="E1234" s="247"/>
      <c r="F1234" s="536"/>
      <c r="G1234" s="180"/>
      <c r="H1234" s="180"/>
      <c r="L1234" s="173"/>
      <c r="M1234" s="174"/>
      <c r="N1234" s="539">
        <f>Prod.!AR549</f>
        <v>0</v>
      </c>
      <c r="O1234" s="160"/>
    </row>
    <row r="1235" spans="1:15" ht="15" customHeight="1">
      <c r="A1235" s="247"/>
      <c r="B1235" s="247"/>
      <c r="C1235" s="247"/>
      <c r="D1235" s="247"/>
      <c r="E1235" s="248"/>
      <c r="F1235" s="526"/>
      <c r="G1235" s="534"/>
      <c r="H1235" s="180"/>
    </row>
    <row r="1236" spans="1:15" ht="15" customHeight="1">
      <c r="A1236" s="247"/>
      <c r="B1236" s="537"/>
      <c r="C1236" s="537"/>
      <c r="D1236" s="247"/>
      <c r="E1236" s="395"/>
      <c r="F1236" s="256"/>
      <c r="G1236" s="253"/>
      <c r="H1236" s="180"/>
    </row>
    <row r="1237" spans="1:15" ht="15" customHeight="1">
      <c r="A1237" s="247"/>
      <c r="B1237" s="537"/>
      <c r="C1237" s="537"/>
      <c r="D1237" s="247"/>
      <c r="E1237" s="395"/>
      <c r="F1237" s="256"/>
      <c r="G1237" s="253"/>
      <c r="H1237" s="180"/>
    </row>
    <row r="1238" spans="1:15" ht="15" customHeight="1">
      <c r="A1238" s="247"/>
      <c r="B1238" s="537"/>
      <c r="C1238" s="537"/>
      <c r="D1238" s="247"/>
      <c r="E1238" s="395"/>
      <c r="F1238" s="256"/>
      <c r="G1238" s="253"/>
      <c r="H1238" s="180"/>
    </row>
    <row r="1239" spans="1:15" ht="15" customHeight="1">
      <c r="A1239" s="247"/>
      <c r="B1239" s="265"/>
      <c r="C1239" s="265"/>
      <c r="D1239" s="247"/>
      <c r="E1239" s="395"/>
      <c r="F1239" s="256"/>
      <c r="G1239" s="253"/>
      <c r="H1239" s="180"/>
    </row>
    <row r="1240" spans="1:15" ht="15" customHeight="1">
      <c r="A1240" s="247"/>
      <c r="B1240" s="265"/>
      <c r="C1240" s="265"/>
      <c r="D1240" s="247"/>
      <c r="E1240" s="395"/>
      <c r="F1240" s="256"/>
      <c r="G1240" s="180"/>
      <c r="H1240" s="180"/>
    </row>
  </sheetData>
  <mergeCells count="350">
    <mergeCell ref="O2:R2"/>
    <mergeCell ref="U4:X4"/>
    <mergeCell ref="U5:V5"/>
    <mergeCell ref="K8:N8"/>
    <mergeCell ref="O8:R8"/>
    <mergeCell ref="L16:N18"/>
    <mergeCell ref="E22:F22"/>
    <mergeCell ref="L27:N29"/>
    <mergeCell ref="K42:N42"/>
    <mergeCell ref="O42:R42"/>
    <mergeCell ref="U44:X44"/>
    <mergeCell ref="U45:V45"/>
    <mergeCell ref="J46:K46"/>
    <mergeCell ref="L46:M46"/>
    <mergeCell ref="N46:O46"/>
    <mergeCell ref="K48:N48"/>
    <mergeCell ref="O48:R48"/>
    <mergeCell ref="L56:N58"/>
    <mergeCell ref="E62:F62"/>
    <mergeCell ref="L67:N69"/>
    <mergeCell ref="K82:N82"/>
    <mergeCell ref="O82:R82"/>
    <mergeCell ref="U84:X84"/>
    <mergeCell ref="U85:V85"/>
    <mergeCell ref="J86:K86"/>
    <mergeCell ref="L86:M86"/>
    <mergeCell ref="N86:O86"/>
    <mergeCell ref="K88:N88"/>
    <mergeCell ref="O88:R88"/>
    <mergeCell ref="L96:N98"/>
    <mergeCell ref="E102:F102"/>
    <mergeCell ref="L107:N109"/>
    <mergeCell ref="K122:N122"/>
    <mergeCell ref="O122:R122"/>
    <mergeCell ref="U124:X124"/>
    <mergeCell ref="U125:V125"/>
    <mergeCell ref="J126:K126"/>
    <mergeCell ref="L126:M126"/>
    <mergeCell ref="N126:O126"/>
    <mergeCell ref="K128:N128"/>
    <mergeCell ref="O128:R128"/>
    <mergeCell ref="L136:N138"/>
    <mergeCell ref="E142:F142"/>
    <mergeCell ref="L147:N149"/>
    <mergeCell ref="K162:N162"/>
    <mergeCell ref="O162:R162"/>
    <mergeCell ref="U164:X164"/>
    <mergeCell ref="U165:V165"/>
    <mergeCell ref="J166:K166"/>
    <mergeCell ref="L166:M166"/>
    <mergeCell ref="N166:O166"/>
    <mergeCell ref="K168:N168"/>
    <mergeCell ref="O168:R168"/>
    <mergeCell ref="L176:N178"/>
    <mergeCell ref="E182:F182"/>
    <mergeCell ref="L187:N189"/>
    <mergeCell ref="K202:N202"/>
    <mergeCell ref="O202:R202"/>
    <mergeCell ref="U204:X204"/>
    <mergeCell ref="U205:V205"/>
    <mergeCell ref="J206:K206"/>
    <mergeCell ref="L206:M206"/>
    <mergeCell ref="N206:O206"/>
    <mergeCell ref="K208:N208"/>
    <mergeCell ref="O208:R208"/>
    <mergeCell ref="L216:N218"/>
    <mergeCell ref="E222:F222"/>
    <mergeCell ref="L227:N229"/>
    <mergeCell ref="K242:N242"/>
    <mergeCell ref="O242:R242"/>
    <mergeCell ref="U244:X244"/>
    <mergeCell ref="U245:V245"/>
    <mergeCell ref="J246:K246"/>
    <mergeCell ref="L246:M246"/>
    <mergeCell ref="N246:O246"/>
    <mergeCell ref="K248:N248"/>
    <mergeCell ref="O248:R248"/>
    <mergeCell ref="L256:N258"/>
    <mergeCell ref="E262:F262"/>
    <mergeCell ref="L267:N269"/>
    <mergeCell ref="K282:N282"/>
    <mergeCell ref="O282:R282"/>
    <mergeCell ref="U284:X284"/>
    <mergeCell ref="U285:V285"/>
    <mergeCell ref="J286:K286"/>
    <mergeCell ref="L286:M286"/>
    <mergeCell ref="N286:O286"/>
    <mergeCell ref="K288:N288"/>
    <mergeCell ref="O288:R288"/>
    <mergeCell ref="L296:N298"/>
    <mergeCell ref="E302:F302"/>
    <mergeCell ref="L307:N309"/>
    <mergeCell ref="K322:N322"/>
    <mergeCell ref="O322:R322"/>
    <mergeCell ref="U324:X324"/>
    <mergeCell ref="U325:V325"/>
    <mergeCell ref="J326:K326"/>
    <mergeCell ref="L326:M326"/>
    <mergeCell ref="N326:O326"/>
    <mergeCell ref="K328:N328"/>
    <mergeCell ref="O328:R328"/>
    <mergeCell ref="L336:N338"/>
    <mergeCell ref="E342:F342"/>
    <mergeCell ref="L347:N349"/>
    <mergeCell ref="K362:N362"/>
    <mergeCell ref="O362:R362"/>
    <mergeCell ref="U364:X364"/>
    <mergeCell ref="U365:V365"/>
    <mergeCell ref="J366:K366"/>
    <mergeCell ref="L366:M366"/>
    <mergeCell ref="N366:O366"/>
    <mergeCell ref="K368:N368"/>
    <mergeCell ref="O368:R368"/>
    <mergeCell ref="L376:N378"/>
    <mergeCell ref="E382:F382"/>
    <mergeCell ref="L387:N389"/>
    <mergeCell ref="K402:N402"/>
    <mergeCell ref="O402:R402"/>
    <mergeCell ref="U404:X404"/>
    <mergeCell ref="U405:V405"/>
    <mergeCell ref="J406:K406"/>
    <mergeCell ref="L406:M406"/>
    <mergeCell ref="N406:O406"/>
    <mergeCell ref="K408:N408"/>
    <mergeCell ref="O408:R408"/>
    <mergeCell ref="L416:N418"/>
    <mergeCell ref="E422:F422"/>
    <mergeCell ref="L427:N429"/>
    <mergeCell ref="K442:N442"/>
    <mergeCell ref="O442:R442"/>
    <mergeCell ref="U444:X444"/>
    <mergeCell ref="U445:V445"/>
    <mergeCell ref="J446:K446"/>
    <mergeCell ref="L446:M446"/>
    <mergeCell ref="N446:O446"/>
    <mergeCell ref="K448:N448"/>
    <mergeCell ref="O448:R448"/>
    <mergeCell ref="L456:N458"/>
    <mergeCell ref="E462:F462"/>
    <mergeCell ref="L467:N469"/>
    <mergeCell ref="K482:N482"/>
    <mergeCell ref="O482:R482"/>
    <mergeCell ref="U484:X484"/>
    <mergeCell ref="U485:V485"/>
    <mergeCell ref="J486:K486"/>
    <mergeCell ref="L486:M486"/>
    <mergeCell ref="N486:O486"/>
    <mergeCell ref="K488:N488"/>
    <mergeCell ref="O488:R488"/>
    <mergeCell ref="L496:N498"/>
    <mergeCell ref="E502:F502"/>
    <mergeCell ref="L507:N509"/>
    <mergeCell ref="K522:N522"/>
    <mergeCell ref="O522:R522"/>
    <mergeCell ref="U524:X524"/>
    <mergeCell ref="U525:V525"/>
    <mergeCell ref="L526:M526"/>
    <mergeCell ref="N526:O526"/>
    <mergeCell ref="K528:N528"/>
    <mergeCell ref="O528:R528"/>
    <mergeCell ref="L536:N538"/>
    <mergeCell ref="E542:F542"/>
    <mergeCell ref="L547:N549"/>
    <mergeCell ref="K562:N562"/>
    <mergeCell ref="O562:R562"/>
    <mergeCell ref="U564:X564"/>
    <mergeCell ref="U565:V565"/>
    <mergeCell ref="L566:M566"/>
    <mergeCell ref="N566:O566"/>
    <mergeCell ref="K568:N568"/>
    <mergeCell ref="O568:R568"/>
    <mergeCell ref="L576:N578"/>
    <mergeCell ref="E582:F582"/>
    <mergeCell ref="L587:N589"/>
    <mergeCell ref="K602:N602"/>
    <mergeCell ref="O602:R602"/>
    <mergeCell ref="U604:X604"/>
    <mergeCell ref="U605:V605"/>
    <mergeCell ref="L606:M606"/>
    <mergeCell ref="N606:O606"/>
    <mergeCell ref="K608:N608"/>
    <mergeCell ref="O608:R608"/>
    <mergeCell ref="L616:N618"/>
    <mergeCell ref="E622:F622"/>
    <mergeCell ref="L627:N629"/>
    <mergeCell ref="K642:N642"/>
    <mergeCell ref="O642:R642"/>
    <mergeCell ref="U644:X644"/>
    <mergeCell ref="U645:V645"/>
    <mergeCell ref="L646:M646"/>
    <mergeCell ref="N646:O646"/>
    <mergeCell ref="K648:N648"/>
    <mergeCell ref="O648:R648"/>
    <mergeCell ref="L656:N658"/>
    <mergeCell ref="E662:F662"/>
    <mergeCell ref="L667:N669"/>
    <mergeCell ref="K682:N682"/>
    <mergeCell ref="O682:R682"/>
    <mergeCell ref="U684:X684"/>
    <mergeCell ref="U685:V685"/>
    <mergeCell ref="L686:M686"/>
    <mergeCell ref="N686:O686"/>
    <mergeCell ref="K688:N688"/>
    <mergeCell ref="O688:R688"/>
    <mergeCell ref="L696:N698"/>
    <mergeCell ref="E702:F702"/>
    <mergeCell ref="L707:N709"/>
    <mergeCell ref="K722:N722"/>
    <mergeCell ref="O722:R722"/>
    <mergeCell ref="U724:X724"/>
    <mergeCell ref="U725:V725"/>
    <mergeCell ref="L726:M726"/>
    <mergeCell ref="N726:O726"/>
    <mergeCell ref="K728:N728"/>
    <mergeCell ref="O728:R728"/>
    <mergeCell ref="L736:N738"/>
    <mergeCell ref="E742:F742"/>
    <mergeCell ref="L747:N749"/>
    <mergeCell ref="K762:N762"/>
    <mergeCell ref="O762:R762"/>
    <mergeCell ref="U764:X764"/>
    <mergeCell ref="U765:V765"/>
    <mergeCell ref="L766:M766"/>
    <mergeCell ref="N766:O766"/>
    <mergeCell ref="K768:N768"/>
    <mergeCell ref="O768:R768"/>
    <mergeCell ref="L776:N778"/>
    <mergeCell ref="E782:F782"/>
    <mergeCell ref="L787:N789"/>
    <mergeCell ref="K802:N802"/>
    <mergeCell ref="O802:R802"/>
    <mergeCell ref="U804:X804"/>
    <mergeCell ref="U805:V805"/>
    <mergeCell ref="L806:M806"/>
    <mergeCell ref="N806:O806"/>
    <mergeCell ref="K808:N808"/>
    <mergeCell ref="O808:R808"/>
    <mergeCell ref="L816:N818"/>
    <mergeCell ref="E822:F822"/>
    <mergeCell ref="L827:N829"/>
    <mergeCell ref="K842:N842"/>
    <mergeCell ref="O842:R842"/>
    <mergeCell ref="U844:X844"/>
    <mergeCell ref="U845:V845"/>
    <mergeCell ref="L846:M846"/>
    <mergeCell ref="N846:O846"/>
    <mergeCell ref="K848:N848"/>
    <mergeCell ref="O848:R848"/>
    <mergeCell ref="L856:N858"/>
    <mergeCell ref="E862:F862"/>
    <mergeCell ref="L867:N869"/>
    <mergeCell ref="K882:N882"/>
    <mergeCell ref="O882:R882"/>
    <mergeCell ref="U884:X884"/>
    <mergeCell ref="U885:V885"/>
    <mergeCell ref="L886:M886"/>
    <mergeCell ref="N886:O886"/>
    <mergeCell ref="K888:N888"/>
    <mergeCell ref="O888:R888"/>
    <mergeCell ref="L896:N898"/>
    <mergeCell ref="E902:F902"/>
    <mergeCell ref="L907:N909"/>
    <mergeCell ref="K922:N922"/>
    <mergeCell ref="O922:R922"/>
    <mergeCell ref="U924:X924"/>
    <mergeCell ref="U925:V925"/>
    <mergeCell ref="L926:M926"/>
    <mergeCell ref="N926:O926"/>
    <mergeCell ref="K928:N928"/>
    <mergeCell ref="O928:R928"/>
    <mergeCell ref="L936:N938"/>
    <mergeCell ref="E942:F942"/>
    <mergeCell ref="L947:N949"/>
    <mergeCell ref="K962:N962"/>
    <mergeCell ref="O962:R962"/>
    <mergeCell ref="U964:X964"/>
    <mergeCell ref="U965:V965"/>
    <mergeCell ref="L966:M966"/>
    <mergeCell ref="N966:O966"/>
    <mergeCell ref="K968:N968"/>
    <mergeCell ref="O968:R968"/>
    <mergeCell ref="L976:N978"/>
    <mergeCell ref="E982:F982"/>
    <mergeCell ref="L987:N989"/>
    <mergeCell ref="K1002:N1002"/>
    <mergeCell ref="O1002:R1002"/>
    <mergeCell ref="U1004:X1004"/>
    <mergeCell ref="U1005:V1005"/>
    <mergeCell ref="L1006:M1006"/>
    <mergeCell ref="N1006:O1006"/>
    <mergeCell ref="K1008:N1008"/>
    <mergeCell ref="O1008:R1008"/>
    <mergeCell ref="L1016:N1018"/>
    <mergeCell ref="E1022:F1022"/>
    <mergeCell ref="L1027:N1029"/>
    <mergeCell ref="K1042:N1042"/>
    <mergeCell ref="O1042:R1042"/>
    <mergeCell ref="U1044:X1044"/>
    <mergeCell ref="U1045:V1045"/>
    <mergeCell ref="L1046:M1046"/>
    <mergeCell ref="N1046:O1046"/>
    <mergeCell ref="K1048:N1048"/>
    <mergeCell ref="O1048:R1048"/>
    <mergeCell ref="L1056:N1058"/>
    <mergeCell ref="E1062:F1062"/>
    <mergeCell ref="L1067:N1069"/>
    <mergeCell ref="K1082:N1082"/>
    <mergeCell ref="O1082:R1082"/>
    <mergeCell ref="U1084:X1084"/>
    <mergeCell ref="U1085:V1085"/>
    <mergeCell ref="L1086:M1086"/>
    <mergeCell ref="N1086:O1086"/>
    <mergeCell ref="K1088:N1088"/>
    <mergeCell ref="O1088:R1088"/>
    <mergeCell ref="L1096:N1098"/>
    <mergeCell ref="E1102:F1102"/>
    <mergeCell ref="L1107:N1109"/>
    <mergeCell ref="K1122:N1122"/>
    <mergeCell ref="O1122:R1122"/>
    <mergeCell ref="U1124:X1124"/>
    <mergeCell ref="U1125:V1125"/>
    <mergeCell ref="L1126:M1126"/>
    <mergeCell ref="N1126:O1126"/>
    <mergeCell ref="K1128:N1128"/>
    <mergeCell ref="O1128:R1128"/>
    <mergeCell ref="L1136:N1138"/>
    <mergeCell ref="E1142:F1142"/>
    <mergeCell ref="L1147:N1149"/>
    <mergeCell ref="K1162:N1162"/>
    <mergeCell ref="O1162:R1162"/>
    <mergeCell ref="U1164:X1164"/>
    <mergeCell ref="U1165:V1165"/>
    <mergeCell ref="L1166:M1166"/>
    <mergeCell ref="N1166:O1166"/>
    <mergeCell ref="K1168:N1168"/>
    <mergeCell ref="O1168:R1168"/>
    <mergeCell ref="L1176:N1178"/>
    <mergeCell ref="L1216:N1218"/>
    <mergeCell ref="E1222:F1222"/>
    <mergeCell ref="L1227:N1229"/>
    <mergeCell ref="E1182:F1182"/>
    <mergeCell ref="L1187:N1189"/>
    <mergeCell ref="K1202:N1202"/>
    <mergeCell ref="O1202:R1202"/>
    <mergeCell ref="U1204:X1204"/>
    <mergeCell ref="U1205:V1205"/>
    <mergeCell ref="L1206:M1206"/>
    <mergeCell ref="N1206:O1206"/>
    <mergeCell ref="K1208:N1208"/>
    <mergeCell ref="O1208:R1208"/>
  </mergeCells>
  <conditionalFormatting sqref="F1063:G1068">
    <cfRule type="cellIs" dxfId="1345" priority="38" operator="equal">
      <formula>0</formula>
    </cfRule>
  </conditionalFormatting>
  <conditionalFormatting sqref="B1045:B1072">
    <cfRule type="cellIs" dxfId="1344" priority="39" operator="equal">
      <formula>0</formula>
    </cfRule>
  </conditionalFormatting>
  <conditionalFormatting sqref="D1045:D1071">
    <cfRule type="cellIs" dxfId="1343" priority="40" operator="equal">
      <formula>0</formula>
    </cfRule>
  </conditionalFormatting>
  <conditionalFormatting sqref="F1070:G1073">
    <cfRule type="cellIs" dxfId="1342" priority="41" operator="equal">
      <formula>0</formula>
    </cfRule>
  </conditionalFormatting>
  <conditionalFormatting sqref="F1076:G1078 F1079:F1080">
    <cfRule type="cellIs" dxfId="1341" priority="42" operator="equal">
      <formula>0</formula>
    </cfRule>
  </conditionalFormatting>
  <conditionalFormatting sqref="G1048:G1050">
    <cfRule type="cellIs" dxfId="1340" priority="43" operator="equal">
      <formula>0</formula>
    </cfRule>
  </conditionalFormatting>
  <conditionalFormatting sqref="F1023:G1028">
    <cfRule type="cellIs" dxfId="1339" priority="44" operator="equal">
      <formula>0</formula>
    </cfRule>
  </conditionalFormatting>
  <conditionalFormatting sqref="B1005:B1032">
    <cfRule type="cellIs" dxfId="1338" priority="45" operator="equal">
      <formula>0</formula>
    </cfRule>
  </conditionalFormatting>
  <conditionalFormatting sqref="D1005:D1031">
    <cfRule type="cellIs" dxfId="1337" priority="46" operator="equal">
      <formula>0</formula>
    </cfRule>
  </conditionalFormatting>
  <conditionalFormatting sqref="F1030:G1033">
    <cfRule type="cellIs" dxfId="1336" priority="47" operator="equal">
      <formula>0</formula>
    </cfRule>
  </conditionalFormatting>
  <conditionalFormatting sqref="F1036:G1038 F1039:F1040">
    <cfRule type="cellIs" dxfId="1335" priority="48" operator="equal">
      <formula>0</formula>
    </cfRule>
  </conditionalFormatting>
  <conditionalFormatting sqref="G1008:G1010">
    <cfRule type="cellIs" dxfId="1334" priority="49" operator="equal">
      <formula>0</formula>
    </cfRule>
  </conditionalFormatting>
  <conditionalFormatting sqref="F983:G988">
    <cfRule type="cellIs" dxfId="1333" priority="50" operator="equal">
      <formula>0</formula>
    </cfRule>
  </conditionalFormatting>
  <conditionalFormatting sqref="B965:B992">
    <cfRule type="cellIs" dxfId="1332" priority="51" operator="equal">
      <formula>0</formula>
    </cfRule>
  </conditionalFormatting>
  <conditionalFormatting sqref="D965:D991">
    <cfRule type="cellIs" dxfId="1331" priority="52" operator="equal">
      <formula>0</formula>
    </cfRule>
  </conditionalFormatting>
  <conditionalFormatting sqref="F990:G993">
    <cfRule type="cellIs" dxfId="1330" priority="53" operator="equal">
      <formula>0</formula>
    </cfRule>
  </conditionalFormatting>
  <conditionalFormatting sqref="F996:G998 F999:F1000">
    <cfRule type="cellIs" dxfId="1329" priority="54" operator="equal">
      <formula>0</formula>
    </cfRule>
  </conditionalFormatting>
  <conditionalFormatting sqref="G968:G970">
    <cfRule type="cellIs" dxfId="1328" priority="55" operator="equal">
      <formula>0</formula>
    </cfRule>
  </conditionalFormatting>
  <conditionalFormatting sqref="F943:G948">
    <cfRule type="cellIs" dxfId="1327" priority="56" operator="equal">
      <formula>0</formula>
    </cfRule>
  </conditionalFormatting>
  <conditionalFormatting sqref="B925:B952">
    <cfRule type="cellIs" dxfId="1326" priority="57" operator="equal">
      <formula>0</formula>
    </cfRule>
  </conditionalFormatting>
  <conditionalFormatting sqref="D925:D951">
    <cfRule type="cellIs" dxfId="1325" priority="58" operator="equal">
      <formula>0</formula>
    </cfRule>
  </conditionalFormatting>
  <conditionalFormatting sqref="F950:G953">
    <cfRule type="cellIs" dxfId="1324" priority="59" operator="equal">
      <formula>0</formula>
    </cfRule>
  </conditionalFormatting>
  <conditionalFormatting sqref="F956:G958 F959:F960">
    <cfRule type="cellIs" dxfId="1323" priority="60" operator="equal">
      <formula>0</formula>
    </cfRule>
  </conditionalFormatting>
  <conditionalFormatting sqref="G928:G930">
    <cfRule type="cellIs" dxfId="1322" priority="61" operator="equal">
      <formula>0</formula>
    </cfRule>
  </conditionalFormatting>
  <conditionalFormatting sqref="F903:G908">
    <cfRule type="cellIs" dxfId="1321" priority="62" operator="equal">
      <formula>0</formula>
    </cfRule>
  </conditionalFormatting>
  <conditionalFormatting sqref="B885:B912">
    <cfRule type="cellIs" dxfId="1320" priority="63" operator="equal">
      <formula>0</formula>
    </cfRule>
  </conditionalFormatting>
  <conditionalFormatting sqref="D885:D911">
    <cfRule type="cellIs" dxfId="1319" priority="64" operator="equal">
      <formula>0</formula>
    </cfRule>
  </conditionalFormatting>
  <conditionalFormatting sqref="F910:G913">
    <cfRule type="cellIs" dxfId="1318" priority="65" operator="equal">
      <formula>0</formula>
    </cfRule>
  </conditionalFormatting>
  <conditionalFormatting sqref="F916:G918 F919:F920">
    <cfRule type="cellIs" dxfId="1317" priority="66" operator="equal">
      <formula>0</formula>
    </cfRule>
  </conditionalFormatting>
  <conditionalFormatting sqref="G888:G890">
    <cfRule type="cellIs" dxfId="1316" priority="67" operator="equal">
      <formula>0</formula>
    </cfRule>
  </conditionalFormatting>
  <conditionalFormatting sqref="F863:G868">
    <cfRule type="cellIs" dxfId="1315" priority="68" operator="equal">
      <formula>0</formula>
    </cfRule>
  </conditionalFormatting>
  <conditionalFormatting sqref="B845:B872">
    <cfRule type="cellIs" dxfId="1314" priority="69" operator="equal">
      <formula>0</formula>
    </cfRule>
  </conditionalFormatting>
  <conditionalFormatting sqref="D845:D871">
    <cfRule type="cellIs" dxfId="1313" priority="70" operator="equal">
      <formula>0</formula>
    </cfRule>
  </conditionalFormatting>
  <conditionalFormatting sqref="F870:G873">
    <cfRule type="cellIs" dxfId="1312" priority="71" operator="equal">
      <formula>0</formula>
    </cfRule>
  </conditionalFormatting>
  <conditionalFormatting sqref="F876:G878 F879:F880">
    <cfRule type="cellIs" dxfId="1311" priority="72" operator="equal">
      <formula>0</formula>
    </cfRule>
  </conditionalFormatting>
  <conditionalFormatting sqref="G848:G850">
    <cfRule type="cellIs" dxfId="1310" priority="73" operator="equal">
      <formula>0</formula>
    </cfRule>
  </conditionalFormatting>
  <conditionalFormatting sqref="F823:G828">
    <cfRule type="cellIs" dxfId="1309" priority="74" operator="equal">
      <formula>0</formula>
    </cfRule>
  </conditionalFormatting>
  <conditionalFormatting sqref="B805:B832">
    <cfRule type="cellIs" dxfId="1308" priority="75" operator="equal">
      <formula>0</formula>
    </cfRule>
  </conditionalFormatting>
  <conditionalFormatting sqref="D805:D831">
    <cfRule type="cellIs" dxfId="1307" priority="76" operator="equal">
      <formula>0</formula>
    </cfRule>
  </conditionalFormatting>
  <conditionalFormatting sqref="F830:G833">
    <cfRule type="cellIs" dxfId="1306" priority="77" operator="equal">
      <formula>0</formula>
    </cfRule>
  </conditionalFormatting>
  <conditionalFormatting sqref="F836:G838 F839:F840">
    <cfRule type="cellIs" dxfId="1305" priority="78" operator="equal">
      <formula>0</formula>
    </cfRule>
  </conditionalFormatting>
  <conditionalFormatting sqref="G808:G810">
    <cfRule type="cellIs" dxfId="1304" priority="79" operator="equal">
      <formula>0</formula>
    </cfRule>
  </conditionalFormatting>
  <conditionalFormatting sqref="F783:G788">
    <cfRule type="cellIs" dxfId="1303" priority="80" operator="equal">
      <formula>0</formula>
    </cfRule>
  </conditionalFormatting>
  <conditionalFormatting sqref="B765:B792">
    <cfRule type="cellIs" dxfId="1302" priority="81" operator="equal">
      <formula>0</formula>
    </cfRule>
  </conditionalFormatting>
  <conditionalFormatting sqref="D765:D791">
    <cfRule type="cellIs" dxfId="1301" priority="82" operator="equal">
      <formula>0</formula>
    </cfRule>
  </conditionalFormatting>
  <conditionalFormatting sqref="F790:G793">
    <cfRule type="cellIs" dxfId="1300" priority="83" operator="equal">
      <formula>0</formula>
    </cfRule>
  </conditionalFormatting>
  <conditionalFormatting sqref="F796:G798 F799:F800">
    <cfRule type="cellIs" dxfId="1299" priority="84" operator="equal">
      <formula>0</formula>
    </cfRule>
  </conditionalFormatting>
  <conditionalFormatting sqref="G768:G770">
    <cfRule type="cellIs" dxfId="1298" priority="85" operator="equal">
      <formula>0</formula>
    </cfRule>
  </conditionalFormatting>
  <conditionalFormatting sqref="F743:G748">
    <cfRule type="cellIs" dxfId="1297" priority="86" operator="equal">
      <formula>0</formula>
    </cfRule>
  </conditionalFormatting>
  <conditionalFormatting sqref="B725:B752">
    <cfRule type="cellIs" dxfId="1296" priority="87" operator="equal">
      <formula>0</formula>
    </cfRule>
  </conditionalFormatting>
  <conditionalFormatting sqref="D725:D751">
    <cfRule type="cellIs" dxfId="1295" priority="88" operator="equal">
      <formula>0</formula>
    </cfRule>
  </conditionalFormatting>
  <conditionalFormatting sqref="F750:G753">
    <cfRule type="cellIs" dxfId="1294" priority="89" operator="equal">
      <formula>0</formula>
    </cfRule>
  </conditionalFormatting>
  <conditionalFormatting sqref="F756:G758 F759:F760">
    <cfRule type="cellIs" dxfId="1293" priority="90" operator="equal">
      <formula>0</formula>
    </cfRule>
  </conditionalFormatting>
  <conditionalFormatting sqref="G728:G730">
    <cfRule type="cellIs" dxfId="1292" priority="91" operator="equal">
      <formula>0</formula>
    </cfRule>
  </conditionalFormatting>
  <conditionalFormatting sqref="F703:G708">
    <cfRule type="cellIs" dxfId="1291" priority="92" operator="equal">
      <formula>0</formula>
    </cfRule>
  </conditionalFormatting>
  <conditionalFormatting sqref="B685:B712">
    <cfRule type="cellIs" dxfId="1290" priority="93" operator="equal">
      <formula>0</formula>
    </cfRule>
  </conditionalFormatting>
  <conditionalFormatting sqref="D685:D711">
    <cfRule type="cellIs" dxfId="1289" priority="94" operator="equal">
      <formula>0</formula>
    </cfRule>
  </conditionalFormatting>
  <conditionalFormatting sqref="F710:G713">
    <cfRule type="cellIs" dxfId="1288" priority="95" operator="equal">
      <formula>0</formula>
    </cfRule>
  </conditionalFormatting>
  <conditionalFormatting sqref="F716:G718 F719:F720">
    <cfRule type="cellIs" dxfId="1287" priority="96" operator="equal">
      <formula>0</formula>
    </cfRule>
  </conditionalFormatting>
  <conditionalFormatting sqref="G688:G690">
    <cfRule type="cellIs" dxfId="1286" priority="97" operator="equal">
      <formula>0</formula>
    </cfRule>
  </conditionalFormatting>
  <conditionalFormatting sqref="F663:G668">
    <cfRule type="cellIs" dxfId="1285" priority="98" operator="equal">
      <formula>0</formula>
    </cfRule>
  </conditionalFormatting>
  <conditionalFormatting sqref="B645:B672">
    <cfRule type="cellIs" dxfId="1284" priority="99" operator="equal">
      <formula>0</formula>
    </cfRule>
  </conditionalFormatting>
  <conditionalFormatting sqref="D645:D671">
    <cfRule type="cellIs" dxfId="1283" priority="100" operator="equal">
      <formula>0</formula>
    </cfRule>
  </conditionalFormatting>
  <conditionalFormatting sqref="F670:G673">
    <cfRule type="cellIs" dxfId="1282" priority="101" operator="equal">
      <formula>0</formula>
    </cfRule>
  </conditionalFormatting>
  <conditionalFormatting sqref="F676:G678 F679:F680">
    <cfRule type="cellIs" dxfId="1281" priority="102" operator="equal">
      <formula>0</formula>
    </cfRule>
  </conditionalFormatting>
  <conditionalFormatting sqref="G648:G650">
    <cfRule type="cellIs" dxfId="1280" priority="103" operator="equal">
      <formula>0</formula>
    </cfRule>
  </conditionalFormatting>
  <conditionalFormatting sqref="F623:G628">
    <cfRule type="cellIs" dxfId="1279" priority="104" operator="equal">
      <formula>0</formula>
    </cfRule>
  </conditionalFormatting>
  <conditionalFormatting sqref="B605:B632">
    <cfRule type="cellIs" dxfId="1278" priority="105" operator="equal">
      <formula>0</formula>
    </cfRule>
  </conditionalFormatting>
  <conditionalFormatting sqref="D605:D631">
    <cfRule type="cellIs" dxfId="1277" priority="106" operator="equal">
      <formula>0</formula>
    </cfRule>
  </conditionalFormatting>
  <conditionalFormatting sqref="F630:G633">
    <cfRule type="cellIs" dxfId="1276" priority="107" operator="equal">
      <formula>0</formula>
    </cfRule>
  </conditionalFormatting>
  <conditionalFormatting sqref="F636:G638 F639:F640">
    <cfRule type="cellIs" dxfId="1275" priority="108" operator="equal">
      <formula>0</formula>
    </cfRule>
  </conditionalFormatting>
  <conditionalFormatting sqref="G608:G610">
    <cfRule type="cellIs" dxfId="1274" priority="109" operator="equal">
      <formula>0</formula>
    </cfRule>
  </conditionalFormatting>
  <conditionalFormatting sqref="F583:G588">
    <cfRule type="cellIs" dxfId="1273" priority="110" operator="equal">
      <formula>0</formula>
    </cfRule>
  </conditionalFormatting>
  <conditionalFormatting sqref="B565:B592">
    <cfRule type="cellIs" dxfId="1272" priority="111" operator="equal">
      <formula>0</formula>
    </cfRule>
  </conditionalFormatting>
  <conditionalFormatting sqref="D565:D591">
    <cfRule type="cellIs" dxfId="1271" priority="112" operator="equal">
      <formula>0</formula>
    </cfRule>
  </conditionalFormatting>
  <conditionalFormatting sqref="F590:G593">
    <cfRule type="cellIs" dxfId="1270" priority="113" operator="equal">
      <formula>0</formula>
    </cfRule>
  </conditionalFormatting>
  <conditionalFormatting sqref="F596:G598 F599:F600">
    <cfRule type="cellIs" dxfId="1269" priority="114" operator="equal">
      <formula>0</formula>
    </cfRule>
  </conditionalFormatting>
  <conditionalFormatting sqref="G568:G570">
    <cfRule type="cellIs" dxfId="1268" priority="115" operator="equal">
      <formula>0</formula>
    </cfRule>
  </conditionalFormatting>
  <conditionalFormatting sqref="F543:G548">
    <cfRule type="cellIs" dxfId="1267" priority="116" operator="equal">
      <formula>0</formula>
    </cfRule>
  </conditionalFormatting>
  <conditionalFormatting sqref="B525:B552">
    <cfRule type="cellIs" dxfId="1266" priority="117" operator="equal">
      <formula>0</formula>
    </cfRule>
  </conditionalFormatting>
  <conditionalFormatting sqref="D525:D551">
    <cfRule type="cellIs" dxfId="1265" priority="118" operator="equal">
      <formula>0</formula>
    </cfRule>
  </conditionalFormatting>
  <conditionalFormatting sqref="F550:G553">
    <cfRule type="cellIs" dxfId="1264" priority="119" operator="equal">
      <formula>0</formula>
    </cfRule>
  </conditionalFormatting>
  <conditionalFormatting sqref="F556:G558 F559:F560">
    <cfRule type="cellIs" dxfId="1263" priority="120" operator="equal">
      <formula>0</formula>
    </cfRule>
  </conditionalFormatting>
  <conditionalFormatting sqref="G528:G530">
    <cfRule type="cellIs" dxfId="1262" priority="121" operator="equal">
      <formula>0</formula>
    </cfRule>
  </conditionalFormatting>
  <conditionalFormatting sqref="F503:G508">
    <cfRule type="cellIs" dxfId="1261" priority="122" operator="equal">
      <formula>0</formula>
    </cfRule>
  </conditionalFormatting>
  <conditionalFormatting sqref="B485:B512">
    <cfRule type="cellIs" dxfId="1260" priority="123" operator="equal">
      <formula>0</formula>
    </cfRule>
  </conditionalFormatting>
  <conditionalFormatting sqref="D485:D511">
    <cfRule type="cellIs" dxfId="1259" priority="124" operator="equal">
      <formula>0</formula>
    </cfRule>
  </conditionalFormatting>
  <conditionalFormatting sqref="F510:G513">
    <cfRule type="cellIs" dxfId="1258" priority="125" operator="equal">
      <formula>0</formula>
    </cfRule>
  </conditionalFormatting>
  <conditionalFormatting sqref="F516:G518 F519:F520">
    <cfRule type="cellIs" dxfId="1257" priority="126" operator="equal">
      <formula>0</formula>
    </cfRule>
  </conditionalFormatting>
  <conditionalFormatting sqref="G488:G490">
    <cfRule type="cellIs" dxfId="1256" priority="127" operator="equal">
      <formula>0</formula>
    </cfRule>
  </conditionalFormatting>
  <conditionalFormatting sqref="F463:G468">
    <cfRule type="cellIs" dxfId="1255" priority="128" operator="equal">
      <formula>0</formula>
    </cfRule>
  </conditionalFormatting>
  <conditionalFormatting sqref="B445:B472">
    <cfRule type="cellIs" dxfId="1254" priority="129" operator="equal">
      <formula>0</formula>
    </cfRule>
  </conditionalFormatting>
  <conditionalFormatting sqref="D445:D471">
    <cfRule type="cellIs" dxfId="1253" priority="130" operator="equal">
      <formula>0</formula>
    </cfRule>
  </conditionalFormatting>
  <conditionalFormatting sqref="F470:G473">
    <cfRule type="cellIs" dxfId="1252" priority="131" operator="equal">
      <formula>0</formula>
    </cfRule>
  </conditionalFormatting>
  <conditionalFormatting sqref="F476:G478 F479:F480">
    <cfRule type="cellIs" dxfId="1251" priority="132" operator="equal">
      <formula>0</formula>
    </cfRule>
  </conditionalFormatting>
  <conditionalFormatting sqref="G448:G450">
    <cfRule type="cellIs" dxfId="1250" priority="133" operator="equal">
      <formula>0</formula>
    </cfRule>
  </conditionalFormatting>
  <conditionalFormatting sqref="F423:G428">
    <cfRule type="cellIs" dxfId="1249" priority="134" operator="equal">
      <formula>0</formula>
    </cfRule>
  </conditionalFormatting>
  <conditionalFormatting sqref="B405:B432">
    <cfRule type="cellIs" dxfId="1248" priority="135" operator="equal">
      <formula>0</formula>
    </cfRule>
  </conditionalFormatting>
  <conditionalFormatting sqref="D405:D431">
    <cfRule type="cellIs" dxfId="1247" priority="136" operator="equal">
      <formula>0</formula>
    </cfRule>
  </conditionalFormatting>
  <conditionalFormatting sqref="F430:G433">
    <cfRule type="cellIs" dxfId="1246" priority="137" operator="equal">
      <formula>0</formula>
    </cfRule>
  </conditionalFormatting>
  <conditionalFormatting sqref="F436:G438 F439:F440">
    <cfRule type="cellIs" dxfId="1245" priority="138" operator="equal">
      <formula>0</formula>
    </cfRule>
  </conditionalFormatting>
  <conditionalFormatting sqref="G408:G410">
    <cfRule type="cellIs" dxfId="1244" priority="139" operator="equal">
      <formula>0</formula>
    </cfRule>
  </conditionalFormatting>
  <conditionalFormatting sqref="F383:G388">
    <cfRule type="cellIs" dxfId="1243" priority="140" operator="equal">
      <formula>0</formula>
    </cfRule>
  </conditionalFormatting>
  <conditionalFormatting sqref="B365:B392">
    <cfRule type="cellIs" dxfId="1242" priority="141" operator="equal">
      <formula>0</formula>
    </cfRule>
  </conditionalFormatting>
  <conditionalFormatting sqref="D365:D391">
    <cfRule type="cellIs" dxfId="1241" priority="142" operator="equal">
      <formula>0</formula>
    </cfRule>
  </conditionalFormatting>
  <conditionalFormatting sqref="F390:G393">
    <cfRule type="cellIs" dxfId="1240" priority="143" operator="equal">
      <formula>0</formula>
    </cfRule>
  </conditionalFormatting>
  <conditionalFormatting sqref="F396:G398 F399:F400">
    <cfRule type="cellIs" dxfId="1239" priority="144" operator="equal">
      <formula>0</formula>
    </cfRule>
  </conditionalFormatting>
  <conditionalFormatting sqref="G368:G370">
    <cfRule type="cellIs" dxfId="1238" priority="145" operator="equal">
      <formula>0</formula>
    </cfRule>
  </conditionalFormatting>
  <conditionalFormatting sqref="F343:G348">
    <cfRule type="cellIs" dxfId="1237" priority="146" operator="equal">
      <formula>0</formula>
    </cfRule>
  </conditionalFormatting>
  <conditionalFormatting sqref="B325:B352">
    <cfRule type="cellIs" dxfId="1236" priority="147" operator="equal">
      <formula>0</formula>
    </cfRule>
  </conditionalFormatting>
  <conditionalFormatting sqref="D325:D351">
    <cfRule type="cellIs" dxfId="1235" priority="148" operator="equal">
      <formula>0</formula>
    </cfRule>
  </conditionalFormatting>
  <conditionalFormatting sqref="F350:G353">
    <cfRule type="cellIs" dxfId="1234" priority="149" operator="equal">
      <formula>0</formula>
    </cfRule>
  </conditionalFormatting>
  <conditionalFormatting sqref="F356:G358 F359:F360">
    <cfRule type="cellIs" dxfId="1233" priority="150" operator="equal">
      <formula>0</formula>
    </cfRule>
  </conditionalFormatting>
  <conditionalFormatting sqref="G328:G330">
    <cfRule type="cellIs" dxfId="1232" priority="151" operator="equal">
      <formula>0</formula>
    </cfRule>
  </conditionalFormatting>
  <conditionalFormatting sqref="F303:G308">
    <cfRule type="cellIs" dxfId="1231" priority="152" operator="equal">
      <formula>0</formula>
    </cfRule>
  </conditionalFormatting>
  <conditionalFormatting sqref="B285:B312">
    <cfRule type="cellIs" dxfId="1230" priority="153" operator="equal">
      <formula>0</formula>
    </cfRule>
  </conditionalFormatting>
  <conditionalFormatting sqref="D285:D311">
    <cfRule type="cellIs" dxfId="1229" priority="154" operator="equal">
      <formula>0</formula>
    </cfRule>
  </conditionalFormatting>
  <conditionalFormatting sqref="F310:G313">
    <cfRule type="cellIs" dxfId="1228" priority="155" operator="equal">
      <formula>0</formula>
    </cfRule>
  </conditionalFormatting>
  <conditionalFormatting sqref="F316:G318 F319:F320">
    <cfRule type="cellIs" dxfId="1227" priority="156" operator="equal">
      <formula>0</formula>
    </cfRule>
  </conditionalFormatting>
  <conditionalFormatting sqref="G288:G290">
    <cfRule type="cellIs" dxfId="1226" priority="157" operator="equal">
      <formula>0</formula>
    </cfRule>
  </conditionalFormatting>
  <conditionalFormatting sqref="F263:G268">
    <cfRule type="cellIs" dxfId="1225" priority="158" operator="equal">
      <formula>0</formula>
    </cfRule>
  </conditionalFormatting>
  <conditionalFormatting sqref="B245:B272">
    <cfRule type="cellIs" dxfId="1224" priority="159" operator="equal">
      <formula>0</formula>
    </cfRule>
  </conditionalFormatting>
  <conditionalFormatting sqref="D245:D271">
    <cfRule type="cellIs" dxfId="1223" priority="160" operator="equal">
      <formula>0</formula>
    </cfRule>
  </conditionalFormatting>
  <conditionalFormatting sqref="F270:G273">
    <cfRule type="cellIs" dxfId="1222" priority="161" operator="equal">
      <formula>0</formula>
    </cfRule>
  </conditionalFormatting>
  <conditionalFormatting sqref="F276:G278 F279:F280">
    <cfRule type="cellIs" dxfId="1221" priority="162" operator="equal">
      <formula>0</formula>
    </cfRule>
  </conditionalFormatting>
  <conditionalFormatting sqref="G248:G250">
    <cfRule type="cellIs" dxfId="1220" priority="163" operator="equal">
      <formula>0</formula>
    </cfRule>
  </conditionalFormatting>
  <conditionalFormatting sqref="F223:G228">
    <cfRule type="cellIs" dxfId="1219" priority="164" operator="equal">
      <formula>0</formula>
    </cfRule>
  </conditionalFormatting>
  <conditionalFormatting sqref="B205:B232">
    <cfRule type="cellIs" dxfId="1218" priority="165" operator="equal">
      <formula>0</formula>
    </cfRule>
  </conditionalFormatting>
  <conditionalFormatting sqref="D205:D231">
    <cfRule type="cellIs" dxfId="1217" priority="166" operator="equal">
      <formula>0</formula>
    </cfRule>
  </conditionalFormatting>
  <conditionalFormatting sqref="F230:G233">
    <cfRule type="cellIs" dxfId="1216" priority="167" operator="equal">
      <formula>0</formula>
    </cfRule>
  </conditionalFormatting>
  <conditionalFormatting sqref="F236:G238 F239:F240">
    <cfRule type="cellIs" dxfId="1215" priority="168" operator="equal">
      <formula>0</formula>
    </cfRule>
  </conditionalFormatting>
  <conditionalFormatting sqref="G208:G210">
    <cfRule type="cellIs" dxfId="1214" priority="169" operator="equal">
      <formula>0</formula>
    </cfRule>
  </conditionalFormatting>
  <conditionalFormatting sqref="F183:G188">
    <cfRule type="cellIs" dxfId="1213" priority="170" operator="equal">
      <formula>0</formula>
    </cfRule>
  </conditionalFormatting>
  <conditionalFormatting sqref="B165:B192">
    <cfRule type="cellIs" dxfId="1212" priority="171" operator="equal">
      <formula>0</formula>
    </cfRule>
  </conditionalFormatting>
  <conditionalFormatting sqref="D165:D191">
    <cfRule type="cellIs" dxfId="1211" priority="172" operator="equal">
      <formula>0</formula>
    </cfRule>
  </conditionalFormatting>
  <conditionalFormatting sqref="F190:G193">
    <cfRule type="cellIs" dxfId="1210" priority="173" operator="equal">
      <formula>0</formula>
    </cfRule>
  </conditionalFormatting>
  <conditionalFormatting sqref="F196:G198 F199:F200">
    <cfRule type="cellIs" dxfId="1209" priority="174" operator="equal">
      <formula>0</formula>
    </cfRule>
  </conditionalFormatting>
  <conditionalFormatting sqref="G168:G170">
    <cfRule type="cellIs" dxfId="1208" priority="175" operator="equal">
      <formula>0</formula>
    </cfRule>
  </conditionalFormatting>
  <conditionalFormatting sqref="F1223:G1228">
    <cfRule type="cellIs" dxfId="1207" priority="194" operator="equal">
      <formula>0</formula>
    </cfRule>
  </conditionalFormatting>
  <conditionalFormatting sqref="B1205:B1232">
    <cfRule type="cellIs" dxfId="1206" priority="195" operator="equal">
      <formula>0</formula>
    </cfRule>
  </conditionalFormatting>
  <conditionalFormatting sqref="D1205:D1231">
    <cfRule type="cellIs" dxfId="1205" priority="196" operator="equal">
      <formula>0</formula>
    </cfRule>
  </conditionalFormatting>
  <conditionalFormatting sqref="F1230:G1233">
    <cfRule type="cellIs" dxfId="1204" priority="197" operator="equal">
      <formula>0</formula>
    </cfRule>
  </conditionalFormatting>
  <conditionalFormatting sqref="F1236:G1238 F1239:F1240">
    <cfRule type="cellIs" dxfId="1203" priority="198" operator="equal">
      <formula>0</formula>
    </cfRule>
  </conditionalFormatting>
  <conditionalFormatting sqref="G1208:G1210">
    <cfRule type="cellIs" dxfId="1202" priority="199" operator="equal">
      <formula>0</formula>
    </cfRule>
  </conditionalFormatting>
  <conditionalFormatting sqref="K1201">
    <cfRule type="cellIs" dxfId="1201" priority="218" operator="equal">
      <formula>0</formula>
    </cfRule>
  </conditionalFormatting>
  <conditionalFormatting sqref="M1201">
    <cfRule type="cellIs" dxfId="1200" priority="219" operator="equal">
      <formula>0</formula>
    </cfRule>
  </conditionalFormatting>
  <conditionalFormatting sqref="F23:G28">
    <cfRule type="cellIs" dxfId="1199" priority="220" operator="equal">
      <formula>0</formula>
    </cfRule>
  </conditionalFormatting>
  <conditionalFormatting sqref="B5:B32">
    <cfRule type="cellIs" dxfId="1198" priority="221" operator="equal">
      <formula>0</formula>
    </cfRule>
  </conditionalFormatting>
  <conditionalFormatting sqref="D5:D31">
    <cfRule type="cellIs" dxfId="1197" priority="222" operator="equal">
      <formula>0</formula>
    </cfRule>
  </conditionalFormatting>
  <conditionalFormatting sqref="F30:G33">
    <cfRule type="cellIs" dxfId="1196" priority="223" operator="equal">
      <formula>0</formula>
    </cfRule>
  </conditionalFormatting>
  <conditionalFormatting sqref="F36:G38 F39:F40">
    <cfRule type="cellIs" dxfId="1195" priority="224" operator="equal">
      <formula>0</formula>
    </cfRule>
  </conditionalFormatting>
  <conditionalFormatting sqref="G8:G10">
    <cfRule type="cellIs" dxfId="1194" priority="225" operator="equal">
      <formula>0</formula>
    </cfRule>
  </conditionalFormatting>
  <conditionalFormatting sqref="K1161">
    <cfRule type="cellIs" dxfId="1193" priority="226" operator="equal">
      <formula>0</formula>
    </cfRule>
  </conditionalFormatting>
  <conditionalFormatting sqref="M1161">
    <cfRule type="cellIs" dxfId="1192" priority="227" operator="equal">
      <formula>0</formula>
    </cfRule>
  </conditionalFormatting>
  <conditionalFormatting sqref="K1121">
    <cfRule type="cellIs" dxfId="1191" priority="228" operator="equal">
      <formula>0</formula>
    </cfRule>
  </conditionalFormatting>
  <conditionalFormatting sqref="M1121">
    <cfRule type="cellIs" dxfId="1190" priority="229" operator="equal">
      <formula>0</formula>
    </cfRule>
  </conditionalFormatting>
  <conditionalFormatting sqref="K1081">
    <cfRule type="cellIs" dxfId="1189" priority="230" operator="equal">
      <formula>0</formula>
    </cfRule>
  </conditionalFormatting>
  <conditionalFormatting sqref="M1081">
    <cfRule type="cellIs" dxfId="1188" priority="231" operator="equal">
      <formula>0</formula>
    </cfRule>
  </conditionalFormatting>
  <conditionalFormatting sqref="K1041">
    <cfRule type="cellIs" dxfId="1187" priority="232" operator="equal">
      <formula>0</formula>
    </cfRule>
  </conditionalFormatting>
  <conditionalFormatting sqref="M1041">
    <cfRule type="cellIs" dxfId="1186" priority="233" operator="equal">
      <formula>0</formula>
    </cfRule>
  </conditionalFormatting>
  <conditionalFormatting sqref="K1001">
    <cfRule type="cellIs" dxfId="1185" priority="234" operator="equal">
      <formula>0</formula>
    </cfRule>
  </conditionalFormatting>
  <conditionalFormatting sqref="M1001">
    <cfRule type="cellIs" dxfId="1184" priority="235" operator="equal">
      <formula>0</formula>
    </cfRule>
  </conditionalFormatting>
  <conditionalFormatting sqref="K961">
    <cfRule type="cellIs" dxfId="1183" priority="236" operator="equal">
      <formula>0</formula>
    </cfRule>
  </conditionalFormatting>
  <conditionalFormatting sqref="M961">
    <cfRule type="cellIs" dxfId="1182" priority="237" operator="equal">
      <formula>0</formula>
    </cfRule>
  </conditionalFormatting>
  <conditionalFormatting sqref="K921">
    <cfRule type="cellIs" dxfId="1181" priority="238" operator="equal">
      <formula>0</formula>
    </cfRule>
  </conditionalFormatting>
  <conditionalFormatting sqref="M921">
    <cfRule type="cellIs" dxfId="1180" priority="239" operator="equal">
      <formula>0</formula>
    </cfRule>
  </conditionalFormatting>
  <conditionalFormatting sqref="K881">
    <cfRule type="cellIs" dxfId="1179" priority="240" operator="equal">
      <formula>0</formula>
    </cfRule>
  </conditionalFormatting>
  <conditionalFormatting sqref="M881">
    <cfRule type="cellIs" dxfId="1178" priority="241" operator="equal">
      <formula>0</formula>
    </cfRule>
  </conditionalFormatting>
  <conditionalFormatting sqref="K841">
    <cfRule type="cellIs" dxfId="1177" priority="242" operator="equal">
      <formula>0</formula>
    </cfRule>
  </conditionalFormatting>
  <conditionalFormatting sqref="M841">
    <cfRule type="cellIs" dxfId="1176" priority="243" operator="equal">
      <formula>0</formula>
    </cfRule>
  </conditionalFormatting>
  <conditionalFormatting sqref="K801">
    <cfRule type="cellIs" dxfId="1175" priority="244" operator="equal">
      <formula>0</formula>
    </cfRule>
  </conditionalFormatting>
  <conditionalFormatting sqref="M801">
    <cfRule type="cellIs" dxfId="1174" priority="245" operator="equal">
      <formula>0</formula>
    </cfRule>
  </conditionalFormatting>
  <conditionalFormatting sqref="F1:F1048576">
    <cfRule type="cellIs" dxfId="1173" priority="246" operator="lessThan">
      <formula>0.01</formula>
    </cfRule>
  </conditionalFormatting>
  <conditionalFormatting sqref="F1103:G1108">
    <cfRule type="cellIs" dxfId="1172" priority="31" operator="equal">
      <formula>0</formula>
    </cfRule>
  </conditionalFormatting>
  <conditionalFormatting sqref="B1085:B1112">
    <cfRule type="cellIs" dxfId="1171" priority="32" operator="equal">
      <formula>0</formula>
    </cfRule>
  </conditionalFormatting>
  <conditionalFormatting sqref="D1085:D1111">
    <cfRule type="cellIs" dxfId="1170" priority="33" operator="equal">
      <formula>0</formula>
    </cfRule>
  </conditionalFormatting>
  <conditionalFormatting sqref="F1110:G1113">
    <cfRule type="cellIs" dxfId="1169" priority="34" operator="equal">
      <formula>0</formula>
    </cfRule>
  </conditionalFormatting>
  <conditionalFormatting sqref="F1116:G1118 F1119:F1120">
    <cfRule type="cellIs" dxfId="1168" priority="35" operator="equal">
      <formula>0</formula>
    </cfRule>
  </conditionalFormatting>
  <conditionalFormatting sqref="G1088:G1090">
    <cfRule type="cellIs" dxfId="1167" priority="36" operator="equal">
      <formula>0</formula>
    </cfRule>
  </conditionalFormatting>
  <conditionalFormatting sqref="F1143:G1148">
    <cfRule type="cellIs" dxfId="1166" priority="25" operator="equal">
      <formula>0</formula>
    </cfRule>
  </conditionalFormatting>
  <conditionalFormatting sqref="B1125:B1152">
    <cfRule type="cellIs" dxfId="1165" priority="26" operator="equal">
      <formula>0</formula>
    </cfRule>
  </conditionalFormatting>
  <conditionalFormatting sqref="D1125:D1151">
    <cfRule type="cellIs" dxfId="1164" priority="27" operator="equal">
      <formula>0</formula>
    </cfRule>
  </conditionalFormatting>
  <conditionalFormatting sqref="F1150:G1153">
    <cfRule type="cellIs" dxfId="1163" priority="28" operator="equal">
      <formula>0</formula>
    </cfRule>
  </conditionalFormatting>
  <conditionalFormatting sqref="F1156:G1158 F1159:F1160">
    <cfRule type="cellIs" dxfId="1162" priority="29" operator="equal">
      <formula>0</formula>
    </cfRule>
  </conditionalFormatting>
  <conditionalFormatting sqref="G1128:G1130">
    <cfRule type="cellIs" dxfId="1161" priority="30" operator="equal">
      <formula>0</formula>
    </cfRule>
  </conditionalFormatting>
  <conditionalFormatting sqref="F1183:G1188">
    <cfRule type="cellIs" dxfId="1160" priority="19" operator="equal">
      <formula>0</formula>
    </cfRule>
  </conditionalFormatting>
  <conditionalFormatting sqref="B1165:B1192">
    <cfRule type="cellIs" dxfId="1159" priority="20" operator="equal">
      <formula>0</formula>
    </cfRule>
  </conditionalFormatting>
  <conditionalFormatting sqref="D1165:D1191">
    <cfRule type="cellIs" dxfId="1158" priority="21" operator="equal">
      <formula>0</formula>
    </cfRule>
  </conditionalFormatting>
  <conditionalFormatting sqref="F1190:G1193">
    <cfRule type="cellIs" dxfId="1157" priority="22" operator="equal">
      <formula>0</formula>
    </cfRule>
  </conditionalFormatting>
  <conditionalFormatting sqref="F1196:G1198 F1199:F1200">
    <cfRule type="cellIs" dxfId="1156" priority="23" operator="equal">
      <formula>0</formula>
    </cfRule>
  </conditionalFormatting>
  <conditionalFormatting sqref="G1168:G1170">
    <cfRule type="cellIs" dxfId="1155" priority="24" operator="equal">
      <formula>0</formula>
    </cfRule>
  </conditionalFormatting>
  <conditionalFormatting sqref="F63:G68">
    <cfRule type="cellIs" dxfId="1154" priority="13" operator="equal">
      <formula>0</formula>
    </cfRule>
  </conditionalFormatting>
  <conditionalFormatting sqref="B45:B72">
    <cfRule type="cellIs" dxfId="1153" priority="14" operator="equal">
      <formula>0</formula>
    </cfRule>
  </conditionalFormatting>
  <conditionalFormatting sqref="D45:D71">
    <cfRule type="cellIs" dxfId="1152" priority="15" operator="equal">
      <formula>0</formula>
    </cfRule>
  </conditionalFormatting>
  <conditionalFormatting sqref="F70:G73">
    <cfRule type="cellIs" dxfId="1151" priority="16" operator="equal">
      <formula>0</formula>
    </cfRule>
  </conditionalFormatting>
  <conditionalFormatting sqref="F76:G78 F79:F80">
    <cfRule type="cellIs" dxfId="1150" priority="17" operator="equal">
      <formula>0</formula>
    </cfRule>
  </conditionalFormatting>
  <conditionalFormatting sqref="G48:G50">
    <cfRule type="cellIs" dxfId="1149" priority="18" operator="equal">
      <formula>0</formula>
    </cfRule>
  </conditionalFormatting>
  <conditionalFormatting sqref="F103:G108">
    <cfRule type="cellIs" dxfId="1148" priority="7" operator="equal">
      <formula>0</formula>
    </cfRule>
  </conditionalFormatting>
  <conditionalFormatting sqref="B85:B112">
    <cfRule type="cellIs" dxfId="1147" priority="8" operator="equal">
      <formula>0</formula>
    </cfRule>
  </conditionalFormatting>
  <conditionalFormatting sqref="D85:D111">
    <cfRule type="cellIs" dxfId="1146" priority="9" operator="equal">
      <formula>0</formula>
    </cfRule>
  </conditionalFormatting>
  <conditionalFormatting sqref="F110:G113">
    <cfRule type="cellIs" dxfId="1145" priority="10" operator="equal">
      <formula>0</formula>
    </cfRule>
  </conditionalFormatting>
  <conditionalFormatting sqref="F116:G118 F119:F120">
    <cfRule type="cellIs" dxfId="1144" priority="11" operator="equal">
      <formula>0</formula>
    </cfRule>
  </conditionalFormatting>
  <conditionalFormatting sqref="G88:G90">
    <cfRule type="cellIs" dxfId="1143" priority="12" operator="equal">
      <formula>0</formula>
    </cfRule>
  </conditionalFormatting>
  <conditionalFormatting sqref="F143:G148">
    <cfRule type="cellIs" dxfId="1142" priority="1" operator="equal">
      <formula>0</formula>
    </cfRule>
  </conditionalFormatting>
  <conditionalFormatting sqref="B125:B152">
    <cfRule type="cellIs" dxfId="1141" priority="2" operator="equal">
      <formula>0</formula>
    </cfRule>
  </conditionalFormatting>
  <conditionalFormatting sqref="D125:D151">
    <cfRule type="cellIs" dxfId="1140" priority="3" operator="equal">
      <formula>0</formula>
    </cfRule>
  </conditionalFormatting>
  <conditionalFormatting sqref="F150:G153">
    <cfRule type="cellIs" dxfId="1139" priority="4" operator="equal">
      <formula>0</formula>
    </cfRule>
  </conditionalFormatting>
  <conditionalFormatting sqref="F156:G158 F159:F160">
    <cfRule type="cellIs" dxfId="1138" priority="5" operator="equal">
      <formula>0</formula>
    </cfRule>
  </conditionalFormatting>
  <conditionalFormatting sqref="G128:G130">
    <cfRule type="cellIs" dxfId="1137" priority="6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4"/>
  <sheetViews>
    <sheetView zoomScaleNormal="100" workbookViewId="0">
      <selection activeCell="D19" sqref="D19"/>
    </sheetView>
  </sheetViews>
  <sheetFormatPr defaultColWidth="8.7109375" defaultRowHeight="15" customHeight="1"/>
  <cols>
    <col min="1" max="1" width="3.28515625" customWidth="1"/>
    <col min="2" max="2" width="7.28515625" customWidth="1"/>
    <col min="3" max="3" width="3.42578125" customWidth="1"/>
    <col min="4" max="4" width="7.5703125" customWidth="1"/>
    <col min="5" max="5" width="2.5703125" customWidth="1"/>
    <col min="6" max="6" width="6.85546875" customWidth="1"/>
    <col min="7" max="7" width="3.140625" customWidth="1"/>
    <col min="9" max="9" width="3.140625" customWidth="1"/>
    <col min="11" max="11" width="2.7109375" customWidth="1"/>
    <col min="14" max="14" width="9.5703125" customWidth="1"/>
    <col min="17" max="17" width="1.7109375" customWidth="1"/>
    <col min="18" max="18" width="3.28515625" customWidth="1"/>
    <col min="22" max="22" width="14.7109375" customWidth="1"/>
  </cols>
  <sheetData>
    <row r="1" spans="1:25" ht="15.75" customHeight="1">
      <c r="A1" s="540"/>
      <c r="B1" s="1388"/>
      <c r="C1" s="1388"/>
      <c r="D1" s="1388"/>
      <c r="E1" s="1388"/>
      <c r="F1" s="1388"/>
      <c r="G1" s="1388"/>
      <c r="H1" s="1388"/>
      <c r="I1" s="1388"/>
      <c r="J1" s="1388"/>
      <c r="K1" s="1388"/>
      <c r="L1" s="1388"/>
      <c r="M1" s="1388"/>
      <c r="N1" s="1388"/>
      <c r="O1" s="1388"/>
      <c r="P1" s="1388"/>
      <c r="Q1" s="1388"/>
      <c r="R1" s="541"/>
    </row>
    <row r="2" spans="1:25" ht="15" customHeight="1">
      <c r="A2" s="1389"/>
      <c r="B2" s="542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4"/>
      <c r="R2" s="1390"/>
    </row>
    <row r="3" spans="1:25" ht="15" customHeight="1">
      <c r="A3" s="1389"/>
      <c r="B3" s="545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7"/>
      <c r="R3" s="1390"/>
      <c r="V3" t="s">
        <v>321</v>
      </c>
      <c r="W3" t="s">
        <v>322</v>
      </c>
    </row>
    <row r="4" spans="1:25" ht="15" customHeight="1">
      <c r="A4" s="1389"/>
      <c r="B4" s="545"/>
      <c r="C4" s="546"/>
      <c r="D4" s="546"/>
      <c r="E4" s="546"/>
      <c r="F4" s="546"/>
      <c r="G4" s="546" t="s">
        <v>323</v>
      </c>
      <c r="H4" s="548">
        <v>63</v>
      </c>
      <c r="I4" s="549"/>
      <c r="J4" s="546"/>
      <c r="K4" s="1391" t="s">
        <v>324</v>
      </c>
      <c r="L4" s="1391"/>
      <c r="M4" s="1391"/>
      <c r="N4" s="1391"/>
      <c r="O4" s="1391"/>
      <c r="P4" s="546"/>
      <c r="Q4" s="547"/>
      <c r="R4" s="1390"/>
      <c r="V4" t="s">
        <v>325</v>
      </c>
      <c r="W4" s="550">
        <v>30</v>
      </c>
    </row>
    <row r="5" spans="1:25" ht="15" customHeight="1">
      <c r="A5" s="1389"/>
      <c r="B5" s="545"/>
      <c r="C5" s="546"/>
      <c r="D5" s="546"/>
      <c r="E5" s="546"/>
      <c r="F5" s="546"/>
      <c r="G5" s="546"/>
      <c r="H5" s="551"/>
      <c r="I5" s="549"/>
      <c r="J5" s="546"/>
      <c r="K5" s="1391"/>
      <c r="L5" s="1391"/>
      <c r="M5" s="1391"/>
      <c r="N5" s="1391"/>
      <c r="O5" s="1391"/>
      <c r="P5" s="546"/>
      <c r="Q5" s="547"/>
      <c r="R5" s="1390"/>
      <c r="V5" t="s">
        <v>326</v>
      </c>
      <c r="W5" t="s">
        <v>327</v>
      </c>
    </row>
    <row r="6" spans="1:25" ht="15" customHeight="1">
      <c r="A6" s="1389"/>
      <c r="B6" s="545"/>
      <c r="C6" s="546"/>
      <c r="D6" s="546"/>
      <c r="E6" s="546"/>
      <c r="F6" s="546"/>
      <c r="G6" s="546"/>
      <c r="H6" s="551"/>
      <c r="I6" s="549"/>
      <c r="J6" s="546"/>
      <c r="K6" s="1391"/>
      <c r="L6" s="1391"/>
      <c r="M6" s="1391"/>
      <c r="N6" s="1391"/>
      <c r="O6" s="1391"/>
      <c r="P6" s="546"/>
      <c r="Q6" s="547"/>
      <c r="R6" s="1390"/>
      <c r="V6" t="s">
        <v>328</v>
      </c>
      <c r="W6" t="s">
        <v>329</v>
      </c>
      <c r="Y6">
        <f>190*50</f>
        <v>9500</v>
      </c>
    </row>
    <row r="7" spans="1:25" ht="15" customHeight="1">
      <c r="A7" s="1389"/>
      <c r="B7" s="545"/>
      <c r="C7" s="546"/>
      <c r="D7" s="546"/>
      <c r="E7" s="546"/>
      <c r="F7" s="546"/>
      <c r="G7" s="546" t="s">
        <v>323</v>
      </c>
      <c r="H7" s="548">
        <v>103</v>
      </c>
      <c r="I7" s="552" t="s">
        <v>323</v>
      </c>
      <c r="J7" s="553">
        <f>H7+B12</f>
        <v>120</v>
      </c>
      <c r="K7" s="1391"/>
      <c r="L7" s="1391"/>
      <c r="M7" s="1391"/>
      <c r="N7" s="1391"/>
      <c r="O7" s="1391"/>
      <c r="P7" s="546"/>
      <c r="Q7" s="547"/>
      <c r="R7" s="1390"/>
    </row>
    <row r="8" spans="1:25" ht="15" customHeight="1">
      <c r="A8" s="1389"/>
      <c r="B8" s="545"/>
      <c r="C8" s="546"/>
      <c r="D8" s="546"/>
      <c r="E8" s="546"/>
      <c r="F8" s="546"/>
      <c r="G8" s="546"/>
      <c r="H8" s="551"/>
      <c r="I8" s="549"/>
      <c r="J8" s="546"/>
      <c r="K8" s="546"/>
      <c r="L8" s="546"/>
      <c r="M8" s="546"/>
      <c r="N8" s="546"/>
      <c r="O8" s="546"/>
      <c r="P8" s="546"/>
      <c r="Q8" s="547"/>
      <c r="R8" s="1390"/>
    </row>
    <row r="9" spans="1:25" ht="15" customHeight="1">
      <c r="A9" s="1389"/>
      <c r="B9" s="545"/>
      <c r="C9" s="546"/>
      <c r="D9" s="546"/>
      <c r="E9" s="546"/>
      <c r="F9" s="546"/>
      <c r="G9" s="546"/>
      <c r="H9" s="551"/>
      <c r="I9" s="549"/>
      <c r="J9" s="546"/>
      <c r="K9" s="546"/>
      <c r="L9" s="546"/>
      <c r="M9" s="546"/>
      <c r="N9" s="546"/>
      <c r="O9" s="546"/>
      <c r="P9" s="546"/>
      <c r="Q9" s="547"/>
      <c r="R9" s="1390"/>
    </row>
    <row r="10" spans="1:25" ht="15" customHeight="1">
      <c r="A10" s="1389"/>
      <c r="B10" s="545"/>
      <c r="C10" s="546"/>
      <c r="D10" s="546"/>
      <c r="E10" s="546"/>
      <c r="F10" s="546"/>
      <c r="G10" s="546"/>
      <c r="H10" s="551"/>
      <c r="I10" s="549"/>
      <c r="J10" s="546"/>
      <c r="K10" s="546"/>
      <c r="L10" s="546"/>
      <c r="M10" s="546"/>
      <c r="N10" s="546"/>
      <c r="O10" s="546"/>
      <c r="P10" s="546"/>
      <c r="Q10" s="547"/>
      <c r="R10" s="1390"/>
    </row>
    <row r="11" spans="1:25" ht="14.25" customHeight="1">
      <c r="A11" s="1389"/>
      <c r="B11" s="545"/>
      <c r="C11" s="1392" t="s">
        <v>330</v>
      </c>
      <c r="D11" s="546"/>
      <c r="E11" s="546"/>
      <c r="F11" s="546"/>
      <c r="G11" s="546" t="s">
        <v>323</v>
      </c>
      <c r="H11" s="548">
        <v>55</v>
      </c>
      <c r="I11" s="549"/>
      <c r="J11" s="546"/>
      <c r="K11" s="546"/>
      <c r="L11" s="546"/>
      <c r="M11" s="546"/>
      <c r="N11" s="546"/>
      <c r="O11" s="546"/>
      <c r="P11" s="546"/>
      <c r="Q11" s="547"/>
      <c r="R11" s="1390"/>
    </row>
    <row r="12" spans="1:25" ht="15" customHeight="1">
      <c r="A12" s="1389"/>
      <c r="B12" s="555">
        <v>17</v>
      </c>
      <c r="C12" s="1392"/>
      <c r="D12" s="546"/>
      <c r="E12" s="556"/>
      <c r="F12" s="546"/>
      <c r="G12" s="546" t="s">
        <v>323</v>
      </c>
      <c r="H12" s="548">
        <v>53</v>
      </c>
      <c r="I12" s="557"/>
      <c r="J12" s="546"/>
      <c r="K12" s="546"/>
      <c r="L12" s="546"/>
      <c r="M12" s="546"/>
      <c r="N12" s="546"/>
      <c r="O12" s="546"/>
      <c r="P12" s="546"/>
      <c r="Q12" s="547"/>
      <c r="R12" s="1390"/>
    </row>
    <row r="13" spans="1:25" ht="15" customHeight="1">
      <c r="A13" s="1389"/>
      <c r="B13" s="545"/>
      <c r="C13" s="546"/>
      <c r="D13" s="546"/>
      <c r="E13" s="546"/>
      <c r="F13" s="546"/>
      <c r="G13" s="546"/>
      <c r="H13" s="546"/>
      <c r="I13" s="546"/>
      <c r="J13" s="546"/>
      <c r="K13" s="546"/>
      <c r="L13" s="546"/>
      <c r="M13" s="546"/>
      <c r="N13" s="546"/>
      <c r="O13" s="546"/>
      <c r="P13" s="546"/>
      <c r="Q13" s="547"/>
      <c r="R13" s="1390"/>
    </row>
    <row r="14" spans="1:25" ht="15.75" customHeight="1">
      <c r="A14" s="1389"/>
      <c r="B14" s="545"/>
      <c r="C14" s="546"/>
      <c r="D14" s="546"/>
      <c r="E14" s="546"/>
      <c r="F14" s="546"/>
      <c r="G14" s="546"/>
      <c r="H14" s="546"/>
      <c r="I14" s="546"/>
      <c r="J14" s="546"/>
      <c r="K14" s="546"/>
      <c r="L14" s="546"/>
      <c r="M14" s="546"/>
      <c r="N14" s="546"/>
      <c r="O14" s="546"/>
      <c r="P14" s="546"/>
      <c r="Q14" s="547"/>
      <c r="R14" s="1390"/>
    </row>
    <row r="15" spans="1:25" ht="16.5" customHeight="1">
      <c r="A15" s="1389"/>
      <c r="B15" s="545"/>
      <c r="C15" s="558" t="s">
        <v>331</v>
      </c>
      <c r="D15" s="559">
        <f>H4</f>
        <v>63</v>
      </c>
      <c r="E15" s="560" t="s">
        <v>332</v>
      </c>
      <c r="F15" s="559">
        <f>H11</f>
        <v>55</v>
      </c>
      <c r="G15" s="560" t="s">
        <v>332</v>
      </c>
      <c r="H15" s="559">
        <v>3.14</v>
      </c>
      <c r="I15" s="560" t="s">
        <v>332</v>
      </c>
      <c r="J15" s="559">
        <v>0.112</v>
      </c>
      <c r="K15" s="560" t="s">
        <v>332</v>
      </c>
      <c r="L15" s="559">
        <f>H7</f>
        <v>103</v>
      </c>
      <c r="M15" s="546"/>
      <c r="N15" s="561">
        <f>D15*F15*H15*J15*L15</f>
        <v>125512.83360000001</v>
      </c>
      <c r="O15" s="546"/>
      <c r="P15" s="1393">
        <f>N15/N16</f>
        <v>31378.208400000003</v>
      </c>
      <c r="Q15" s="562"/>
      <c r="R15" s="1390"/>
    </row>
    <row r="16" spans="1:25" ht="15.75" customHeight="1">
      <c r="A16" s="1389"/>
      <c r="B16" s="545"/>
      <c r="C16" s="558"/>
      <c r="D16" s="1394">
        <v>4</v>
      </c>
      <c r="E16" s="1394"/>
      <c r="F16" s="1394"/>
      <c r="G16" s="1394"/>
      <c r="H16" s="1394"/>
      <c r="I16" s="1394"/>
      <c r="J16" s="1394"/>
      <c r="K16" s="1394"/>
      <c r="L16" s="1394"/>
      <c r="M16" s="546"/>
      <c r="N16" s="554">
        <v>4</v>
      </c>
      <c r="O16" s="546"/>
      <c r="P16" s="1393"/>
      <c r="Q16" s="562"/>
      <c r="R16" s="1390"/>
    </row>
    <row r="17" spans="1:18" ht="15.75" customHeight="1">
      <c r="A17" s="1389"/>
      <c r="B17" s="545"/>
      <c r="C17" s="558"/>
      <c r="D17" s="546"/>
      <c r="E17" s="546"/>
      <c r="F17" s="546"/>
      <c r="G17" s="546"/>
      <c r="H17" s="546"/>
      <c r="I17" s="546"/>
      <c r="J17" s="546"/>
      <c r="K17" s="546"/>
      <c r="L17" s="546"/>
      <c r="M17" s="546"/>
      <c r="N17" s="546"/>
      <c r="O17" s="546"/>
      <c r="P17" s="546"/>
      <c r="Q17" s="547"/>
      <c r="R17" s="1390"/>
    </row>
    <row r="18" spans="1:18" ht="16.5" customHeight="1">
      <c r="A18" s="1389"/>
      <c r="B18" s="545"/>
      <c r="C18" s="558" t="s">
        <v>333</v>
      </c>
      <c r="D18" s="559">
        <f>H11</f>
        <v>55</v>
      </c>
      <c r="E18" s="560" t="s">
        <v>332</v>
      </c>
      <c r="F18" s="559">
        <f>H12</f>
        <v>53</v>
      </c>
      <c r="G18" s="560" t="s">
        <v>332</v>
      </c>
      <c r="H18" s="559">
        <v>3.14</v>
      </c>
      <c r="I18" s="560" t="s">
        <v>332</v>
      </c>
      <c r="J18" s="559">
        <v>0.112</v>
      </c>
      <c r="K18" s="560" t="s">
        <v>332</v>
      </c>
      <c r="L18" s="559">
        <f>B12</f>
        <v>17</v>
      </c>
      <c r="M18" s="546"/>
      <c r="N18" s="561">
        <f>D18*F18*H18*J18*L18</f>
        <v>17427.502400000001</v>
      </c>
      <c r="O18" s="546"/>
      <c r="P18" s="1393">
        <f>N18/N19</f>
        <v>4356.8756000000003</v>
      </c>
      <c r="Q18" s="562"/>
      <c r="R18" s="1390"/>
    </row>
    <row r="19" spans="1:18" ht="15.75" customHeight="1">
      <c r="A19" s="1389"/>
      <c r="B19" s="545"/>
      <c r="C19" s="546"/>
      <c r="D19" s="1394">
        <v>4</v>
      </c>
      <c r="E19" s="1394"/>
      <c r="F19" s="1394"/>
      <c r="G19" s="1394"/>
      <c r="H19" s="1394"/>
      <c r="I19" s="1394"/>
      <c r="J19" s="1394"/>
      <c r="K19" s="1394"/>
      <c r="L19" s="1394"/>
      <c r="M19" s="546"/>
      <c r="N19" s="554">
        <v>4</v>
      </c>
      <c r="O19" s="546"/>
      <c r="P19" s="1393"/>
      <c r="Q19" s="562"/>
      <c r="R19" s="1390"/>
    </row>
    <row r="20" spans="1:18" ht="15.75" customHeight="1">
      <c r="A20" s="1389"/>
      <c r="B20" s="545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7"/>
      <c r="R20" s="1390"/>
    </row>
    <row r="21" spans="1:18" ht="15" customHeight="1">
      <c r="A21" s="1389"/>
      <c r="B21" s="545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1395">
        <f>P15+P18</f>
        <v>35735.084000000003</v>
      </c>
      <c r="Q21" s="562"/>
      <c r="R21" s="1390"/>
    </row>
    <row r="22" spans="1:18" ht="15.75" customHeight="1">
      <c r="A22" s="1389"/>
      <c r="B22" s="545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1395"/>
      <c r="Q22" s="562"/>
      <c r="R22" s="1390"/>
    </row>
    <row r="23" spans="1:18" ht="15.75" customHeight="1">
      <c r="A23" s="1389"/>
      <c r="B23" s="563"/>
      <c r="C23" s="564"/>
      <c r="D23" s="564"/>
      <c r="E23" s="564"/>
      <c r="F23" s="564"/>
      <c r="G23" s="564"/>
      <c r="H23" s="564"/>
      <c r="I23" s="564"/>
      <c r="J23" s="564"/>
      <c r="K23" s="564"/>
      <c r="L23" s="564"/>
      <c r="M23" s="564"/>
      <c r="N23" s="564"/>
      <c r="O23" s="564"/>
      <c r="P23" s="564"/>
      <c r="Q23" s="565"/>
      <c r="R23" s="1390"/>
    </row>
    <row r="24" spans="1:18" ht="15.75" customHeight="1">
      <c r="A24" s="566"/>
      <c r="B24" s="1388"/>
      <c r="C24" s="1388"/>
      <c r="D24" s="1388"/>
      <c r="E24" s="1388"/>
      <c r="F24" s="1388"/>
      <c r="G24" s="1388"/>
      <c r="H24" s="1388"/>
      <c r="I24" s="1388"/>
      <c r="J24" s="1388"/>
      <c r="K24" s="1388"/>
      <c r="L24" s="1388"/>
      <c r="M24" s="1388"/>
      <c r="N24" s="1388"/>
      <c r="O24" s="1388"/>
      <c r="P24" s="1388"/>
      <c r="Q24" s="1388"/>
      <c r="R24" s="567"/>
    </row>
  </sheetData>
  <mergeCells count="11">
    <mergeCell ref="B24:Q24"/>
    <mergeCell ref="B1:Q1"/>
    <mergeCell ref="A2:A23"/>
    <mergeCell ref="R2:R23"/>
    <mergeCell ref="K4:O7"/>
    <mergeCell ref="C11:C12"/>
    <mergeCell ref="P15:P16"/>
    <mergeCell ref="D16:L16"/>
    <mergeCell ref="P18:P19"/>
    <mergeCell ref="D19:L19"/>
    <mergeCell ref="P21:P2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40"/>
  <sheetViews>
    <sheetView topLeftCell="A19" zoomScaleNormal="100" workbookViewId="0">
      <pane xSplit="1" topLeftCell="B1" activePane="topRight" state="frozen"/>
      <selection activeCell="A10" sqref="A10"/>
      <selection pane="topRight" activeCell="E36" sqref="E36"/>
    </sheetView>
  </sheetViews>
  <sheetFormatPr defaultColWidth="8.7109375" defaultRowHeight="15" customHeight="1"/>
  <cols>
    <col min="1" max="1" width="10.7109375" style="568" customWidth="1"/>
    <col min="2" max="2" width="11.85546875" customWidth="1"/>
    <col min="3" max="3" width="10.28515625" customWidth="1"/>
    <col min="4" max="4" width="8.5703125" customWidth="1"/>
    <col min="5" max="6" width="11.7109375" customWidth="1"/>
    <col min="7" max="7" width="12.5703125" style="379" customWidth="1"/>
    <col min="8" max="8" width="11.42578125" customWidth="1"/>
    <col min="9" max="9" width="6.28515625" customWidth="1"/>
    <col min="14" max="14" width="9.28515625" bestFit="1" customWidth="1"/>
    <col min="15" max="17" width="8.85546875" customWidth="1"/>
    <col min="19" max="19" width="9.28515625" customWidth="1"/>
    <col min="22" max="22" width="8.85546875" customWidth="1"/>
    <col min="25" max="25" width="10.7109375" customWidth="1"/>
    <col min="35" max="35" width="9.28515625" customWidth="1"/>
    <col min="36" max="36" width="9.5703125" customWidth="1"/>
  </cols>
  <sheetData>
    <row r="1" spans="1:44" ht="52.5" customHeight="1">
      <c r="A1" s="569" t="s">
        <v>26</v>
      </c>
      <c r="B1" s="570" t="s">
        <v>86</v>
      </c>
      <c r="C1" s="571" t="s">
        <v>334</v>
      </c>
      <c r="D1" s="571" t="s">
        <v>92</v>
      </c>
      <c r="E1" s="571" t="s">
        <v>335</v>
      </c>
      <c r="F1" s="571" t="s">
        <v>336</v>
      </c>
      <c r="G1" s="571" t="s">
        <v>337</v>
      </c>
      <c r="H1" s="571" t="s">
        <v>338</v>
      </c>
      <c r="I1" s="571" t="s">
        <v>339</v>
      </c>
      <c r="J1" s="571" t="s">
        <v>340</v>
      </c>
      <c r="K1" s="571" t="s">
        <v>341</v>
      </c>
      <c r="L1" s="286"/>
      <c r="M1" s="286"/>
      <c r="N1" s="572" t="s">
        <v>246</v>
      </c>
      <c r="O1" s="573" t="s">
        <v>248</v>
      </c>
      <c r="P1" s="573" t="s">
        <v>342</v>
      </c>
      <c r="Q1" s="573" t="s">
        <v>343</v>
      </c>
      <c r="R1" s="573" t="s">
        <v>344</v>
      </c>
      <c r="S1" s="572" t="s">
        <v>218</v>
      </c>
      <c r="T1" s="572" t="s">
        <v>223</v>
      </c>
      <c r="U1" s="574" t="s">
        <v>238</v>
      </c>
      <c r="V1" s="574" t="s">
        <v>219</v>
      </c>
      <c r="W1" s="575" t="s">
        <v>220</v>
      </c>
      <c r="Y1" s="576" t="str">
        <f t="shared" ref="Y1:Y32" si="0">A1</f>
        <v>DATE</v>
      </c>
      <c r="Z1" s="576" t="s">
        <v>246</v>
      </c>
      <c r="AA1" s="576" t="s">
        <v>252</v>
      </c>
      <c r="AB1" s="577" t="s">
        <v>254</v>
      </c>
      <c r="AC1" s="577" t="s">
        <v>256</v>
      </c>
      <c r="AD1" s="577" t="s">
        <v>258</v>
      </c>
      <c r="AE1" s="578" t="s">
        <v>343</v>
      </c>
      <c r="AF1" s="578" t="s">
        <v>263</v>
      </c>
      <c r="AI1" s="576" t="s">
        <v>345</v>
      </c>
      <c r="AJ1" s="576" t="s">
        <v>346</v>
      </c>
      <c r="AK1" s="576" t="s">
        <v>347</v>
      </c>
      <c r="AL1" s="577" t="s">
        <v>348</v>
      </c>
      <c r="AM1" s="577" t="s">
        <v>349</v>
      </c>
      <c r="AN1" s="577" t="s">
        <v>350</v>
      </c>
      <c r="AO1" s="578" t="s">
        <v>351</v>
      </c>
      <c r="AP1" s="578" t="s">
        <v>343</v>
      </c>
      <c r="AQ1" s="577" t="s">
        <v>344</v>
      </c>
      <c r="AR1" s="577" t="s">
        <v>352</v>
      </c>
    </row>
    <row r="2" spans="1:44" ht="15" customHeight="1">
      <c r="A2" s="579">
        <v>46296</v>
      </c>
      <c r="B2" s="282">
        <v>36.183999999999997</v>
      </c>
      <c r="C2" s="282"/>
      <c r="D2" s="282">
        <f t="shared" ref="D2:D32" si="1">B2+C2</f>
        <v>36.183999999999997</v>
      </c>
      <c r="E2" s="282">
        <f ca="1">OFFSET('Daily Prod Format'!F4,(ROW(A1)-1)*39, 0)</f>
        <v>0</v>
      </c>
      <c r="F2" s="282"/>
      <c r="G2" s="320">
        <f ca="1">OFFSET('Daily Prod Format'!F6, (ROW(E1)-1)*39, 0)</f>
        <v>0</v>
      </c>
      <c r="H2" s="282">
        <f ca="1">OFFSET('Daily Prod Format'!F5, (ROW(A1)-1)*39, 0)</f>
        <v>0</v>
      </c>
      <c r="I2" s="469"/>
      <c r="J2" s="469"/>
      <c r="K2" s="469"/>
      <c r="M2" s="160"/>
      <c r="N2" s="282">
        <f ca="1">(OFFSET('Daily Prod Format'!F13,(ROW(A1)-1)*39, 0))-Q2</f>
        <v>0</v>
      </c>
      <c r="O2" s="282">
        <f ca="1">OFFSET('Daily Prod Format'!F14,(ROW(A1)-1)*39, 0)</f>
        <v>0</v>
      </c>
      <c r="P2" s="282">
        <f ca="1">OFFSET('Daily Prod Format'!F15,(ROW(A1)-1)*39, 0)</f>
        <v>0</v>
      </c>
      <c r="Q2" s="282">
        <f ca="1">OFFSET('Daily Prod Format'!F20,(ROW(A1)-1)*39, 0)</f>
        <v>0</v>
      </c>
      <c r="R2" s="282">
        <f ca="1">OFFSET('Daily Prod Format'!F8,(ROW(E1)-1)*39, 0)</f>
        <v>0</v>
      </c>
      <c r="S2" s="282">
        <f ca="1">OFFSET('Daily Prod Format'!F9,(ROW(H1)-1)*39, 0)</f>
        <v>0</v>
      </c>
      <c r="T2" s="282">
        <f ca="1">OFFSET('Daily Prod Format'!F10,(ROW(G1)-1)*39, 0)</f>
        <v>0</v>
      </c>
      <c r="U2" s="580">
        <f ca="1">OFFSET('Daily Prod Format'!F7,(ROW(E1)-1)*39, 0)</f>
        <v>0</v>
      </c>
      <c r="V2" s="580">
        <f ca="1">OFFSET('Daily Prod Format'!F11,(ROW(F1)-1)*39, 0)</f>
        <v>0</v>
      </c>
      <c r="W2" s="282">
        <f ca="1">OFFSET('Daily Prod Format'!F12,(ROW(E1)-1)*39, 0)</f>
        <v>0</v>
      </c>
      <c r="Y2" s="581">
        <f t="shared" si="0"/>
        <v>46296</v>
      </c>
      <c r="Z2" s="282">
        <f ca="1">OFFSET('Daily Prod Format'!F13,(ROW(D1)-1)*39, 0)</f>
        <v>0</v>
      </c>
      <c r="AA2" s="282">
        <f ca="1">OFFSET('Daily Prod Format'!F16,(ROW(E1)-1)*39, 0)</f>
        <v>0</v>
      </c>
      <c r="AB2" s="282">
        <f ca="1">OFFSET('Daily Prod Format'!F17,(ROW(F1)-1)*39, 0)</f>
        <v>0</v>
      </c>
      <c r="AC2" s="282">
        <f ca="1">OFFSET('Daily Prod Format'!F18,(ROW(G1)-1)*39, 0)</f>
        <v>0</v>
      </c>
      <c r="AD2" s="282">
        <f ca="1">OFFSET('Daily Prod Format'!F19,(ROW(H1)-1)*39, 0)</f>
        <v>0</v>
      </c>
      <c r="AE2" s="282">
        <f ca="1">OFFSET('Daily Prod Format'!F20,(ROW(I1)-1)*39, 0)</f>
        <v>0</v>
      </c>
      <c r="AF2" s="282">
        <f ca="1">OFFSET('Daily Prod Format'!F21,(ROW(I1)-1)*39, 0)</f>
        <v>0</v>
      </c>
      <c r="AI2" s="282">
        <v>75</v>
      </c>
      <c r="AJ2" s="282">
        <v>40</v>
      </c>
      <c r="AK2" s="282">
        <v>114</v>
      </c>
      <c r="AL2" s="282">
        <v>194</v>
      </c>
      <c r="AM2" s="282">
        <v>10</v>
      </c>
      <c r="AN2" s="282">
        <v>10</v>
      </c>
      <c r="AO2" s="282">
        <v>19.309999999999999</v>
      </c>
      <c r="AP2" s="282">
        <v>8</v>
      </c>
      <c r="AQ2" s="282">
        <v>0</v>
      </c>
      <c r="AR2" s="282"/>
    </row>
    <row r="3" spans="1:44" ht="15" customHeight="1">
      <c r="A3" s="579">
        <v>46297</v>
      </c>
      <c r="B3" s="282">
        <f t="shared" ref="B3" ca="1" si="2">B2+C2-E2</f>
        <v>36.183999999999997</v>
      </c>
      <c r="C3" s="282"/>
      <c r="D3" s="282">
        <f t="shared" ca="1" si="1"/>
        <v>36.183999999999997</v>
      </c>
      <c r="E3" s="282">
        <f ca="1">OFFSET('Daily Prod Format'!F5,(ROW(A2)-1)*39, 0)</f>
        <v>0</v>
      </c>
      <c r="F3" s="282"/>
      <c r="G3" s="320">
        <f ca="1">OFFSET('Daily Prod Format'!F7, (ROW(E2)-1)*39, 0)</f>
        <v>0</v>
      </c>
      <c r="H3" s="282">
        <f ca="1">OFFSET('Daily Prod Format'!F6, (ROW(A2)-1)*39, 0)</f>
        <v>0</v>
      </c>
      <c r="I3" s="469"/>
      <c r="J3" s="469"/>
      <c r="K3" s="469"/>
      <c r="M3" s="160"/>
      <c r="N3" s="282">
        <f ca="1">(OFFSET('Daily Prod Format'!F14,(ROW(A2)-1)*39, 0))-Q3</f>
        <v>0</v>
      </c>
      <c r="O3" s="282">
        <f ca="1">OFFSET('Daily Prod Format'!F15,(ROW(A2)-1)*39, 0)</f>
        <v>0</v>
      </c>
      <c r="P3" s="282">
        <f ca="1">OFFSET('Daily Prod Format'!F16,(ROW(A2)-1)*39, 0)</f>
        <v>0</v>
      </c>
      <c r="Q3" s="282">
        <f ca="1">OFFSET('Daily Prod Format'!F21,(ROW(A2)-1)*39, 0)</f>
        <v>0</v>
      </c>
      <c r="R3" s="282">
        <f ca="1">OFFSET('Daily Prod Format'!F9,(ROW(E2)-1)*39, 0)</f>
        <v>0</v>
      </c>
      <c r="S3" s="282">
        <f ca="1">OFFSET('Daily Prod Format'!F10,(ROW(H2)-1)*39, 0)</f>
        <v>0</v>
      </c>
      <c r="T3" s="282">
        <f ca="1">OFFSET('Daily Prod Format'!F11,(ROW(G2)-1)*39, 0)</f>
        <v>0</v>
      </c>
      <c r="U3" s="580">
        <f ca="1">OFFSET('Daily Prod Format'!F8,(ROW(E2)-1)*39, 0)</f>
        <v>0</v>
      </c>
      <c r="V3" s="580">
        <f ca="1">OFFSET('Daily Prod Format'!F12,(ROW(F2)-1)*39, 0)</f>
        <v>0</v>
      </c>
      <c r="W3" s="282">
        <f ca="1">OFFSET('Daily Prod Format'!F13,(ROW(E2)-1)*39, 0)</f>
        <v>0</v>
      </c>
      <c r="Y3" s="581">
        <f t="shared" si="0"/>
        <v>46297</v>
      </c>
      <c r="Z3" s="282">
        <f ca="1">OFFSET('Daily Prod Format'!F14,(ROW(D2)-1)*39, 0)</f>
        <v>0</v>
      </c>
      <c r="AA3" s="282">
        <f ca="1">OFFSET('Daily Prod Format'!F17,(ROW(E2)-1)*39, 0)</f>
        <v>0</v>
      </c>
      <c r="AB3" s="282">
        <f ca="1">OFFSET('Daily Prod Format'!F18,(ROW(F2)-1)*39, 0)</f>
        <v>0</v>
      </c>
      <c r="AC3" s="282">
        <f ca="1">OFFSET('Daily Prod Format'!F19,(ROW(G2)-1)*39, 0)</f>
        <v>0</v>
      </c>
      <c r="AD3" s="282">
        <f ca="1">OFFSET('Daily Prod Format'!F20,(ROW(H2)-1)*39, 0)</f>
        <v>0</v>
      </c>
      <c r="AE3" s="282">
        <f ca="1">OFFSET('Daily Prod Format'!F21,(ROW(I2)-1)*39, 0)</f>
        <v>0</v>
      </c>
      <c r="AF3" s="282">
        <f ca="1">OFFSET('Daily Prod Format'!F22,(ROW(I2)-1)*39, 0)</f>
        <v>0</v>
      </c>
      <c r="AI3" s="282">
        <v>68</v>
      </c>
      <c r="AJ3" s="282">
        <v>45</v>
      </c>
      <c r="AK3" s="282">
        <v>127</v>
      </c>
      <c r="AL3" s="282">
        <v>208</v>
      </c>
      <c r="AM3" s="282">
        <v>10</v>
      </c>
      <c r="AN3" s="282">
        <v>12</v>
      </c>
      <c r="AO3" s="282"/>
      <c r="AP3" s="282">
        <v>3</v>
      </c>
      <c r="AQ3" s="282">
        <v>2</v>
      </c>
      <c r="AR3" s="282"/>
    </row>
    <row r="4" spans="1:44" ht="15" customHeight="1">
      <c r="A4" s="579">
        <v>46298</v>
      </c>
      <c r="B4" s="282"/>
      <c r="C4" s="282"/>
      <c r="D4" s="282">
        <f t="shared" si="1"/>
        <v>0</v>
      </c>
      <c r="E4" s="282">
        <f ca="1">OFFSET('Daily Prod Format'!F6,(ROW(A3)-1)*39, 0)</f>
        <v>0</v>
      </c>
      <c r="F4" s="282"/>
      <c r="G4" s="320">
        <f ca="1">OFFSET('Daily Prod Format'!F8, (ROW(E3)-1)*39, 0)</f>
        <v>0</v>
      </c>
      <c r="H4" s="282">
        <f ca="1">OFFSET('Daily Prod Format'!F7, (ROW(A3)-1)*39, 0)</f>
        <v>0</v>
      </c>
      <c r="I4" s="469"/>
      <c r="J4" s="469"/>
      <c r="K4" s="469"/>
      <c r="M4" s="160"/>
      <c r="N4" s="282">
        <f ca="1">(OFFSET('Daily Prod Format'!F15,(ROW(A3)-1)*39, 0))-Q4</f>
        <v>0</v>
      </c>
      <c r="O4" s="282">
        <f ca="1">OFFSET('Daily Prod Format'!F16,(ROW(A3)-1)*39, 0)</f>
        <v>0</v>
      </c>
      <c r="P4" s="282">
        <f ca="1">OFFSET('Daily Prod Format'!F17,(ROW(A3)-1)*39, 0)</f>
        <v>0</v>
      </c>
      <c r="Q4" s="282">
        <f ca="1">OFFSET('Daily Prod Format'!F22,(ROW(A3)-1)*39, 0)</f>
        <v>0</v>
      </c>
      <c r="R4" s="282">
        <f ca="1">OFFSET('Daily Prod Format'!F10,(ROW(E3)-1)*39, 0)</f>
        <v>0</v>
      </c>
      <c r="S4" s="282">
        <f ca="1">OFFSET('Daily Prod Format'!F11,(ROW(H3)-1)*39, 0)</f>
        <v>0</v>
      </c>
      <c r="T4" s="282">
        <f ca="1">OFFSET('Daily Prod Format'!F12,(ROW(G3)-1)*39, 0)</f>
        <v>0</v>
      </c>
      <c r="U4" s="580">
        <f ca="1">OFFSET('Daily Prod Format'!F9,(ROW(E3)-1)*39, 0)</f>
        <v>0</v>
      </c>
      <c r="V4" s="580">
        <f ca="1">OFFSET('Daily Prod Format'!F13,(ROW(F3)-1)*39, 0)</f>
        <v>0</v>
      </c>
      <c r="W4" s="282">
        <f ca="1">OFFSET('Daily Prod Format'!F14,(ROW(E3)-1)*39, 0)</f>
        <v>0</v>
      </c>
      <c r="Y4" s="581">
        <f t="shared" si="0"/>
        <v>46298</v>
      </c>
      <c r="Z4" s="282">
        <f ca="1">OFFSET('Daily Prod Format'!F15,(ROW(D3)-1)*39, 0)</f>
        <v>0</v>
      </c>
      <c r="AA4" s="282">
        <f ca="1">OFFSET('Daily Prod Format'!F18,(ROW(E3)-1)*39, 0)</f>
        <v>0</v>
      </c>
      <c r="AB4" s="282">
        <f ca="1">OFFSET('Daily Prod Format'!F19,(ROW(F3)-1)*39, 0)</f>
        <v>0</v>
      </c>
      <c r="AC4" s="282">
        <f ca="1">OFFSET('Daily Prod Format'!F20,(ROW(G3)-1)*39, 0)</f>
        <v>0</v>
      </c>
      <c r="AD4" s="282">
        <f ca="1">OFFSET('Daily Prod Format'!F21,(ROW(H3)-1)*39, 0)</f>
        <v>0</v>
      </c>
      <c r="AE4" s="282">
        <f ca="1">OFFSET('Daily Prod Format'!F22,(ROW(I3)-1)*39, 0)</f>
        <v>0</v>
      </c>
      <c r="AF4" s="282">
        <f ca="1">OFFSET('Daily Prod Format'!F23,(ROW(I3)-1)*39, 0)</f>
        <v>0</v>
      </c>
      <c r="AI4" s="282">
        <v>65</v>
      </c>
      <c r="AJ4" s="282">
        <v>52</v>
      </c>
      <c r="AK4" s="282">
        <v>112</v>
      </c>
      <c r="AL4" s="282">
        <v>224</v>
      </c>
      <c r="AM4" s="282">
        <v>7</v>
      </c>
      <c r="AN4" s="282">
        <v>12</v>
      </c>
      <c r="AO4" s="282"/>
      <c r="AP4" s="282">
        <v>0</v>
      </c>
      <c r="AQ4" s="282">
        <v>0</v>
      </c>
      <c r="AR4" s="282"/>
    </row>
    <row r="5" spans="1:44" ht="15" customHeight="1">
      <c r="A5" s="579">
        <v>46299</v>
      </c>
      <c r="B5" s="282"/>
      <c r="C5" s="282"/>
      <c r="D5" s="282">
        <f t="shared" si="1"/>
        <v>0</v>
      </c>
      <c r="E5" s="282">
        <f ca="1">OFFSET('Daily Prod Format'!F7,(ROW(A4)-1)*39, 0)</f>
        <v>0</v>
      </c>
      <c r="F5" s="282"/>
      <c r="G5" s="320">
        <f ca="1">OFFSET('Daily Prod Format'!F9, (ROW(E4)-1)*39, 0)</f>
        <v>0</v>
      </c>
      <c r="H5" s="282">
        <f ca="1">OFFSET('Daily Prod Format'!F8, (ROW(A4)-1)*39, 0)</f>
        <v>0</v>
      </c>
      <c r="I5" s="469"/>
      <c r="J5" s="469"/>
      <c r="K5" s="469"/>
      <c r="M5" s="160"/>
      <c r="N5" s="282">
        <f ca="1">(OFFSET('Daily Prod Format'!F16,(ROW(A4)-1)*39, 0))-Q5</f>
        <v>0</v>
      </c>
      <c r="O5" s="282">
        <f ca="1">OFFSET('Daily Prod Format'!F17,(ROW(A4)-1)*39, 0)</f>
        <v>0</v>
      </c>
      <c r="P5" s="282">
        <f ca="1">OFFSET('Daily Prod Format'!F18,(ROW(A4)-1)*39, 0)</f>
        <v>0</v>
      </c>
      <c r="Q5" s="282">
        <f ca="1">OFFSET('Daily Prod Format'!F23,(ROW(A4)-1)*39, 0)</f>
        <v>0</v>
      </c>
      <c r="R5" s="282">
        <f ca="1">OFFSET('Daily Prod Format'!F11,(ROW(E4)-1)*39, 0)</f>
        <v>0</v>
      </c>
      <c r="S5" s="282">
        <f ca="1">OFFSET('Daily Prod Format'!F12,(ROW(H4)-1)*39, 0)</f>
        <v>0</v>
      </c>
      <c r="T5" s="282">
        <f ca="1">OFFSET('Daily Prod Format'!F13,(ROW(G4)-1)*39, 0)</f>
        <v>0</v>
      </c>
      <c r="U5" s="580">
        <f ca="1">OFFSET('Daily Prod Format'!F10,(ROW(E4)-1)*39, 0)</f>
        <v>0</v>
      </c>
      <c r="V5" s="580">
        <f ca="1">OFFSET('Daily Prod Format'!F14,(ROW(F4)-1)*39, 0)</f>
        <v>0</v>
      </c>
      <c r="W5" s="282">
        <f ca="1">OFFSET('Daily Prod Format'!F15,(ROW(E4)-1)*39, 0)</f>
        <v>0</v>
      </c>
      <c r="Y5" s="581">
        <f t="shared" si="0"/>
        <v>46299</v>
      </c>
      <c r="Z5" s="282">
        <f ca="1">OFFSET('Daily Prod Format'!F16,(ROW(D4)-1)*39, 0)</f>
        <v>0</v>
      </c>
      <c r="AA5" s="282">
        <f ca="1">OFFSET('Daily Prod Format'!F19,(ROW(E4)-1)*39, 0)</f>
        <v>0</v>
      </c>
      <c r="AB5" s="282">
        <f ca="1">OFFSET('Daily Prod Format'!F20,(ROW(F4)-1)*39, 0)</f>
        <v>0</v>
      </c>
      <c r="AC5" s="282">
        <f ca="1">OFFSET('Daily Prod Format'!F21,(ROW(G4)-1)*39, 0)</f>
        <v>0</v>
      </c>
      <c r="AD5" s="282">
        <f ca="1">OFFSET('Daily Prod Format'!F22,(ROW(H4)-1)*39, 0)</f>
        <v>0</v>
      </c>
      <c r="AE5" s="282">
        <f ca="1">OFFSET('Daily Prod Format'!F23,(ROW(I4)-1)*39, 0)</f>
        <v>0</v>
      </c>
      <c r="AF5" s="282">
        <f ca="1">OFFSET('Daily Prod Format'!F24,(ROW(I4)-1)*39, 0)</f>
        <v>0</v>
      </c>
      <c r="AI5" s="282"/>
      <c r="AJ5" s="282"/>
      <c r="AK5" s="282"/>
      <c r="AL5" s="282"/>
      <c r="AM5" s="282"/>
      <c r="AN5" s="282"/>
      <c r="AO5" s="282"/>
      <c r="AP5" s="282"/>
      <c r="AQ5" s="282"/>
      <c r="AR5" s="282"/>
    </row>
    <row r="6" spans="1:44" ht="15" customHeight="1">
      <c r="A6" s="579">
        <v>46300</v>
      </c>
      <c r="B6" s="282"/>
      <c r="C6" s="282"/>
      <c r="D6" s="282">
        <f t="shared" si="1"/>
        <v>0</v>
      </c>
      <c r="E6" s="282">
        <f ca="1">OFFSET('Daily Prod Format'!F8,(ROW(A5)-1)*39, 0)</f>
        <v>0</v>
      </c>
      <c r="F6" s="282"/>
      <c r="G6" s="320">
        <f ca="1">OFFSET('Daily Prod Format'!F10, (ROW(E5)-1)*39, 0)</f>
        <v>0</v>
      </c>
      <c r="H6" s="282">
        <f ca="1">OFFSET('Daily Prod Format'!F9, (ROW(A5)-1)*39, 0)</f>
        <v>0</v>
      </c>
      <c r="I6" s="469"/>
      <c r="J6" s="469"/>
      <c r="K6" s="469"/>
      <c r="M6" s="160"/>
      <c r="N6" s="282">
        <f ca="1">(OFFSET('Daily Prod Format'!F17,(ROW(A5)-1)*39, 0))-Q6</f>
        <v>0</v>
      </c>
      <c r="O6" s="282">
        <f ca="1">OFFSET('Daily Prod Format'!F18,(ROW(A5)-1)*39, 0)</f>
        <v>0</v>
      </c>
      <c r="P6" s="282">
        <f ca="1">OFFSET('Daily Prod Format'!F19,(ROW(A5)-1)*39, 0)</f>
        <v>0</v>
      </c>
      <c r="Q6" s="282">
        <f ca="1">OFFSET('Daily Prod Format'!F24,(ROW(A5)-1)*39, 0)</f>
        <v>0</v>
      </c>
      <c r="R6" s="282">
        <f ca="1">OFFSET('Daily Prod Format'!F12,(ROW(E5)-1)*39, 0)</f>
        <v>0</v>
      </c>
      <c r="S6" s="282">
        <f ca="1">OFFSET('Daily Prod Format'!F13,(ROW(H5)-1)*39, 0)</f>
        <v>0</v>
      </c>
      <c r="T6" s="282">
        <f ca="1">OFFSET('Daily Prod Format'!F14,(ROW(G5)-1)*39, 0)</f>
        <v>0</v>
      </c>
      <c r="U6" s="580">
        <f ca="1">OFFSET('Daily Prod Format'!F11,(ROW(E5)-1)*39, 0)</f>
        <v>0</v>
      </c>
      <c r="V6" s="580">
        <f ca="1">OFFSET('Daily Prod Format'!F15,(ROW(F5)-1)*39, 0)</f>
        <v>0</v>
      </c>
      <c r="W6" s="282">
        <f ca="1">OFFSET('Daily Prod Format'!F16,(ROW(E5)-1)*39, 0)</f>
        <v>0</v>
      </c>
      <c r="Y6" s="581">
        <f t="shared" si="0"/>
        <v>46300</v>
      </c>
      <c r="Z6" s="282">
        <f ca="1">OFFSET('Daily Prod Format'!F17,(ROW(D5)-1)*39, 0)</f>
        <v>0</v>
      </c>
      <c r="AA6" s="282">
        <f ca="1">OFFSET('Daily Prod Format'!F20,(ROW(E5)-1)*39, 0)</f>
        <v>0</v>
      </c>
      <c r="AB6" s="282">
        <f ca="1">OFFSET('Daily Prod Format'!F21,(ROW(F5)-1)*39, 0)</f>
        <v>0</v>
      </c>
      <c r="AC6" s="282">
        <f ca="1">OFFSET('Daily Prod Format'!F22,(ROW(G5)-1)*39, 0)</f>
        <v>0</v>
      </c>
      <c r="AD6" s="282">
        <f ca="1">OFFSET('Daily Prod Format'!F23,(ROW(H5)-1)*39, 0)</f>
        <v>0</v>
      </c>
      <c r="AE6" s="282">
        <f ca="1">OFFSET('Daily Prod Format'!F24,(ROW(I5)-1)*39, 0)</f>
        <v>0</v>
      </c>
      <c r="AF6" s="282">
        <f ca="1">OFFSET('Daily Prod Format'!F25,(ROW(I5)-1)*39, 0)</f>
        <v>0</v>
      </c>
      <c r="AI6" s="282"/>
      <c r="AJ6" s="282"/>
      <c r="AK6" s="282"/>
      <c r="AL6" s="282"/>
      <c r="AM6" s="282"/>
      <c r="AN6" s="282"/>
      <c r="AO6" s="282"/>
      <c r="AP6" s="282"/>
      <c r="AQ6" s="282"/>
      <c r="AR6" s="282"/>
    </row>
    <row r="7" spans="1:44" ht="15" customHeight="1">
      <c r="A7" s="579">
        <v>46301</v>
      </c>
      <c r="B7" s="282"/>
      <c r="C7" s="282"/>
      <c r="D7" s="282">
        <f t="shared" si="1"/>
        <v>0</v>
      </c>
      <c r="E7" s="282">
        <f ca="1">OFFSET('Daily Prod Format'!F9,(ROW(A6)-1)*39, 0)</f>
        <v>0</v>
      </c>
      <c r="F7" s="282"/>
      <c r="G7" s="320">
        <f ca="1">OFFSET('Daily Prod Format'!F11, (ROW(E6)-1)*39, 0)</f>
        <v>0</v>
      </c>
      <c r="H7" s="282">
        <f ca="1">OFFSET('Daily Prod Format'!F10, (ROW(A6)-1)*39, 0)</f>
        <v>0</v>
      </c>
      <c r="I7" s="469"/>
      <c r="J7" s="469"/>
      <c r="K7" s="469"/>
      <c r="M7" s="160"/>
      <c r="N7" s="282">
        <f ca="1">(OFFSET('Daily Prod Format'!F18,(ROW(A6)-1)*39, 0))-Q7</f>
        <v>0</v>
      </c>
      <c r="O7" s="282">
        <f ca="1">OFFSET('Daily Prod Format'!F19,(ROW(A6)-1)*39, 0)</f>
        <v>0</v>
      </c>
      <c r="P7" s="282">
        <f ca="1">OFFSET('Daily Prod Format'!F20,(ROW(A6)-1)*39, 0)</f>
        <v>0</v>
      </c>
      <c r="Q7" s="282">
        <f ca="1">OFFSET('Daily Prod Format'!F25,(ROW(A6)-1)*39, 0)</f>
        <v>0</v>
      </c>
      <c r="R7" s="282">
        <f ca="1">OFFSET('Daily Prod Format'!F13,(ROW(E6)-1)*39, 0)</f>
        <v>0</v>
      </c>
      <c r="S7" s="282">
        <f ca="1">OFFSET('Daily Prod Format'!F14,(ROW(H6)-1)*39, 0)</f>
        <v>0</v>
      </c>
      <c r="T7" s="282">
        <f ca="1">OFFSET('Daily Prod Format'!F15,(ROW(G6)-1)*39, 0)</f>
        <v>0</v>
      </c>
      <c r="U7" s="580">
        <f ca="1">OFFSET('Daily Prod Format'!F12,(ROW(E6)-1)*39, 0)</f>
        <v>0</v>
      </c>
      <c r="V7" s="580">
        <f ca="1">OFFSET('Daily Prod Format'!F16,(ROW(F6)-1)*39, 0)</f>
        <v>0</v>
      </c>
      <c r="W7" s="282">
        <f ca="1">OFFSET('Daily Prod Format'!F17,(ROW(E6)-1)*39, 0)</f>
        <v>0</v>
      </c>
      <c r="Y7" s="581">
        <f t="shared" si="0"/>
        <v>46301</v>
      </c>
      <c r="Z7" s="282">
        <f ca="1">OFFSET('Daily Prod Format'!F18,(ROW(D6)-1)*39, 0)</f>
        <v>0</v>
      </c>
      <c r="AA7" s="282">
        <f ca="1">OFFSET('Daily Prod Format'!F21,(ROW(E6)-1)*39, 0)</f>
        <v>0</v>
      </c>
      <c r="AB7" s="282">
        <f ca="1">OFFSET('Daily Prod Format'!F22,(ROW(F6)-1)*39, 0)</f>
        <v>0</v>
      </c>
      <c r="AC7" s="282">
        <f ca="1">OFFSET('Daily Prod Format'!F23,(ROW(G6)-1)*39, 0)</f>
        <v>0</v>
      </c>
      <c r="AD7" s="282">
        <f ca="1">OFFSET('Daily Prod Format'!F24,(ROW(H6)-1)*39, 0)</f>
        <v>0</v>
      </c>
      <c r="AE7" s="282">
        <f ca="1">OFFSET('Daily Prod Format'!F25,(ROW(I6)-1)*39, 0)</f>
        <v>0</v>
      </c>
      <c r="AF7" s="282">
        <f ca="1">OFFSET('Daily Prod Format'!F26,(ROW(I6)-1)*39, 0)</f>
        <v>0</v>
      </c>
      <c r="AI7" s="282"/>
      <c r="AJ7" s="282"/>
      <c r="AK7" s="282"/>
      <c r="AL7" s="282"/>
      <c r="AM7" s="282"/>
      <c r="AN7" s="282"/>
      <c r="AO7" s="282"/>
      <c r="AP7" s="282"/>
      <c r="AQ7" s="282"/>
      <c r="AR7" s="282"/>
    </row>
    <row r="8" spans="1:44" ht="15" customHeight="1">
      <c r="A8" s="579">
        <v>46302</v>
      </c>
      <c r="B8" s="282"/>
      <c r="C8" s="282"/>
      <c r="D8" s="282">
        <f t="shared" si="1"/>
        <v>0</v>
      </c>
      <c r="E8" s="282">
        <f ca="1">OFFSET('Daily Prod Format'!F10,(ROW(A7)-1)*39, 0)</f>
        <v>0</v>
      </c>
      <c r="F8" s="282"/>
      <c r="G8" s="320">
        <f ca="1">OFFSET('Daily Prod Format'!F12, (ROW(E7)-1)*39, 0)</f>
        <v>0</v>
      </c>
      <c r="H8" s="282">
        <f ca="1">OFFSET('Daily Prod Format'!F11, (ROW(A7)-1)*39, 0)</f>
        <v>0</v>
      </c>
      <c r="I8" s="469"/>
      <c r="J8" s="469"/>
      <c r="K8" s="469"/>
      <c r="M8" s="160"/>
      <c r="N8" s="282">
        <f ca="1">(OFFSET('Daily Prod Format'!F19,(ROW(A7)-1)*39, 0))-Q8</f>
        <v>0</v>
      </c>
      <c r="O8" s="282">
        <f ca="1">OFFSET('Daily Prod Format'!F20,(ROW(A7)-1)*39, 0)</f>
        <v>0</v>
      </c>
      <c r="P8" s="282">
        <f ca="1">OFFSET('Daily Prod Format'!F21,(ROW(A7)-1)*39, 0)</f>
        <v>0</v>
      </c>
      <c r="Q8" s="282">
        <f ca="1">OFFSET('Daily Prod Format'!F26,(ROW(A7)-1)*39, 0)</f>
        <v>0</v>
      </c>
      <c r="R8" s="582">
        <f ca="1">OFFSET('Daily Prod Format'!F14,(ROW(E7)-1)*39, 0)</f>
        <v>0</v>
      </c>
      <c r="S8" s="282">
        <f ca="1">OFFSET('Daily Prod Format'!F15,(ROW(H7)-1)*39, 0)</f>
        <v>0</v>
      </c>
      <c r="T8" s="282">
        <f ca="1">OFFSET('Daily Prod Format'!F16,(ROW(G7)-1)*39, 0)</f>
        <v>0</v>
      </c>
      <c r="U8" s="580">
        <f ca="1">OFFSET('Daily Prod Format'!F13,(ROW(E7)-1)*39, 0)</f>
        <v>0</v>
      </c>
      <c r="V8" s="580">
        <f ca="1">OFFSET('Daily Prod Format'!F17,(ROW(F7)-1)*39, 0)</f>
        <v>0</v>
      </c>
      <c r="W8" s="282">
        <f ca="1">OFFSET('Daily Prod Format'!F18,(ROW(E7)-1)*39, 0)</f>
        <v>0</v>
      </c>
      <c r="Y8" s="581">
        <f t="shared" si="0"/>
        <v>46302</v>
      </c>
      <c r="Z8" s="282">
        <f ca="1">OFFSET('Daily Prod Format'!F19,(ROW(D7)-1)*39, 0)</f>
        <v>0</v>
      </c>
      <c r="AA8" s="282">
        <f ca="1">OFFSET('Daily Prod Format'!F22,(ROW(E7)-1)*39, 0)</f>
        <v>0</v>
      </c>
      <c r="AB8" s="282">
        <f ca="1">OFFSET('Daily Prod Format'!F23,(ROW(F7)-1)*39, 0)</f>
        <v>0</v>
      </c>
      <c r="AC8" s="282">
        <f ca="1">OFFSET('Daily Prod Format'!F24,(ROW(G7)-1)*39, 0)</f>
        <v>0</v>
      </c>
      <c r="AD8" s="282">
        <f ca="1">OFFSET('Daily Prod Format'!F25,(ROW(H7)-1)*39, 0)</f>
        <v>0</v>
      </c>
      <c r="AE8" s="282">
        <f ca="1">OFFSET('Daily Prod Format'!F26,(ROW(I7)-1)*39, 0)</f>
        <v>0</v>
      </c>
      <c r="AF8" s="282">
        <f ca="1">OFFSET('Daily Prod Format'!F27,(ROW(I7)-1)*39, 0)</f>
        <v>0</v>
      </c>
      <c r="AI8" s="282"/>
      <c r="AJ8" s="282"/>
      <c r="AK8" s="282"/>
      <c r="AL8" s="282"/>
      <c r="AM8" s="282"/>
      <c r="AN8" s="282"/>
      <c r="AO8" s="282"/>
      <c r="AP8" s="282"/>
      <c r="AQ8" s="282"/>
      <c r="AR8" s="282"/>
    </row>
    <row r="9" spans="1:44" ht="15" customHeight="1">
      <c r="A9" s="579">
        <v>46303</v>
      </c>
      <c r="B9" s="282"/>
      <c r="C9" s="282"/>
      <c r="D9" s="282">
        <f t="shared" si="1"/>
        <v>0</v>
      </c>
      <c r="E9" s="282">
        <f ca="1">OFFSET('Daily Prod Format'!F11,(ROW(A8)-1)*39, 0)</f>
        <v>0</v>
      </c>
      <c r="F9" s="282"/>
      <c r="G9" s="320">
        <f ca="1">OFFSET('Daily Prod Format'!F13, (ROW(E8)-1)*39, 0)</f>
        <v>0</v>
      </c>
      <c r="H9" s="282">
        <f ca="1">OFFSET('Daily Prod Format'!F12, (ROW(A8)-1)*39, 0)</f>
        <v>0</v>
      </c>
      <c r="I9" s="469"/>
      <c r="J9" s="469"/>
      <c r="K9" s="469"/>
      <c r="M9" s="160"/>
      <c r="N9" s="282">
        <f ca="1">(OFFSET('Daily Prod Format'!F20,(ROW(A8)-1)*39, 0))-Q9</f>
        <v>0</v>
      </c>
      <c r="O9" s="282">
        <f ca="1">OFFSET('Daily Prod Format'!F21,(ROW(A8)-1)*39, 0)</f>
        <v>0</v>
      </c>
      <c r="P9" s="282">
        <f ca="1">OFFSET('Daily Prod Format'!F22,(ROW(A8)-1)*39, 0)</f>
        <v>0</v>
      </c>
      <c r="Q9" s="282">
        <f ca="1">OFFSET('Daily Prod Format'!F27,(ROW(A8)-1)*39, 0)</f>
        <v>0</v>
      </c>
      <c r="R9" s="282">
        <f ca="1">OFFSET('Daily Prod Format'!F15,(ROW(E8)-1)*39, 0)</f>
        <v>0</v>
      </c>
      <c r="S9" s="282">
        <f ca="1">OFFSET('Daily Prod Format'!F16,(ROW(H8)-1)*39, 0)</f>
        <v>0</v>
      </c>
      <c r="T9" s="282">
        <f ca="1">OFFSET('Daily Prod Format'!F17,(ROW(G8)-1)*39, 0)</f>
        <v>0</v>
      </c>
      <c r="U9" s="580">
        <f ca="1">OFFSET('Daily Prod Format'!F14,(ROW(E8)-1)*39, 0)</f>
        <v>0</v>
      </c>
      <c r="V9" s="580">
        <f ca="1">OFFSET('Daily Prod Format'!F18,(ROW(F8)-1)*39, 0)</f>
        <v>0</v>
      </c>
      <c r="W9" s="282">
        <f ca="1">OFFSET('Daily Prod Format'!F19,(ROW(E8)-1)*39, 0)</f>
        <v>0</v>
      </c>
      <c r="Y9" s="581">
        <f t="shared" si="0"/>
        <v>46303</v>
      </c>
      <c r="Z9" s="282">
        <f ca="1">OFFSET('Daily Prod Format'!F20,(ROW(D8)-1)*39, 0)</f>
        <v>0</v>
      </c>
      <c r="AA9" s="282">
        <f ca="1">OFFSET('Daily Prod Format'!F23,(ROW(E8)-1)*39, 0)</f>
        <v>0</v>
      </c>
      <c r="AB9" s="282">
        <f ca="1">OFFSET('Daily Prod Format'!F24,(ROW(F8)-1)*39, 0)</f>
        <v>0</v>
      </c>
      <c r="AC9" s="282">
        <f ca="1">OFFSET('Daily Prod Format'!F25,(ROW(G8)-1)*39, 0)</f>
        <v>0</v>
      </c>
      <c r="AD9" s="282">
        <f ca="1">OFFSET('Daily Prod Format'!F26,(ROW(H8)-1)*39, 0)</f>
        <v>0</v>
      </c>
      <c r="AE9" s="282">
        <f ca="1">OFFSET('Daily Prod Format'!F27,(ROW(I8)-1)*39, 0)</f>
        <v>0</v>
      </c>
      <c r="AF9" s="282">
        <f ca="1">OFFSET('Daily Prod Format'!F28,(ROW(I8)-1)*39, 0)</f>
        <v>0</v>
      </c>
      <c r="AI9" s="282"/>
      <c r="AJ9" s="282"/>
      <c r="AK9" s="282"/>
      <c r="AL9" s="282"/>
      <c r="AM9" s="282"/>
      <c r="AN9" s="282"/>
      <c r="AO9" s="282"/>
      <c r="AP9" s="282"/>
      <c r="AQ9" s="282"/>
      <c r="AR9" s="282"/>
    </row>
    <row r="10" spans="1:44" ht="15" customHeight="1">
      <c r="A10" s="579">
        <v>46304</v>
      </c>
      <c r="B10" s="282"/>
      <c r="C10" s="282"/>
      <c r="D10" s="282">
        <f t="shared" si="1"/>
        <v>0</v>
      </c>
      <c r="E10" s="282">
        <f ca="1">OFFSET('Daily Prod Format'!F12,(ROW(A9)-1)*39, 0)</f>
        <v>0</v>
      </c>
      <c r="F10" s="282"/>
      <c r="G10" s="320">
        <f ca="1">OFFSET('Daily Prod Format'!F14, (ROW(E9)-1)*39, 0)</f>
        <v>0</v>
      </c>
      <c r="H10" s="282">
        <f ca="1">OFFSET('Daily Prod Format'!F13, (ROW(A9)-1)*39, 0)</f>
        <v>0</v>
      </c>
      <c r="I10" s="469"/>
      <c r="J10" s="469"/>
      <c r="K10" s="469"/>
      <c r="M10" s="160"/>
      <c r="N10" s="282">
        <f ca="1">(OFFSET('Daily Prod Format'!F21,(ROW(A9)-1)*39, 0))-Q10</f>
        <v>0</v>
      </c>
      <c r="O10" s="282">
        <f ca="1">OFFSET('Daily Prod Format'!F22,(ROW(A9)-1)*39, 0)</f>
        <v>0</v>
      </c>
      <c r="P10" s="282">
        <f ca="1">OFFSET('Daily Prod Format'!F23,(ROW(A9)-1)*39, 0)</f>
        <v>0</v>
      </c>
      <c r="Q10" s="282">
        <f ca="1">OFFSET('Daily Prod Format'!F28,(ROW(A9)-1)*39, 0)</f>
        <v>0</v>
      </c>
      <c r="R10" s="282">
        <f ca="1">OFFSET('Daily Prod Format'!F16,(ROW(E9)-1)*39, 0)</f>
        <v>0</v>
      </c>
      <c r="S10" s="282">
        <f ca="1">OFFSET('Daily Prod Format'!F17,(ROW(H9)-1)*39, 0)</f>
        <v>0</v>
      </c>
      <c r="T10" s="282">
        <f ca="1">OFFSET('Daily Prod Format'!F18,(ROW(G9)-1)*39, 0)</f>
        <v>0</v>
      </c>
      <c r="U10" s="580">
        <f ca="1">OFFSET('Daily Prod Format'!F15,(ROW(E9)-1)*39, 0)</f>
        <v>0</v>
      </c>
      <c r="V10" s="580">
        <f ca="1">OFFSET('Daily Prod Format'!F19,(ROW(F9)-1)*39, 0)</f>
        <v>0</v>
      </c>
      <c r="W10" s="282">
        <f ca="1">OFFSET('Daily Prod Format'!F20,(ROW(E9)-1)*39, 0)</f>
        <v>0</v>
      </c>
      <c r="Y10" s="581">
        <f t="shared" si="0"/>
        <v>46304</v>
      </c>
      <c r="Z10" s="282">
        <f ca="1">OFFSET('Daily Prod Format'!F21,(ROW(D9)-1)*39, 0)</f>
        <v>0</v>
      </c>
      <c r="AA10" s="282">
        <f ca="1">OFFSET('Daily Prod Format'!F24,(ROW(E9)-1)*39, 0)</f>
        <v>0</v>
      </c>
      <c r="AB10" s="282">
        <f ca="1">OFFSET('Daily Prod Format'!F25,(ROW(F9)-1)*39, 0)</f>
        <v>0</v>
      </c>
      <c r="AC10" s="282">
        <f ca="1">OFFSET('Daily Prod Format'!F26,(ROW(G9)-1)*39, 0)</f>
        <v>0</v>
      </c>
      <c r="AD10" s="282">
        <f ca="1">OFFSET('Daily Prod Format'!F27,(ROW(H9)-1)*39, 0)</f>
        <v>0</v>
      </c>
      <c r="AE10" s="282">
        <f ca="1">OFFSET('Daily Prod Format'!F28,(ROW(I9)-1)*39, 0)</f>
        <v>0</v>
      </c>
      <c r="AF10" s="282">
        <f ca="1">OFFSET('Daily Prod Format'!F29,(ROW(I9)-1)*39, 0)</f>
        <v>0</v>
      </c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</row>
    <row r="11" spans="1:44" ht="15" customHeight="1">
      <c r="A11" s="579">
        <v>46305</v>
      </c>
      <c r="B11" s="282"/>
      <c r="C11" s="282"/>
      <c r="D11" s="282">
        <f t="shared" si="1"/>
        <v>0</v>
      </c>
      <c r="E11" s="282">
        <f ca="1">OFFSET('Daily Prod Format'!F13,(ROW(A10)-1)*39, 0)</f>
        <v>0</v>
      </c>
      <c r="F11" s="282"/>
      <c r="G11" s="320">
        <f ca="1">OFFSET('Daily Prod Format'!F15, (ROW(E10)-1)*39, 0)</f>
        <v>0</v>
      </c>
      <c r="H11" s="282">
        <f ca="1">OFFSET('Daily Prod Format'!F14, (ROW(A10)-1)*39, 0)</f>
        <v>0</v>
      </c>
      <c r="I11" s="469"/>
      <c r="J11" s="469"/>
      <c r="K11" s="469"/>
      <c r="M11" s="160"/>
      <c r="N11" s="282">
        <f ca="1">(OFFSET('Daily Prod Format'!F22,(ROW(A10)-1)*39, 0))-Q11</f>
        <v>0</v>
      </c>
      <c r="O11" s="282">
        <f ca="1">OFFSET('Daily Prod Format'!F23,(ROW(A10)-1)*39, 0)</f>
        <v>0</v>
      </c>
      <c r="P11" s="282">
        <f ca="1">OFFSET('Daily Prod Format'!F24,(ROW(A10)-1)*39, 0)</f>
        <v>0</v>
      </c>
      <c r="Q11" s="282">
        <f ca="1">OFFSET('Daily Prod Format'!F29,(ROW(A10)-1)*39, 0)</f>
        <v>0</v>
      </c>
      <c r="R11" s="282">
        <f ca="1">OFFSET('Daily Prod Format'!F17,(ROW(E10)-1)*39, 0)</f>
        <v>0</v>
      </c>
      <c r="S11" s="282">
        <f ca="1">OFFSET('Daily Prod Format'!F18,(ROW(H10)-1)*39, 0)</f>
        <v>0</v>
      </c>
      <c r="T11" s="282">
        <f ca="1">OFFSET('Daily Prod Format'!F19,(ROW(G10)-1)*39, 0)</f>
        <v>0</v>
      </c>
      <c r="U11" s="580">
        <f ca="1">OFFSET('Daily Prod Format'!F16,(ROW(E10)-1)*39, 0)</f>
        <v>0</v>
      </c>
      <c r="V11" s="580">
        <f ca="1">OFFSET('Daily Prod Format'!F20,(ROW(F10)-1)*39, 0)</f>
        <v>0</v>
      </c>
      <c r="W11" s="282">
        <f ca="1">OFFSET('Daily Prod Format'!F21,(ROW(E10)-1)*39, 0)</f>
        <v>0</v>
      </c>
      <c r="Y11" s="581">
        <f t="shared" si="0"/>
        <v>46305</v>
      </c>
      <c r="Z11" s="282">
        <f ca="1">OFFSET('Daily Prod Format'!F22,(ROW(D10)-1)*39, 0)</f>
        <v>0</v>
      </c>
      <c r="AA11" s="282">
        <f ca="1">OFFSET('Daily Prod Format'!F25,(ROW(E10)-1)*39, 0)</f>
        <v>0</v>
      </c>
      <c r="AB11" s="282">
        <f ca="1">OFFSET('Daily Prod Format'!F26,(ROW(F10)-1)*39, 0)</f>
        <v>0</v>
      </c>
      <c r="AC11" s="282">
        <f ca="1">OFFSET('Daily Prod Format'!F27,(ROW(G10)-1)*39, 0)</f>
        <v>0</v>
      </c>
      <c r="AD11" s="282">
        <f ca="1">OFFSET('Daily Prod Format'!F28,(ROW(H10)-1)*39, 0)</f>
        <v>0</v>
      </c>
      <c r="AE11" s="282">
        <f ca="1">OFFSET('Daily Prod Format'!F29,(ROW(I10)-1)*39, 0)</f>
        <v>0</v>
      </c>
      <c r="AF11" s="282">
        <f ca="1">OFFSET('Daily Prod Format'!F30,(ROW(I10)-1)*39, 0)</f>
        <v>0</v>
      </c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</row>
    <row r="12" spans="1:44" ht="15" customHeight="1">
      <c r="A12" s="579">
        <v>46306</v>
      </c>
      <c r="B12" s="282"/>
      <c r="C12" s="282"/>
      <c r="D12" s="282">
        <f t="shared" si="1"/>
        <v>0</v>
      </c>
      <c r="E12" s="282">
        <f ca="1">OFFSET('Daily Prod Format'!F14,(ROW(A11)-1)*39, 0)</f>
        <v>0</v>
      </c>
      <c r="F12" s="282"/>
      <c r="G12" s="320">
        <f ca="1">OFFSET('Daily Prod Format'!F16, (ROW(E11)-1)*39, 0)</f>
        <v>0</v>
      </c>
      <c r="H12" s="282">
        <f ca="1">OFFSET('Daily Prod Format'!F15, (ROW(A11)-1)*39, 0)</f>
        <v>0</v>
      </c>
      <c r="I12" s="469"/>
      <c r="J12" s="469"/>
      <c r="K12" s="469"/>
      <c r="M12" s="160"/>
      <c r="N12" s="282">
        <f ca="1">(OFFSET('Daily Prod Format'!F23,(ROW(A11)-1)*39, 0))-Q12</f>
        <v>0</v>
      </c>
      <c r="O12" s="282">
        <f ca="1">OFFSET('Daily Prod Format'!F24,(ROW(A11)-1)*39, 0)</f>
        <v>0</v>
      </c>
      <c r="P12" s="282">
        <f ca="1">OFFSET('Daily Prod Format'!F25,(ROW(A11)-1)*39, 0)</f>
        <v>0</v>
      </c>
      <c r="Q12" s="282">
        <f ca="1">OFFSET('Daily Prod Format'!F30,(ROW(A11)-1)*39, 0)</f>
        <v>0</v>
      </c>
      <c r="R12" s="282">
        <f ca="1">OFFSET('Daily Prod Format'!F18,(ROW(E11)-1)*39, 0)</f>
        <v>0</v>
      </c>
      <c r="S12" s="282">
        <f ca="1">OFFSET('Daily Prod Format'!F19,(ROW(H11)-1)*39, 0)</f>
        <v>0</v>
      </c>
      <c r="T12" s="282">
        <f ca="1">OFFSET('Daily Prod Format'!F20,(ROW(G11)-1)*39, 0)</f>
        <v>0</v>
      </c>
      <c r="U12" s="580">
        <f ca="1">OFFSET('Daily Prod Format'!F17,(ROW(E11)-1)*39, 0)</f>
        <v>0</v>
      </c>
      <c r="V12" s="580">
        <f ca="1">OFFSET('Daily Prod Format'!F21,(ROW(F11)-1)*39, 0)</f>
        <v>0</v>
      </c>
      <c r="W12" s="282">
        <f ca="1">OFFSET('Daily Prod Format'!F22,(ROW(E11)-1)*39, 0)</f>
        <v>0</v>
      </c>
      <c r="Y12" s="581">
        <f t="shared" si="0"/>
        <v>46306</v>
      </c>
      <c r="Z12" s="282">
        <f ca="1">OFFSET('Daily Prod Format'!F23,(ROW(D11)-1)*39, 0)</f>
        <v>0</v>
      </c>
      <c r="AA12" s="282">
        <f ca="1">OFFSET('Daily Prod Format'!F26,(ROW(E11)-1)*39, 0)</f>
        <v>0</v>
      </c>
      <c r="AB12" s="282">
        <f ca="1">OFFSET('Daily Prod Format'!F27,(ROW(F11)-1)*39, 0)</f>
        <v>0</v>
      </c>
      <c r="AC12" s="282">
        <f ca="1">OFFSET('Daily Prod Format'!F28,(ROW(G11)-1)*39, 0)</f>
        <v>0</v>
      </c>
      <c r="AD12" s="282">
        <f ca="1">OFFSET('Daily Prod Format'!F29,(ROW(H11)-1)*39, 0)</f>
        <v>0</v>
      </c>
      <c r="AE12" s="282">
        <f ca="1">OFFSET('Daily Prod Format'!F30,(ROW(I11)-1)*39, 0)</f>
        <v>0</v>
      </c>
      <c r="AF12" s="282">
        <f ca="1">OFFSET('Daily Prod Format'!F31,(ROW(I11)-1)*39, 0)</f>
        <v>0</v>
      </c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</row>
    <row r="13" spans="1:44" ht="15" customHeight="1">
      <c r="A13" s="579">
        <v>46307</v>
      </c>
      <c r="B13" s="282"/>
      <c r="C13" s="282"/>
      <c r="D13" s="282">
        <f t="shared" si="1"/>
        <v>0</v>
      </c>
      <c r="E13" s="282">
        <f ca="1">OFFSET('Daily Prod Format'!F15,(ROW(A12)-1)*39, 0)</f>
        <v>0</v>
      </c>
      <c r="F13" s="282"/>
      <c r="G13" s="320">
        <f ca="1">OFFSET('Daily Prod Format'!F17, (ROW(E12)-1)*39, 0)</f>
        <v>0</v>
      </c>
      <c r="H13" s="282">
        <f ca="1">OFFSET('Daily Prod Format'!F16, (ROW(A12)-1)*39, 0)</f>
        <v>0</v>
      </c>
      <c r="I13" s="469"/>
      <c r="J13" s="469"/>
      <c r="K13" s="469"/>
      <c r="L13" s="160"/>
      <c r="M13" s="160"/>
      <c r="N13" s="282">
        <f ca="1">(OFFSET('Daily Prod Format'!F24,(ROW(A12)-1)*39, 0))-Q13</f>
        <v>0</v>
      </c>
      <c r="O13" s="282">
        <f ca="1">OFFSET('Daily Prod Format'!F25,(ROW(A12)-1)*39, 0)</f>
        <v>0</v>
      </c>
      <c r="P13" s="282">
        <f ca="1">OFFSET('Daily Prod Format'!F26,(ROW(A12)-1)*39, 0)</f>
        <v>0</v>
      </c>
      <c r="Q13" s="282">
        <f ca="1">OFFSET('Daily Prod Format'!F31,(ROW(A12)-1)*39, 0)</f>
        <v>0</v>
      </c>
      <c r="R13" s="282">
        <f ca="1">OFFSET('Daily Prod Format'!F19,(ROW(E12)-1)*39, 0)</f>
        <v>0</v>
      </c>
      <c r="S13" s="282">
        <f ca="1">OFFSET('Daily Prod Format'!F20,(ROW(H12)-1)*39, 0)</f>
        <v>0</v>
      </c>
      <c r="T13" s="282">
        <f ca="1">OFFSET('Daily Prod Format'!F21,(ROW(G12)-1)*39, 0)</f>
        <v>0</v>
      </c>
      <c r="U13" s="580">
        <f ca="1">OFFSET('Daily Prod Format'!F18,(ROW(E12)-1)*39, 0)</f>
        <v>0</v>
      </c>
      <c r="V13" s="580">
        <f ca="1">OFFSET('Daily Prod Format'!F22,(ROW(F12)-1)*39, 0)</f>
        <v>0</v>
      </c>
      <c r="W13" s="282">
        <f ca="1">OFFSET('Daily Prod Format'!F23,(ROW(E12)-1)*39, 0)</f>
        <v>0</v>
      </c>
      <c r="Y13" s="581">
        <f t="shared" si="0"/>
        <v>46307</v>
      </c>
      <c r="Z13" s="282">
        <f ca="1">OFFSET('Daily Prod Format'!F24,(ROW(D12)-1)*39, 0)</f>
        <v>0</v>
      </c>
      <c r="AA13" s="282">
        <f ca="1">OFFSET('Daily Prod Format'!F27,(ROW(E12)-1)*39, 0)</f>
        <v>0</v>
      </c>
      <c r="AB13" s="282">
        <f ca="1">OFFSET('Daily Prod Format'!F28,(ROW(F12)-1)*39, 0)</f>
        <v>0</v>
      </c>
      <c r="AC13" s="282">
        <f ca="1">OFFSET('Daily Prod Format'!F29,(ROW(G12)-1)*39, 0)</f>
        <v>0</v>
      </c>
      <c r="AD13" s="282">
        <f ca="1">OFFSET('Daily Prod Format'!F30,(ROW(H12)-1)*39, 0)</f>
        <v>0</v>
      </c>
      <c r="AE13" s="282">
        <f ca="1">OFFSET('Daily Prod Format'!F31,(ROW(I12)-1)*39, 0)</f>
        <v>0</v>
      </c>
      <c r="AF13" s="282">
        <f ca="1">OFFSET('Daily Prod Format'!F32,(ROW(I12)-1)*39, 0)</f>
        <v>0</v>
      </c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</row>
    <row r="14" spans="1:44" ht="15" customHeight="1">
      <c r="A14" s="579">
        <v>46308</v>
      </c>
      <c r="B14" s="282"/>
      <c r="C14" s="282"/>
      <c r="D14" s="282">
        <f t="shared" si="1"/>
        <v>0</v>
      </c>
      <c r="E14" s="282">
        <f ca="1">OFFSET('Daily Prod Format'!F16,(ROW(A13)-1)*39, 0)</f>
        <v>0</v>
      </c>
      <c r="F14" s="282"/>
      <c r="G14" s="320">
        <f ca="1">OFFSET('Daily Prod Format'!F18, (ROW(E13)-1)*39, 0)</f>
        <v>0</v>
      </c>
      <c r="H14" s="282">
        <f ca="1">OFFSET('Daily Prod Format'!F17, (ROW(A13)-1)*39, 0)</f>
        <v>0</v>
      </c>
      <c r="I14" s="469"/>
      <c r="J14" s="469"/>
      <c r="K14" s="469"/>
      <c r="M14" s="160"/>
      <c r="N14" s="282">
        <f ca="1">(OFFSET('Daily Prod Format'!F25,(ROW(A13)-1)*39, 0))-Q14</f>
        <v>0</v>
      </c>
      <c r="O14" s="282">
        <f ca="1">OFFSET('Daily Prod Format'!F26,(ROW(A13)-1)*39, 0)</f>
        <v>0</v>
      </c>
      <c r="P14" s="282">
        <f ca="1">OFFSET('Daily Prod Format'!F27,(ROW(A13)-1)*39, 0)</f>
        <v>0</v>
      </c>
      <c r="Q14" s="282">
        <f ca="1">OFFSET('Daily Prod Format'!F32,(ROW(A13)-1)*39, 0)</f>
        <v>0</v>
      </c>
      <c r="R14" s="282">
        <f ca="1">OFFSET('Daily Prod Format'!F20,(ROW(E13)-1)*39, 0)</f>
        <v>0</v>
      </c>
      <c r="S14" s="282">
        <f ca="1">OFFSET('Daily Prod Format'!F21,(ROW(H13)-1)*39, 0)</f>
        <v>0</v>
      </c>
      <c r="T14" s="282">
        <f ca="1">OFFSET('Daily Prod Format'!F22,(ROW(G13)-1)*39, 0)</f>
        <v>0</v>
      </c>
      <c r="U14" s="580">
        <f ca="1">OFFSET('Daily Prod Format'!F19,(ROW(E13)-1)*39, 0)</f>
        <v>0</v>
      </c>
      <c r="V14" s="580">
        <f ca="1">OFFSET('Daily Prod Format'!F23,(ROW(F13)-1)*39, 0)</f>
        <v>0</v>
      </c>
      <c r="W14" s="282">
        <f ca="1">OFFSET('Daily Prod Format'!F24,(ROW(E13)-1)*39, 0)</f>
        <v>0</v>
      </c>
      <c r="Y14" s="581">
        <f t="shared" si="0"/>
        <v>46308</v>
      </c>
      <c r="Z14" s="282">
        <f ca="1">OFFSET('Daily Prod Format'!F25,(ROW(D13)-1)*39, 0)</f>
        <v>0</v>
      </c>
      <c r="AA14" s="282">
        <f ca="1">OFFSET('Daily Prod Format'!F28,(ROW(E13)-1)*39, 0)</f>
        <v>0</v>
      </c>
      <c r="AB14" s="282">
        <f ca="1">OFFSET('Daily Prod Format'!F29,(ROW(F13)-1)*39, 0)</f>
        <v>0</v>
      </c>
      <c r="AC14" s="282">
        <f ca="1">OFFSET('Daily Prod Format'!F30,(ROW(G13)-1)*39, 0)</f>
        <v>0</v>
      </c>
      <c r="AD14" s="282">
        <f ca="1">OFFSET('Daily Prod Format'!F31,(ROW(H13)-1)*39, 0)</f>
        <v>0</v>
      </c>
      <c r="AE14" s="282">
        <f ca="1">OFFSET('Daily Prod Format'!F32,(ROW(I13)-1)*39, 0)</f>
        <v>0</v>
      </c>
      <c r="AF14" s="282">
        <f ca="1">OFFSET('Daily Prod Format'!F33,(ROW(I13)-1)*39, 0)</f>
        <v>0</v>
      </c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</row>
    <row r="15" spans="1:44" ht="15" customHeight="1">
      <c r="A15" s="579">
        <v>46309</v>
      </c>
      <c r="B15" s="282"/>
      <c r="C15" s="282"/>
      <c r="D15" s="282">
        <f t="shared" si="1"/>
        <v>0</v>
      </c>
      <c r="E15" s="282">
        <f ca="1">OFFSET('Daily Prod Format'!F17,(ROW(A14)-1)*39, 0)</f>
        <v>0</v>
      </c>
      <c r="F15" s="282"/>
      <c r="G15" s="320">
        <f ca="1">OFFSET('Daily Prod Format'!F19, (ROW(E14)-1)*39, 0)</f>
        <v>0</v>
      </c>
      <c r="H15" s="282">
        <f ca="1">OFFSET('Daily Prod Format'!F18, (ROW(A14)-1)*39, 0)</f>
        <v>0</v>
      </c>
      <c r="I15" s="469"/>
      <c r="J15" s="469"/>
      <c r="K15" s="469"/>
      <c r="M15" s="160"/>
      <c r="N15" s="282">
        <f ca="1">(OFFSET('Daily Prod Format'!F26,(ROW(A14)-1)*39, 0))-Q15</f>
        <v>0</v>
      </c>
      <c r="O15" s="282">
        <f ca="1">OFFSET('Daily Prod Format'!F27,(ROW(A14)-1)*39, 0)</f>
        <v>0</v>
      </c>
      <c r="P15" s="282">
        <f ca="1">OFFSET('Daily Prod Format'!F28,(ROW(A14)-1)*39, 0)</f>
        <v>0</v>
      </c>
      <c r="Q15" s="282">
        <f ca="1">OFFSET('Daily Prod Format'!F33,(ROW(A14)-1)*39, 0)</f>
        <v>0</v>
      </c>
      <c r="R15" s="282">
        <f ca="1">OFFSET('Daily Prod Format'!F21,(ROW(E14)-1)*39, 0)</f>
        <v>0</v>
      </c>
      <c r="S15" s="282">
        <f ca="1">OFFSET('Daily Prod Format'!F22,(ROW(H14)-1)*39, 0)</f>
        <v>0</v>
      </c>
      <c r="T15" s="282">
        <f ca="1">OFFSET('Daily Prod Format'!F23,(ROW(G14)-1)*39, 0)</f>
        <v>0</v>
      </c>
      <c r="U15" s="580">
        <f ca="1">OFFSET('Daily Prod Format'!F20,(ROW(E14)-1)*39, 0)</f>
        <v>0</v>
      </c>
      <c r="V15" s="580">
        <f ca="1">OFFSET('Daily Prod Format'!F24,(ROW(F14)-1)*39, 0)</f>
        <v>0</v>
      </c>
      <c r="W15" s="282">
        <f ca="1">OFFSET('Daily Prod Format'!F25,(ROW(E14)-1)*39, 0)</f>
        <v>0</v>
      </c>
      <c r="Y15" s="581">
        <f t="shared" si="0"/>
        <v>46309</v>
      </c>
      <c r="Z15" s="282">
        <f ca="1">OFFSET('Daily Prod Format'!F26,(ROW(D14)-1)*39, 0)</f>
        <v>0</v>
      </c>
      <c r="AA15" s="282">
        <f ca="1">OFFSET('Daily Prod Format'!F29,(ROW(E14)-1)*39, 0)</f>
        <v>0</v>
      </c>
      <c r="AB15" s="282">
        <f ca="1">OFFSET('Daily Prod Format'!F30,(ROW(F14)-1)*39, 0)</f>
        <v>0</v>
      </c>
      <c r="AC15" s="282">
        <f ca="1">OFFSET('Daily Prod Format'!F31,(ROW(G14)-1)*39, 0)</f>
        <v>0</v>
      </c>
      <c r="AD15" s="282">
        <f ca="1">OFFSET('Daily Prod Format'!F32,(ROW(H14)-1)*39, 0)</f>
        <v>0</v>
      </c>
      <c r="AE15" s="282">
        <f ca="1">OFFSET('Daily Prod Format'!F33,(ROW(I14)-1)*39, 0)</f>
        <v>0</v>
      </c>
      <c r="AF15" s="282">
        <f ca="1">OFFSET('Daily Prod Format'!F34,(ROW(I14)-1)*39, 0)</f>
        <v>0</v>
      </c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</row>
    <row r="16" spans="1:44" ht="15" customHeight="1">
      <c r="A16" s="579">
        <v>46310</v>
      </c>
      <c r="B16" s="282"/>
      <c r="C16" s="282"/>
      <c r="D16" s="282">
        <f t="shared" si="1"/>
        <v>0</v>
      </c>
      <c r="E16" s="282">
        <f ca="1">OFFSET('Daily Prod Format'!F18,(ROW(A15)-1)*39, 0)</f>
        <v>0</v>
      </c>
      <c r="F16" s="282"/>
      <c r="G16" s="320">
        <f ca="1">OFFSET('Daily Prod Format'!F20, (ROW(E15)-1)*39, 0)</f>
        <v>0</v>
      </c>
      <c r="H16" s="282">
        <f ca="1">OFFSET('Daily Prod Format'!F19, (ROW(A15)-1)*39, 0)</f>
        <v>0</v>
      </c>
      <c r="I16" s="469"/>
      <c r="J16" s="469"/>
      <c r="K16" s="469"/>
      <c r="M16" s="160"/>
      <c r="N16" s="282">
        <f ca="1">(OFFSET('Daily Prod Format'!F27,(ROW(A15)-1)*39, 0))-Q16</f>
        <v>0</v>
      </c>
      <c r="O16" s="282">
        <f ca="1">OFFSET('Daily Prod Format'!F28,(ROW(A15)-1)*39, 0)</f>
        <v>0</v>
      </c>
      <c r="P16" s="282">
        <f ca="1">OFFSET('Daily Prod Format'!F29,(ROW(A15)-1)*39, 0)</f>
        <v>0</v>
      </c>
      <c r="Q16" s="282">
        <f ca="1">OFFSET('Daily Prod Format'!F34,(ROW(A15)-1)*39, 0)</f>
        <v>0</v>
      </c>
      <c r="R16" s="282">
        <f ca="1">OFFSET('Daily Prod Format'!F22,(ROW(E15)-1)*39, 0)</f>
        <v>0</v>
      </c>
      <c r="S16" s="282">
        <f ca="1">OFFSET('Daily Prod Format'!F23,(ROW(H15)-1)*39, 0)</f>
        <v>0</v>
      </c>
      <c r="T16" s="282">
        <f ca="1">OFFSET('Daily Prod Format'!F24,(ROW(G15)-1)*39, 0)</f>
        <v>0</v>
      </c>
      <c r="U16" s="580">
        <f ca="1">OFFSET('Daily Prod Format'!F21,(ROW(E15)-1)*39, 0)</f>
        <v>0</v>
      </c>
      <c r="V16" s="580">
        <f ca="1">OFFSET('Daily Prod Format'!F25,(ROW(F15)-1)*39, 0)</f>
        <v>0</v>
      </c>
      <c r="W16" s="282">
        <f ca="1">OFFSET('Daily Prod Format'!F26,(ROW(E15)-1)*39, 0)</f>
        <v>0</v>
      </c>
      <c r="Y16" s="581">
        <f t="shared" si="0"/>
        <v>46310</v>
      </c>
      <c r="Z16" s="282">
        <f ca="1">OFFSET('Daily Prod Format'!F27,(ROW(D15)-1)*39, 0)</f>
        <v>0</v>
      </c>
      <c r="AA16" s="282">
        <f ca="1">OFFSET('Daily Prod Format'!F30,(ROW(E15)-1)*39, 0)</f>
        <v>0</v>
      </c>
      <c r="AB16" s="282">
        <f ca="1">OFFSET('Daily Prod Format'!F31,(ROW(F15)-1)*39, 0)</f>
        <v>0</v>
      </c>
      <c r="AC16" s="282">
        <f ca="1">OFFSET('Daily Prod Format'!F32,(ROW(G15)-1)*39, 0)</f>
        <v>0</v>
      </c>
      <c r="AD16" s="282">
        <f ca="1">OFFSET('Daily Prod Format'!F33,(ROW(H15)-1)*39, 0)</f>
        <v>0</v>
      </c>
      <c r="AE16" s="282">
        <f ca="1">OFFSET('Daily Prod Format'!F34,(ROW(I15)-1)*39, 0)</f>
        <v>0</v>
      </c>
      <c r="AF16" s="282">
        <f ca="1">OFFSET('Daily Prod Format'!F35,(ROW(I15)-1)*39, 0)</f>
        <v>0</v>
      </c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</row>
    <row r="17" spans="1:44" ht="15" customHeight="1">
      <c r="A17" s="579">
        <v>46311</v>
      </c>
      <c r="B17" s="282"/>
      <c r="C17" s="282"/>
      <c r="D17" s="282">
        <f t="shared" si="1"/>
        <v>0</v>
      </c>
      <c r="E17" s="282">
        <f ca="1">OFFSET('Daily Prod Format'!F19,(ROW(A16)-1)*39, 0)</f>
        <v>0</v>
      </c>
      <c r="F17" s="282"/>
      <c r="G17" s="320">
        <f ca="1">OFFSET('Daily Prod Format'!F21, (ROW(E16)-1)*39, 0)</f>
        <v>0</v>
      </c>
      <c r="H17" s="282">
        <f ca="1">OFFSET('Daily Prod Format'!F20, (ROW(A16)-1)*39, 0)</f>
        <v>0</v>
      </c>
      <c r="I17" s="469"/>
      <c r="J17" s="469"/>
      <c r="K17" s="469"/>
      <c r="M17" s="160"/>
      <c r="N17" s="282">
        <f ca="1">(OFFSET('Daily Prod Format'!F28,(ROW(A16)-1)*39, 0))-Q17</f>
        <v>0</v>
      </c>
      <c r="O17" s="282">
        <f ca="1">OFFSET('Daily Prod Format'!F29,(ROW(A16)-1)*39, 0)</f>
        <v>0</v>
      </c>
      <c r="P17" s="282">
        <f ca="1">OFFSET('Daily Prod Format'!F30,(ROW(A16)-1)*39, 0)</f>
        <v>0</v>
      </c>
      <c r="Q17" s="282">
        <f ca="1">OFFSET('Daily Prod Format'!F35,(ROW(A16)-1)*39, 0)</f>
        <v>0</v>
      </c>
      <c r="R17" s="282">
        <f ca="1">OFFSET('Daily Prod Format'!F23,(ROW(E16)-1)*39, 0)</f>
        <v>0</v>
      </c>
      <c r="S17" s="282">
        <f ca="1">OFFSET('Daily Prod Format'!F24,(ROW(H16)-1)*39, 0)</f>
        <v>0</v>
      </c>
      <c r="T17" s="282">
        <f ca="1">OFFSET('Daily Prod Format'!F25,(ROW(G16)-1)*39, 0)</f>
        <v>0</v>
      </c>
      <c r="U17" s="580">
        <f ca="1">OFFSET('Daily Prod Format'!F22,(ROW(E16)-1)*39, 0)</f>
        <v>0</v>
      </c>
      <c r="V17" s="580">
        <f ca="1">OFFSET('Daily Prod Format'!F26,(ROW(F16)-1)*39, 0)</f>
        <v>0</v>
      </c>
      <c r="W17" s="282">
        <f ca="1">OFFSET('Daily Prod Format'!F27,(ROW(E16)-1)*39, 0)</f>
        <v>0</v>
      </c>
      <c r="Y17" s="581">
        <f t="shared" si="0"/>
        <v>46311</v>
      </c>
      <c r="Z17" s="282">
        <f ca="1">OFFSET('Daily Prod Format'!F28,(ROW(D16)-1)*39, 0)</f>
        <v>0</v>
      </c>
      <c r="AA17" s="282">
        <f ca="1">OFFSET('Daily Prod Format'!F31,(ROW(E16)-1)*39, 0)</f>
        <v>0</v>
      </c>
      <c r="AB17" s="282">
        <f ca="1">OFFSET('Daily Prod Format'!F32,(ROW(F16)-1)*39, 0)</f>
        <v>0</v>
      </c>
      <c r="AC17" s="282">
        <f ca="1">OFFSET('Daily Prod Format'!F33,(ROW(G16)-1)*39, 0)</f>
        <v>0</v>
      </c>
      <c r="AD17" s="282">
        <f ca="1">OFFSET('Daily Prod Format'!F34,(ROW(H16)-1)*39, 0)</f>
        <v>0</v>
      </c>
      <c r="AE17" s="282">
        <f ca="1">OFFSET('Daily Prod Format'!F35,(ROW(I16)-1)*39, 0)</f>
        <v>0</v>
      </c>
      <c r="AF17" s="282">
        <f ca="1">OFFSET('Daily Prod Format'!F36,(ROW(I16)-1)*39, 0)</f>
        <v>0</v>
      </c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</row>
    <row r="18" spans="1:44" ht="15" customHeight="1">
      <c r="A18" s="579">
        <v>46312</v>
      </c>
      <c r="B18" s="282"/>
      <c r="C18" s="282"/>
      <c r="D18" s="282">
        <f t="shared" si="1"/>
        <v>0</v>
      </c>
      <c r="E18" s="282">
        <f ca="1">OFFSET('Daily Prod Format'!F20,(ROW(A17)-1)*39, 0)</f>
        <v>0</v>
      </c>
      <c r="F18" s="282"/>
      <c r="G18" s="320">
        <f ca="1">OFFSET('Daily Prod Format'!F22, (ROW(E17)-1)*39, 0)</f>
        <v>0</v>
      </c>
      <c r="H18" s="282">
        <f ca="1">OFFSET('Daily Prod Format'!F21, (ROW(A17)-1)*39, 0)</f>
        <v>0</v>
      </c>
      <c r="I18" s="469"/>
      <c r="J18" s="469"/>
      <c r="K18" s="469"/>
      <c r="M18" s="160"/>
      <c r="N18" s="282">
        <f ca="1">(OFFSET('Daily Prod Format'!F29,(ROW(A17)-1)*39, 0))-Q18</f>
        <v>0</v>
      </c>
      <c r="O18" s="282">
        <f ca="1">OFFSET('Daily Prod Format'!F30,(ROW(A17)-1)*39, 0)</f>
        <v>0</v>
      </c>
      <c r="P18" s="282">
        <f ca="1">OFFSET('Daily Prod Format'!F31,(ROW(A17)-1)*39, 0)</f>
        <v>0</v>
      </c>
      <c r="Q18" s="282">
        <f ca="1">OFFSET('Daily Prod Format'!F36,(ROW(A17)-1)*39, 0)</f>
        <v>0</v>
      </c>
      <c r="R18" s="282">
        <f ca="1">OFFSET('Daily Prod Format'!F24,(ROW(E17)-1)*39, 0)</f>
        <v>0</v>
      </c>
      <c r="S18" s="282">
        <f ca="1">OFFSET('Daily Prod Format'!F25,(ROW(H17)-1)*39, 0)</f>
        <v>0</v>
      </c>
      <c r="T18" s="282">
        <f ca="1">OFFSET('Daily Prod Format'!F26,(ROW(G17)-1)*39, 0)</f>
        <v>0</v>
      </c>
      <c r="U18" s="580">
        <f ca="1">OFFSET('Daily Prod Format'!F23,(ROW(E17)-1)*39, 0)</f>
        <v>0</v>
      </c>
      <c r="V18" s="580">
        <f ca="1">OFFSET('Daily Prod Format'!F27,(ROW(F17)-1)*39, 0)</f>
        <v>0</v>
      </c>
      <c r="W18" s="282">
        <f ca="1">OFFSET('Daily Prod Format'!F28,(ROW(E17)-1)*39, 0)</f>
        <v>0</v>
      </c>
      <c r="Y18" s="581">
        <f t="shared" si="0"/>
        <v>46312</v>
      </c>
      <c r="Z18" s="282">
        <f ca="1">OFFSET('Daily Prod Format'!F29,(ROW(D17)-1)*39, 0)</f>
        <v>0</v>
      </c>
      <c r="AA18" s="282">
        <f ca="1">OFFSET('Daily Prod Format'!F32,(ROW(E17)-1)*39, 0)</f>
        <v>0</v>
      </c>
      <c r="AB18" s="282">
        <f ca="1">OFFSET('Daily Prod Format'!F33,(ROW(F17)-1)*39, 0)</f>
        <v>0</v>
      </c>
      <c r="AC18" s="282">
        <f ca="1">OFFSET('Daily Prod Format'!F34,(ROW(G17)-1)*39, 0)</f>
        <v>0</v>
      </c>
      <c r="AD18" s="282">
        <f ca="1">OFFSET('Daily Prod Format'!F35,(ROW(H17)-1)*39, 0)</f>
        <v>0</v>
      </c>
      <c r="AE18" s="282">
        <f ca="1">OFFSET('Daily Prod Format'!F36,(ROW(I17)-1)*39, 0)</f>
        <v>0</v>
      </c>
      <c r="AF18" s="282">
        <f ca="1">OFFSET('Daily Prod Format'!F37,(ROW(I17)-1)*39, 0)</f>
        <v>0</v>
      </c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</row>
    <row r="19" spans="1:44" ht="15" customHeight="1">
      <c r="A19" s="579">
        <v>46313</v>
      </c>
      <c r="B19" s="282"/>
      <c r="C19" s="282"/>
      <c r="D19" s="282">
        <f t="shared" si="1"/>
        <v>0</v>
      </c>
      <c r="E19" s="282">
        <f ca="1">OFFSET('Daily Prod Format'!F21,(ROW(A18)-1)*39, 0)</f>
        <v>0</v>
      </c>
      <c r="F19" s="282"/>
      <c r="G19" s="320">
        <f ca="1">OFFSET('Daily Prod Format'!F23, (ROW(E18)-1)*39, 0)</f>
        <v>0</v>
      </c>
      <c r="H19" s="282">
        <f ca="1">OFFSET('Daily Prod Format'!F22, (ROW(A18)-1)*39, 0)</f>
        <v>0</v>
      </c>
      <c r="I19" s="469"/>
      <c r="J19" s="469"/>
      <c r="K19" s="469"/>
      <c r="M19" s="160"/>
      <c r="N19" s="282">
        <f ca="1">(OFFSET('Daily Prod Format'!F30,(ROW(A18)-1)*39, 0))-Q19</f>
        <v>0</v>
      </c>
      <c r="O19" s="282">
        <f ca="1">OFFSET('Daily Prod Format'!F31,(ROW(A18)-1)*39, 0)</f>
        <v>0</v>
      </c>
      <c r="P19" s="282">
        <f ca="1">OFFSET('Daily Prod Format'!F32,(ROW(A18)-1)*39, 0)</f>
        <v>0</v>
      </c>
      <c r="Q19" s="282">
        <f ca="1">OFFSET('Daily Prod Format'!F37,(ROW(A18)-1)*39, 0)</f>
        <v>0</v>
      </c>
      <c r="R19" s="282">
        <f ca="1">OFFSET('Daily Prod Format'!F25,(ROW(E18)-1)*39, 0)</f>
        <v>0</v>
      </c>
      <c r="S19" s="282">
        <f ca="1">OFFSET('Daily Prod Format'!F26,(ROW(H18)-1)*39, 0)</f>
        <v>0</v>
      </c>
      <c r="T19" s="282">
        <f ca="1">OFFSET('Daily Prod Format'!F27,(ROW(G18)-1)*39, 0)</f>
        <v>0</v>
      </c>
      <c r="U19" s="580">
        <f ca="1">OFFSET('Daily Prod Format'!F24,(ROW(E18)-1)*39, 0)</f>
        <v>0</v>
      </c>
      <c r="V19" s="580">
        <f ca="1">OFFSET('Daily Prod Format'!F28,(ROW(F18)-1)*39, 0)</f>
        <v>0</v>
      </c>
      <c r="W19" s="282">
        <f ca="1">OFFSET('Daily Prod Format'!F29,(ROW(E18)-1)*39, 0)</f>
        <v>0</v>
      </c>
      <c r="Y19" s="581">
        <f t="shared" si="0"/>
        <v>46313</v>
      </c>
      <c r="Z19" s="282">
        <f ca="1">OFFSET('Daily Prod Format'!F30,(ROW(D18)-1)*39, 0)</f>
        <v>0</v>
      </c>
      <c r="AA19" s="282">
        <f ca="1">OFFSET('Daily Prod Format'!F33,(ROW(E18)-1)*39, 0)</f>
        <v>0</v>
      </c>
      <c r="AB19" s="282">
        <f ca="1">OFFSET('Daily Prod Format'!F34,(ROW(F18)-1)*39, 0)</f>
        <v>0</v>
      </c>
      <c r="AC19" s="282">
        <f ca="1">OFFSET('Daily Prod Format'!F35,(ROW(G18)-1)*39, 0)</f>
        <v>0</v>
      </c>
      <c r="AD19" s="282">
        <f ca="1">OFFSET('Daily Prod Format'!F36,(ROW(H18)-1)*39, 0)</f>
        <v>0</v>
      </c>
      <c r="AE19" s="282">
        <f ca="1">OFFSET('Daily Prod Format'!F37,(ROW(I18)-1)*39, 0)</f>
        <v>0</v>
      </c>
      <c r="AF19" s="282">
        <f ca="1">OFFSET('Daily Prod Format'!F38,(ROW(I18)-1)*39, 0)</f>
        <v>0</v>
      </c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</row>
    <row r="20" spans="1:44" ht="15" customHeight="1">
      <c r="A20" s="579">
        <v>46314</v>
      </c>
      <c r="B20" s="282"/>
      <c r="C20" s="282"/>
      <c r="D20" s="282">
        <f t="shared" si="1"/>
        <v>0</v>
      </c>
      <c r="E20" s="282">
        <f ca="1">OFFSET('Daily Prod Format'!F22,(ROW(A19)-1)*39, 0)</f>
        <v>0</v>
      </c>
      <c r="F20" s="282"/>
      <c r="G20" s="320">
        <f ca="1">OFFSET('Daily Prod Format'!F24, (ROW(E19)-1)*39, 0)</f>
        <v>0</v>
      </c>
      <c r="H20" s="282">
        <f ca="1">OFFSET('Daily Prod Format'!F23, (ROW(A19)-1)*39, 0)</f>
        <v>0</v>
      </c>
      <c r="I20" s="469"/>
      <c r="J20" s="469"/>
      <c r="K20" s="469"/>
      <c r="M20" s="160"/>
      <c r="N20" s="282">
        <f ca="1">(OFFSET('Daily Prod Format'!F31,(ROW(A19)-1)*39, 0))-Q20</f>
        <v>0</v>
      </c>
      <c r="O20" s="282">
        <f ca="1">OFFSET('Daily Prod Format'!F32,(ROW(A19)-1)*39, 0)</f>
        <v>0</v>
      </c>
      <c r="P20" s="282">
        <f ca="1">OFFSET('Daily Prod Format'!F33,(ROW(A19)-1)*39, 0)</f>
        <v>0</v>
      </c>
      <c r="Q20" s="282">
        <f ca="1">OFFSET('Daily Prod Format'!F38,(ROW(A19)-1)*39, 0)</f>
        <v>0</v>
      </c>
      <c r="R20" s="282">
        <f ca="1">OFFSET('Daily Prod Format'!F26,(ROW(E19)-1)*39, 0)</f>
        <v>0</v>
      </c>
      <c r="S20" s="282">
        <f ca="1">OFFSET('Daily Prod Format'!F27,(ROW(H19)-1)*39, 0)</f>
        <v>0</v>
      </c>
      <c r="T20" s="282">
        <f ca="1">OFFSET('Daily Prod Format'!F28,(ROW(G19)-1)*39, 0)</f>
        <v>0</v>
      </c>
      <c r="U20" s="580">
        <f ca="1">OFFSET('Daily Prod Format'!F25,(ROW(E19)-1)*39, 0)</f>
        <v>0</v>
      </c>
      <c r="V20" s="580">
        <f ca="1">OFFSET('Daily Prod Format'!F29,(ROW(F19)-1)*39, 0)</f>
        <v>0</v>
      </c>
      <c r="W20" s="282">
        <f ca="1">OFFSET('Daily Prod Format'!F30,(ROW(E19)-1)*39, 0)</f>
        <v>0</v>
      </c>
      <c r="Y20" s="581">
        <f t="shared" si="0"/>
        <v>46314</v>
      </c>
      <c r="Z20" s="282">
        <f ca="1">OFFSET('Daily Prod Format'!F31,(ROW(D19)-1)*39, 0)</f>
        <v>0</v>
      </c>
      <c r="AA20" s="282">
        <f ca="1">OFFSET('Daily Prod Format'!F34,(ROW(E19)-1)*39, 0)</f>
        <v>0</v>
      </c>
      <c r="AB20" s="282">
        <f ca="1">OFFSET('Daily Prod Format'!F35,(ROW(F19)-1)*39, 0)</f>
        <v>0</v>
      </c>
      <c r="AC20" s="282">
        <f ca="1">OFFSET('Daily Prod Format'!F36,(ROW(G19)-1)*39, 0)</f>
        <v>0</v>
      </c>
      <c r="AD20" s="282">
        <f ca="1">OFFSET('Daily Prod Format'!F37,(ROW(H19)-1)*39, 0)</f>
        <v>0</v>
      </c>
      <c r="AE20" s="282">
        <f ca="1">OFFSET('Daily Prod Format'!F38,(ROW(I19)-1)*39, 0)</f>
        <v>0</v>
      </c>
      <c r="AF20" s="282">
        <f ca="1">OFFSET('Daily Prod Format'!F39,(ROW(I19)-1)*39, 0)</f>
        <v>0</v>
      </c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</row>
    <row r="21" spans="1:44" ht="15" customHeight="1">
      <c r="A21" s="579">
        <v>46315</v>
      </c>
      <c r="B21" s="282"/>
      <c r="C21" s="282"/>
      <c r="D21" s="282">
        <f t="shared" si="1"/>
        <v>0</v>
      </c>
      <c r="E21" s="282">
        <f ca="1">OFFSET('Daily Prod Format'!F23,(ROW(A20)-1)*39, 0)</f>
        <v>0</v>
      </c>
      <c r="F21" s="282"/>
      <c r="G21" s="320">
        <f ca="1">OFFSET('Daily Prod Format'!F25, (ROW(E20)-1)*39, 0)</f>
        <v>0</v>
      </c>
      <c r="H21" s="282">
        <f ca="1">OFFSET('Daily Prod Format'!F24, (ROW(A20)-1)*39, 0)</f>
        <v>0</v>
      </c>
      <c r="I21" s="469"/>
      <c r="J21" s="469"/>
      <c r="K21" s="469"/>
      <c r="M21" s="160"/>
      <c r="N21" s="282">
        <f ca="1">(OFFSET('Daily Prod Format'!F32,(ROW(A20)-1)*39, 0))-Q21</f>
        <v>0</v>
      </c>
      <c r="O21" s="282">
        <f ca="1">OFFSET('Daily Prod Format'!F33,(ROW(A20)-1)*39, 0)</f>
        <v>0</v>
      </c>
      <c r="P21" s="282">
        <f ca="1">OFFSET('Daily Prod Format'!F34,(ROW(A20)-1)*39, 0)</f>
        <v>0</v>
      </c>
      <c r="Q21" s="282">
        <f ca="1">OFFSET('Daily Prod Format'!F39,(ROW(A20)-1)*39, 0)</f>
        <v>0</v>
      </c>
      <c r="R21" s="282">
        <f ca="1">OFFSET('Daily Prod Format'!F27,(ROW(E20)-1)*39, 0)</f>
        <v>0</v>
      </c>
      <c r="S21" s="282">
        <f ca="1">OFFSET('Daily Prod Format'!F28,(ROW(H20)-1)*39, 0)</f>
        <v>0</v>
      </c>
      <c r="T21" s="282">
        <f ca="1">OFFSET('Daily Prod Format'!F29,(ROW(G20)-1)*39, 0)</f>
        <v>0</v>
      </c>
      <c r="U21" s="580">
        <f ca="1">OFFSET('Daily Prod Format'!F26,(ROW(E20)-1)*39, 0)</f>
        <v>0</v>
      </c>
      <c r="V21" s="580">
        <f ca="1">OFFSET('Daily Prod Format'!F30,(ROW(F20)-1)*39, 0)</f>
        <v>0</v>
      </c>
      <c r="W21" s="282">
        <f ca="1">OFFSET('Daily Prod Format'!F31,(ROW(E20)-1)*39, 0)</f>
        <v>0</v>
      </c>
      <c r="Y21" s="581">
        <f t="shared" si="0"/>
        <v>46315</v>
      </c>
      <c r="Z21" s="282">
        <f ca="1">OFFSET('Daily Prod Format'!F32,(ROW(D20)-1)*39, 0)</f>
        <v>0</v>
      </c>
      <c r="AA21" s="282">
        <f ca="1">OFFSET('Daily Prod Format'!F35,(ROW(E20)-1)*39, 0)</f>
        <v>0</v>
      </c>
      <c r="AB21" s="282">
        <f ca="1">OFFSET('Daily Prod Format'!F36,(ROW(F20)-1)*39, 0)</f>
        <v>0</v>
      </c>
      <c r="AC21" s="282">
        <f ca="1">OFFSET('Daily Prod Format'!F37,(ROW(G20)-1)*39, 0)</f>
        <v>0</v>
      </c>
      <c r="AD21" s="282">
        <f ca="1">OFFSET('Daily Prod Format'!F38,(ROW(H20)-1)*39, 0)</f>
        <v>0</v>
      </c>
      <c r="AE21" s="282">
        <f ca="1">OFFSET('Daily Prod Format'!F39,(ROW(I20)-1)*39, 0)</f>
        <v>0</v>
      </c>
      <c r="AF21" s="282">
        <f ca="1">OFFSET('Daily Prod Format'!F40,(ROW(I20)-1)*39, 0)</f>
        <v>0</v>
      </c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</row>
    <row r="22" spans="1:44" ht="15" customHeight="1">
      <c r="A22" s="579">
        <v>46316</v>
      </c>
      <c r="B22" s="282"/>
      <c r="C22" s="282"/>
      <c r="D22" s="282">
        <f t="shared" si="1"/>
        <v>0</v>
      </c>
      <c r="E22" s="282">
        <f ca="1">OFFSET('Daily Prod Format'!F24,(ROW(A21)-1)*39, 0)</f>
        <v>0</v>
      </c>
      <c r="F22" s="282"/>
      <c r="G22" s="320">
        <f ca="1">OFFSET('Daily Prod Format'!F26, (ROW(E21)-1)*39, 0)</f>
        <v>0</v>
      </c>
      <c r="H22" s="282">
        <f ca="1">OFFSET('Daily Prod Format'!F25, (ROW(A21)-1)*39, 0)</f>
        <v>0</v>
      </c>
      <c r="I22" s="469"/>
      <c r="J22" s="469"/>
      <c r="K22" s="469"/>
      <c r="M22" s="160"/>
      <c r="N22" s="282">
        <f ca="1">(OFFSET('Daily Prod Format'!F33,(ROW(A21)-1)*39, 0))-Q22</f>
        <v>0</v>
      </c>
      <c r="O22" s="282">
        <f ca="1">OFFSET('Daily Prod Format'!F34,(ROW(A21)-1)*39, 0)</f>
        <v>0</v>
      </c>
      <c r="P22" s="282">
        <f ca="1">OFFSET('Daily Prod Format'!F35,(ROW(A21)-1)*39, 0)</f>
        <v>0</v>
      </c>
      <c r="Q22" s="282">
        <f ca="1">OFFSET('Daily Prod Format'!F40,(ROW(A21)-1)*39, 0)</f>
        <v>0</v>
      </c>
      <c r="R22" s="282">
        <f ca="1">OFFSET('Daily Prod Format'!F28,(ROW(E21)-1)*39, 0)</f>
        <v>0</v>
      </c>
      <c r="S22" s="282">
        <f ca="1">OFFSET('Daily Prod Format'!F29,(ROW(H21)-1)*39, 0)</f>
        <v>0</v>
      </c>
      <c r="T22" s="282">
        <f ca="1">OFFSET('Daily Prod Format'!F30,(ROW(G21)-1)*39, 0)</f>
        <v>0</v>
      </c>
      <c r="U22" s="580">
        <f ca="1">OFFSET('Daily Prod Format'!F27,(ROW(E21)-1)*39, 0)</f>
        <v>0</v>
      </c>
      <c r="V22" s="580">
        <f ca="1">OFFSET('Daily Prod Format'!F31,(ROW(F21)-1)*39, 0)</f>
        <v>0</v>
      </c>
      <c r="W22" s="282">
        <f ca="1">OFFSET('Daily Prod Format'!F32,(ROW(E21)-1)*39, 0)</f>
        <v>0</v>
      </c>
      <c r="X22" s="160"/>
      <c r="Y22" s="581">
        <f t="shared" si="0"/>
        <v>46316</v>
      </c>
      <c r="Z22" s="282">
        <f ca="1">OFFSET('Daily Prod Format'!F33,(ROW(D21)-1)*39, 0)</f>
        <v>0</v>
      </c>
      <c r="AA22" s="282">
        <f ca="1">OFFSET('Daily Prod Format'!F36,(ROW(E21)-1)*39, 0)</f>
        <v>0</v>
      </c>
      <c r="AB22" s="282">
        <f ca="1">OFFSET('Daily Prod Format'!F37,(ROW(F21)-1)*39, 0)</f>
        <v>0</v>
      </c>
      <c r="AC22" s="282">
        <f ca="1">OFFSET('Daily Prod Format'!F38,(ROW(G21)-1)*39, 0)</f>
        <v>0</v>
      </c>
      <c r="AD22" s="282">
        <f ca="1">OFFSET('Daily Prod Format'!F39,(ROW(H21)-1)*39, 0)</f>
        <v>0</v>
      </c>
      <c r="AE22" s="282">
        <f ca="1">OFFSET('Daily Prod Format'!F40,(ROW(I21)-1)*39, 0)</f>
        <v>0</v>
      </c>
      <c r="AF22" s="282">
        <f ca="1">OFFSET('Daily Prod Format'!F41,(ROW(I21)-1)*39, 0)</f>
        <v>0</v>
      </c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</row>
    <row r="23" spans="1:44" ht="15" customHeight="1">
      <c r="A23" s="579">
        <v>46317</v>
      </c>
      <c r="B23" s="282"/>
      <c r="C23" s="282"/>
      <c r="D23" s="282">
        <f t="shared" si="1"/>
        <v>0</v>
      </c>
      <c r="E23" s="282">
        <f ca="1">OFFSET('Daily Prod Format'!F25,(ROW(A22)-1)*39, 0)</f>
        <v>0</v>
      </c>
      <c r="F23" s="282"/>
      <c r="G23" s="320">
        <f ca="1">OFFSET('Daily Prod Format'!F27, (ROW(E22)-1)*39, 0)</f>
        <v>0</v>
      </c>
      <c r="H23" s="282">
        <f ca="1">OFFSET('Daily Prod Format'!F26, (ROW(A22)-1)*39, 0)</f>
        <v>0</v>
      </c>
      <c r="I23" s="469"/>
      <c r="J23" s="469"/>
      <c r="K23" s="469"/>
      <c r="M23" s="160"/>
      <c r="N23" s="282">
        <f ca="1">(OFFSET('Daily Prod Format'!F34,(ROW(A22)-1)*39, 0))-Q23</f>
        <v>0</v>
      </c>
      <c r="O23" s="282">
        <f ca="1">OFFSET('Daily Prod Format'!F35,(ROW(A22)-1)*39, 0)</f>
        <v>0</v>
      </c>
      <c r="P23" s="282">
        <f ca="1">OFFSET('Daily Prod Format'!F36,(ROW(A22)-1)*39, 0)</f>
        <v>0</v>
      </c>
      <c r="Q23" s="282">
        <f ca="1">OFFSET('Daily Prod Format'!F41,(ROW(A22)-1)*39, 0)</f>
        <v>0</v>
      </c>
      <c r="R23" s="282">
        <f ca="1">OFFSET('Daily Prod Format'!F29,(ROW(E22)-1)*39, 0)</f>
        <v>0</v>
      </c>
      <c r="S23" s="282">
        <f ca="1">OFFSET('Daily Prod Format'!F30,(ROW(H22)-1)*39, 0)</f>
        <v>0</v>
      </c>
      <c r="T23" s="282">
        <f ca="1">OFFSET('Daily Prod Format'!F31,(ROW(G22)-1)*39, 0)</f>
        <v>0</v>
      </c>
      <c r="U23" s="580">
        <f ca="1">OFFSET('Daily Prod Format'!F28,(ROW(E22)-1)*39, 0)</f>
        <v>0</v>
      </c>
      <c r="V23" s="580">
        <f ca="1">OFFSET('Daily Prod Format'!F32,(ROW(F22)-1)*39, 0)</f>
        <v>0</v>
      </c>
      <c r="W23" s="282">
        <f ca="1">OFFSET('Daily Prod Format'!F33,(ROW(E22)-1)*39, 0)</f>
        <v>0</v>
      </c>
      <c r="X23" s="160"/>
      <c r="Y23" s="581">
        <f t="shared" si="0"/>
        <v>46317</v>
      </c>
      <c r="Z23" s="282">
        <f ca="1">OFFSET('Daily Prod Format'!F34,(ROW(D22)-1)*39, 0)</f>
        <v>0</v>
      </c>
      <c r="AA23" s="282">
        <f ca="1">OFFSET('Daily Prod Format'!F37,(ROW(E22)-1)*39, 0)</f>
        <v>0</v>
      </c>
      <c r="AB23" s="282">
        <f ca="1">OFFSET('Daily Prod Format'!F38,(ROW(F22)-1)*39, 0)</f>
        <v>0</v>
      </c>
      <c r="AC23" s="282">
        <f ca="1">OFFSET('Daily Prod Format'!F39,(ROW(G22)-1)*39, 0)</f>
        <v>0</v>
      </c>
      <c r="AD23" s="282">
        <f ca="1">OFFSET('Daily Prod Format'!F40,(ROW(H22)-1)*39, 0)</f>
        <v>0</v>
      </c>
      <c r="AE23" s="282">
        <f ca="1">OFFSET('Daily Prod Format'!F41,(ROW(I22)-1)*39, 0)</f>
        <v>0</v>
      </c>
      <c r="AF23" s="282">
        <f ca="1">OFFSET('Daily Prod Format'!F42,(ROW(I22)-1)*39, 0)</f>
        <v>0</v>
      </c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</row>
    <row r="24" spans="1:44" ht="15" customHeight="1">
      <c r="A24" s="579">
        <v>46318</v>
      </c>
      <c r="B24" s="282"/>
      <c r="C24" s="282"/>
      <c r="D24" s="282">
        <f t="shared" si="1"/>
        <v>0</v>
      </c>
      <c r="E24" s="282">
        <f ca="1">OFFSET('Daily Prod Format'!F26,(ROW(A23)-1)*39, 0)</f>
        <v>0</v>
      </c>
      <c r="F24" s="282"/>
      <c r="G24" s="320">
        <f ca="1">OFFSET('Daily Prod Format'!F28, (ROW(E23)-1)*39, 0)</f>
        <v>0</v>
      </c>
      <c r="H24" s="282">
        <f ca="1">OFFSET('Daily Prod Format'!F27, (ROW(A23)-1)*39, 0)</f>
        <v>0</v>
      </c>
      <c r="I24" s="469"/>
      <c r="J24" s="469"/>
      <c r="K24" s="469"/>
      <c r="M24" s="160"/>
      <c r="N24" s="282">
        <f ca="1">(OFFSET('Daily Prod Format'!F35,(ROW(A23)-1)*39, 0))-Q24</f>
        <v>0</v>
      </c>
      <c r="O24" s="282">
        <f ca="1">OFFSET('Daily Prod Format'!F36,(ROW(A23)-1)*39, 0)</f>
        <v>0</v>
      </c>
      <c r="P24" s="282">
        <f ca="1">OFFSET('Daily Prod Format'!F37,(ROW(A23)-1)*39, 0)</f>
        <v>0</v>
      </c>
      <c r="Q24" s="282">
        <f ca="1">OFFSET('Daily Prod Format'!F42,(ROW(A23)-1)*39, 0)</f>
        <v>0</v>
      </c>
      <c r="R24" s="282">
        <f ca="1">OFFSET('Daily Prod Format'!F30,(ROW(E23)-1)*39, 0)</f>
        <v>0</v>
      </c>
      <c r="S24" s="282">
        <f ca="1">OFFSET('Daily Prod Format'!F31,(ROW(H23)-1)*39, 0)</f>
        <v>0</v>
      </c>
      <c r="T24" s="282">
        <f ca="1">OFFSET('Daily Prod Format'!F32,(ROW(G23)-1)*39, 0)</f>
        <v>0</v>
      </c>
      <c r="U24" s="580">
        <f ca="1">OFFSET('Daily Prod Format'!F29,(ROW(E23)-1)*39, 0)</f>
        <v>0</v>
      </c>
      <c r="V24" s="580">
        <f ca="1">OFFSET('Daily Prod Format'!F33,(ROW(F23)-1)*39, 0)</f>
        <v>0</v>
      </c>
      <c r="W24" s="282">
        <f ca="1">OFFSET('Daily Prod Format'!F34,(ROW(E23)-1)*39, 0)</f>
        <v>0</v>
      </c>
      <c r="X24" s="160"/>
      <c r="Y24" s="581">
        <f t="shared" si="0"/>
        <v>46318</v>
      </c>
      <c r="Z24" s="282">
        <f ca="1">OFFSET('Daily Prod Format'!F35,(ROW(D23)-1)*39, 0)</f>
        <v>0</v>
      </c>
      <c r="AA24" s="282">
        <f ca="1">OFFSET('Daily Prod Format'!F38,(ROW(E23)-1)*39, 0)</f>
        <v>0</v>
      </c>
      <c r="AB24" s="282">
        <f ca="1">OFFSET('Daily Prod Format'!F39,(ROW(F23)-1)*39, 0)</f>
        <v>0</v>
      </c>
      <c r="AC24" s="282">
        <f ca="1">OFFSET('Daily Prod Format'!F40,(ROW(G23)-1)*39, 0)</f>
        <v>0</v>
      </c>
      <c r="AD24" s="282">
        <f ca="1">OFFSET('Daily Prod Format'!F41,(ROW(H23)-1)*39, 0)</f>
        <v>0</v>
      </c>
      <c r="AE24" s="282">
        <f ca="1">OFFSET('Daily Prod Format'!F42,(ROW(I23)-1)*39, 0)</f>
        <v>0</v>
      </c>
      <c r="AF24" s="282">
        <f ca="1">OFFSET('Daily Prod Format'!F43,(ROW(I23)-1)*39, 0)</f>
        <v>0</v>
      </c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</row>
    <row r="25" spans="1:44" ht="15" customHeight="1">
      <c r="A25" s="579">
        <v>46319</v>
      </c>
      <c r="B25" s="282"/>
      <c r="C25" s="282"/>
      <c r="D25" s="282">
        <f t="shared" si="1"/>
        <v>0</v>
      </c>
      <c r="E25" s="282">
        <f ca="1">OFFSET('Daily Prod Format'!F27,(ROW(A24)-1)*39, 0)</f>
        <v>0</v>
      </c>
      <c r="F25" s="282"/>
      <c r="G25" s="320">
        <f ca="1">OFFSET('Daily Prod Format'!F29, (ROW(E24)-1)*39, 0)</f>
        <v>0</v>
      </c>
      <c r="H25" s="282">
        <f ca="1">OFFSET('Daily Prod Format'!F28, (ROW(A24)-1)*39, 0)</f>
        <v>0</v>
      </c>
      <c r="I25" s="469"/>
      <c r="J25" s="469"/>
      <c r="K25" s="469"/>
      <c r="M25" s="160"/>
      <c r="N25" s="282">
        <f ca="1">(OFFSET('Daily Prod Format'!F36,(ROW(A24)-1)*39, 0))-Q25</f>
        <v>0</v>
      </c>
      <c r="O25" s="282">
        <f ca="1">OFFSET('Daily Prod Format'!F37,(ROW(A24)-1)*39, 0)</f>
        <v>0</v>
      </c>
      <c r="P25" s="282">
        <f ca="1">OFFSET('Daily Prod Format'!F38,(ROW(A24)-1)*39, 0)</f>
        <v>0</v>
      </c>
      <c r="Q25" s="282">
        <f ca="1">OFFSET('Daily Prod Format'!F43,(ROW(A24)-1)*39, 0)</f>
        <v>0</v>
      </c>
      <c r="R25" s="282">
        <f ca="1">OFFSET('Daily Prod Format'!F31,(ROW(E24)-1)*39, 0)</f>
        <v>0</v>
      </c>
      <c r="S25" s="282">
        <f ca="1">OFFSET('Daily Prod Format'!F32,(ROW(H24)-1)*39, 0)</f>
        <v>0</v>
      </c>
      <c r="T25" s="282">
        <f ca="1">OFFSET('Daily Prod Format'!F33,(ROW(G24)-1)*39, 0)</f>
        <v>0</v>
      </c>
      <c r="U25" s="580">
        <f ca="1">OFFSET('Daily Prod Format'!F30,(ROW(E24)-1)*39, 0)</f>
        <v>0</v>
      </c>
      <c r="V25" s="580">
        <f ca="1">OFFSET('Daily Prod Format'!F34,(ROW(F24)-1)*39, 0)</f>
        <v>0</v>
      </c>
      <c r="W25" s="282">
        <f ca="1">OFFSET('Daily Prod Format'!F35,(ROW(E24)-1)*39, 0)</f>
        <v>0</v>
      </c>
      <c r="X25" s="160"/>
      <c r="Y25" s="581">
        <f t="shared" si="0"/>
        <v>46319</v>
      </c>
      <c r="Z25" s="282">
        <f ca="1">OFFSET('Daily Prod Format'!F36,(ROW(D24)-1)*39, 0)</f>
        <v>0</v>
      </c>
      <c r="AA25" s="282">
        <f ca="1">OFFSET('Daily Prod Format'!F39,(ROW(E24)-1)*39, 0)</f>
        <v>0</v>
      </c>
      <c r="AB25" s="282">
        <f ca="1">OFFSET('Daily Prod Format'!F40,(ROW(F24)-1)*39, 0)</f>
        <v>0</v>
      </c>
      <c r="AC25" s="282">
        <f ca="1">OFFSET('Daily Prod Format'!F41,(ROW(G24)-1)*39, 0)</f>
        <v>0</v>
      </c>
      <c r="AD25" s="282">
        <f ca="1">OFFSET('Daily Prod Format'!F42,(ROW(H24)-1)*39, 0)</f>
        <v>0</v>
      </c>
      <c r="AE25" s="282">
        <f ca="1">OFFSET('Daily Prod Format'!F43,(ROW(I24)-1)*39, 0)</f>
        <v>0</v>
      </c>
      <c r="AF25" s="282">
        <f ca="1">OFFSET('Daily Prod Format'!F44,(ROW(I24)-1)*39, 0)</f>
        <v>0</v>
      </c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</row>
    <row r="26" spans="1:44" ht="15" customHeight="1">
      <c r="A26" s="579">
        <v>46320</v>
      </c>
      <c r="B26" s="282"/>
      <c r="C26" s="282"/>
      <c r="D26" s="282">
        <f t="shared" si="1"/>
        <v>0</v>
      </c>
      <c r="E26" s="282">
        <f ca="1">OFFSET('Daily Prod Format'!F28,(ROW(A25)-1)*39, 0)</f>
        <v>0</v>
      </c>
      <c r="F26" s="282"/>
      <c r="G26" s="320">
        <f ca="1">OFFSET('Daily Prod Format'!F30, (ROW(E25)-1)*39, 0)</f>
        <v>0</v>
      </c>
      <c r="H26" s="282">
        <f ca="1">OFFSET('Daily Prod Format'!F29, (ROW(A25)-1)*39, 0)</f>
        <v>0</v>
      </c>
      <c r="I26" s="469"/>
      <c r="J26" s="469"/>
      <c r="K26" s="469"/>
      <c r="M26" s="160"/>
      <c r="N26" s="282">
        <f ca="1">(OFFSET('Daily Prod Format'!F37,(ROW(A25)-1)*39, 0))-Q26</f>
        <v>0</v>
      </c>
      <c r="O26" s="282">
        <f ca="1">OFFSET('Daily Prod Format'!F38,(ROW(A25)-1)*39, 0)</f>
        <v>0</v>
      </c>
      <c r="P26" s="282">
        <f ca="1">OFFSET('Daily Prod Format'!F39,(ROW(A25)-1)*39, 0)</f>
        <v>0</v>
      </c>
      <c r="Q26" s="282">
        <f ca="1">OFFSET('Daily Prod Format'!F44,(ROW(A25)-1)*39, 0)</f>
        <v>0</v>
      </c>
      <c r="R26" s="282">
        <f ca="1">OFFSET('Daily Prod Format'!F32,(ROW(E25)-1)*39, 0)</f>
        <v>0</v>
      </c>
      <c r="S26" s="282">
        <f ca="1">OFFSET('Daily Prod Format'!F33,(ROW(H25)-1)*39, 0)</f>
        <v>0</v>
      </c>
      <c r="T26" s="282">
        <f ca="1">OFFSET('Daily Prod Format'!F34,(ROW(G25)-1)*39, 0)</f>
        <v>0</v>
      </c>
      <c r="U26" s="580">
        <f ca="1">OFFSET('Daily Prod Format'!F31,(ROW(E25)-1)*39, 0)</f>
        <v>0</v>
      </c>
      <c r="V26" s="580">
        <f ca="1">OFFSET('Daily Prod Format'!F35,(ROW(F25)-1)*39, 0)</f>
        <v>0</v>
      </c>
      <c r="W26" s="282">
        <f ca="1">OFFSET('Daily Prod Format'!F36,(ROW(E25)-1)*39, 0)</f>
        <v>0</v>
      </c>
      <c r="X26" s="160"/>
      <c r="Y26" s="581">
        <f t="shared" si="0"/>
        <v>46320</v>
      </c>
      <c r="Z26" s="282">
        <f ca="1">OFFSET('Daily Prod Format'!F37,(ROW(D25)-1)*39, 0)</f>
        <v>0</v>
      </c>
      <c r="AA26" s="282">
        <f ca="1">OFFSET('Daily Prod Format'!F40,(ROW(E25)-1)*39, 0)</f>
        <v>0</v>
      </c>
      <c r="AB26" s="282">
        <f ca="1">OFFSET('Daily Prod Format'!F41,(ROW(F25)-1)*39, 0)</f>
        <v>0</v>
      </c>
      <c r="AC26" s="282">
        <f ca="1">OFFSET('Daily Prod Format'!F42,(ROW(G25)-1)*39, 0)</f>
        <v>0</v>
      </c>
      <c r="AD26" s="282">
        <f ca="1">OFFSET('Daily Prod Format'!F43,(ROW(H25)-1)*39, 0)</f>
        <v>0</v>
      </c>
      <c r="AE26" s="282">
        <f ca="1">OFFSET('Daily Prod Format'!F44,(ROW(I25)-1)*39, 0)</f>
        <v>0</v>
      </c>
      <c r="AF26" s="282">
        <f ca="1">OFFSET('Daily Prod Format'!F45,(ROW(I25)-1)*39, 0)</f>
        <v>0</v>
      </c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</row>
    <row r="27" spans="1:44" ht="15" customHeight="1">
      <c r="A27" s="579">
        <v>46321</v>
      </c>
      <c r="B27" s="282"/>
      <c r="C27" s="282"/>
      <c r="D27" s="282">
        <f t="shared" si="1"/>
        <v>0</v>
      </c>
      <c r="E27" s="282">
        <f ca="1">OFFSET('Daily Prod Format'!F29,(ROW(A26)-1)*39, 0)</f>
        <v>0</v>
      </c>
      <c r="F27" s="282"/>
      <c r="G27" s="320">
        <f ca="1">OFFSET('Daily Prod Format'!F31, (ROW(E26)-1)*39, 0)</f>
        <v>0</v>
      </c>
      <c r="H27" s="282">
        <f ca="1">OFFSET('Daily Prod Format'!F30, (ROW(A26)-1)*39, 0)</f>
        <v>0</v>
      </c>
      <c r="I27" s="469"/>
      <c r="J27" s="469"/>
      <c r="K27" s="469"/>
      <c r="M27" s="160"/>
      <c r="N27" s="282">
        <f ca="1">(OFFSET('Daily Prod Format'!F38,(ROW(A26)-1)*39, 0))-Q27</f>
        <v>0</v>
      </c>
      <c r="O27" s="282">
        <f ca="1">OFFSET('Daily Prod Format'!F39,(ROW(A26)-1)*39, 0)</f>
        <v>0</v>
      </c>
      <c r="P27" s="282">
        <f ca="1">OFFSET('Daily Prod Format'!F40,(ROW(A26)-1)*39, 0)</f>
        <v>0</v>
      </c>
      <c r="Q27" s="282">
        <f ca="1">OFFSET('Daily Prod Format'!F45,(ROW(A26)-1)*39, 0)</f>
        <v>0</v>
      </c>
      <c r="R27" s="282">
        <f ca="1">OFFSET('Daily Prod Format'!F33,(ROW(E26)-1)*39, 0)</f>
        <v>0</v>
      </c>
      <c r="S27" s="282">
        <f ca="1">OFFSET('Daily Prod Format'!F34,(ROW(H26)-1)*39, 0)</f>
        <v>0</v>
      </c>
      <c r="T27" s="282">
        <f ca="1">OFFSET('Daily Prod Format'!F35,(ROW(G26)-1)*39, 0)</f>
        <v>0</v>
      </c>
      <c r="U27" s="580">
        <f ca="1">OFFSET('Daily Prod Format'!F32,(ROW(E26)-1)*39, 0)</f>
        <v>0</v>
      </c>
      <c r="V27" s="580">
        <f ca="1">OFFSET('Daily Prod Format'!F36,(ROW(F26)-1)*39, 0)</f>
        <v>0</v>
      </c>
      <c r="W27" s="282">
        <f ca="1">OFFSET('Daily Prod Format'!F37,(ROW(E26)-1)*39, 0)</f>
        <v>0</v>
      </c>
      <c r="X27" s="160"/>
      <c r="Y27" s="581">
        <f t="shared" si="0"/>
        <v>46321</v>
      </c>
      <c r="Z27" s="282">
        <f ca="1">OFFSET('Daily Prod Format'!F38,(ROW(D26)-1)*39, 0)</f>
        <v>0</v>
      </c>
      <c r="AA27" s="282">
        <f ca="1">OFFSET('Daily Prod Format'!F41,(ROW(E26)-1)*39, 0)</f>
        <v>0</v>
      </c>
      <c r="AB27" s="282">
        <f ca="1">OFFSET('Daily Prod Format'!F42,(ROW(F26)-1)*39, 0)</f>
        <v>0</v>
      </c>
      <c r="AC27" s="282">
        <f ca="1">OFFSET('Daily Prod Format'!F43,(ROW(G26)-1)*39, 0)</f>
        <v>0</v>
      </c>
      <c r="AD27" s="282">
        <f ca="1">OFFSET('Daily Prod Format'!F44,(ROW(H26)-1)*39, 0)</f>
        <v>0</v>
      </c>
      <c r="AE27" s="282">
        <f ca="1">OFFSET('Daily Prod Format'!F45,(ROW(I26)-1)*39, 0)</f>
        <v>0</v>
      </c>
      <c r="AF27" s="282">
        <f ca="1">OFFSET('Daily Prod Format'!F46,(ROW(I26)-1)*39, 0)</f>
        <v>0</v>
      </c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</row>
    <row r="28" spans="1:44" ht="15" customHeight="1">
      <c r="A28" s="579">
        <v>46322</v>
      </c>
      <c r="B28" s="282"/>
      <c r="C28" s="282"/>
      <c r="D28" s="282">
        <f t="shared" si="1"/>
        <v>0</v>
      </c>
      <c r="E28" s="282">
        <f ca="1">OFFSET('Daily Prod Format'!F30,(ROW(A27)-1)*39, 0)</f>
        <v>0</v>
      </c>
      <c r="F28" s="282"/>
      <c r="G28" s="320">
        <f ca="1">OFFSET('Daily Prod Format'!F32, (ROW(E27)-1)*39, 0)</f>
        <v>0</v>
      </c>
      <c r="H28" s="282">
        <f ca="1">OFFSET('Daily Prod Format'!F31, (ROW(A27)-1)*39, 0)</f>
        <v>0</v>
      </c>
      <c r="I28" s="469"/>
      <c r="J28" s="469"/>
      <c r="K28" s="469"/>
      <c r="M28" s="160"/>
      <c r="N28" s="282">
        <f ca="1">(OFFSET('Daily Prod Format'!F39,(ROW(A27)-1)*39, 0))-Q28</f>
        <v>0</v>
      </c>
      <c r="O28" s="282">
        <f ca="1">OFFSET('Daily Prod Format'!F40,(ROW(A27)-1)*39, 0)</f>
        <v>0</v>
      </c>
      <c r="P28" s="282">
        <f ca="1">OFFSET('Daily Prod Format'!F41,(ROW(A27)-1)*39, 0)</f>
        <v>0</v>
      </c>
      <c r="Q28" s="282">
        <f ca="1">OFFSET('Daily Prod Format'!F46,(ROW(A27)-1)*39, 0)</f>
        <v>0</v>
      </c>
      <c r="R28" s="282">
        <f ca="1">OFFSET('Daily Prod Format'!F34,(ROW(E27)-1)*39, 0)</f>
        <v>0</v>
      </c>
      <c r="S28" s="282">
        <f ca="1">OFFSET('Daily Prod Format'!F35,(ROW(H27)-1)*39, 0)</f>
        <v>0</v>
      </c>
      <c r="T28" s="282">
        <f ca="1">OFFSET('Daily Prod Format'!F36,(ROW(G27)-1)*39, 0)</f>
        <v>0</v>
      </c>
      <c r="U28" s="580">
        <f ca="1">OFFSET('Daily Prod Format'!F33,(ROW(E27)-1)*39, 0)</f>
        <v>0</v>
      </c>
      <c r="V28" s="580">
        <f ca="1">OFFSET('Daily Prod Format'!F37,(ROW(F27)-1)*39, 0)</f>
        <v>0</v>
      </c>
      <c r="W28" s="282">
        <f ca="1">OFFSET('Daily Prod Format'!F38,(ROW(E27)-1)*39, 0)</f>
        <v>0</v>
      </c>
      <c r="X28" s="160"/>
      <c r="Y28" s="581">
        <f t="shared" si="0"/>
        <v>46322</v>
      </c>
      <c r="Z28" s="282">
        <f ca="1">OFFSET('Daily Prod Format'!F39,(ROW(D27)-1)*39, 0)</f>
        <v>0</v>
      </c>
      <c r="AA28" s="282">
        <f ca="1">OFFSET('Daily Prod Format'!F42,(ROW(E27)-1)*39, 0)</f>
        <v>0</v>
      </c>
      <c r="AB28" s="282">
        <f ca="1">OFFSET('Daily Prod Format'!F43,(ROW(F27)-1)*39, 0)</f>
        <v>0</v>
      </c>
      <c r="AC28" s="282">
        <f ca="1">OFFSET('Daily Prod Format'!F44,(ROW(G27)-1)*39, 0)</f>
        <v>0</v>
      </c>
      <c r="AD28" s="282">
        <f ca="1">OFFSET('Daily Prod Format'!F45,(ROW(H27)-1)*39, 0)</f>
        <v>0</v>
      </c>
      <c r="AE28" s="282">
        <f ca="1">OFFSET('Daily Prod Format'!F46,(ROW(I27)-1)*39, 0)</f>
        <v>0</v>
      </c>
      <c r="AF28" s="282">
        <f ca="1">OFFSET('Daily Prod Format'!F47,(ROW(I27)-1)*39, 0)</f>
        <v>0</v>
      </c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</row>
    <row r="29" spans="1:44" ht="15" customHeight="1">
      <c r="A29" s="579">
        <v>46323</v>
      </c>
      <c r="B29" s="282"/>
      <c r="C29" s="282"/>
      <c r="D29" s="282">
        <f t="shared" si="1"/>
        <v>0</v>
      </c>
      <c r="E29" s="282">
        <f ca="1">OFFSET('Daily Prod Format'!F31,(ROW(A28)-1)*39, 0)</f>
        <v>0</v>
      </c>
      <c r="F29" s="282"/>
      <c r="G29" s="320">
        <f ca="1">OFFSET('Daily Prod Format'!F33, (ROW(E28)-1)*39, 0)</f>
        <v>0</v>
      </c>
      <c r="H29" s="282">
        <f ca="1">OFFSET('Daily Prod Format'!F32, (ROW(A28)-1)*39, 0)</f>
        <v>0</v>
      </c>
      <c r="I29" s="469"/>
      <c r="J29" s="469"/>
      <c r="K29" s="469"/>
      <c r="N29" s="282">
        <f ca="1">(OFFSET('Daily Prod Format'!F40,(ROW(A28)-1)*39, 0))-Q29</f>
        <v>0</v>
      </c>
      <c r="O29" s="282">
        <f ca="1">OFFSET('Daily Prod Format'!F41,(ROW(A28)-1)*39, 0)</f>
        <v>0</v>
      </c>
      <c r="P29" s="282">
        <f ca="1">OFFSET('Daily Prod Format'!F42,(ROW(A28)-1)*39, 0)</f>
        <v>0</v>
      </c>
      <c r="Q29" s="282">
        <f ca="1">OFFSET('Daily Prod Format'!F47,(ROW(A28)-1)*39, 0)</f>
        <v>0</v>
      </c>
      <c r="R29" s="282">
        <f ca="1">OFFSET('Daily Prod Format'!F35,(ROW(E28)-1)*39, 0)</f>
        <v>0</v>
      </c>
      <c r="S29" s="282">
        <f ca="1">OFFSET('Daily Prod Format'!F36,(ROW(H28)-1)*39, 0)</f>
        <v>0</v>
      </c>
      <c r="T29" s="282">
        <f ca="1">OFFSET('Daily Prod Format'!F37,(ROW(G28)-1)*39, 0)</f>
        <v>0</v>
      </c>
      <c r="U29" s="580">
        <f ca="1">OFFSET('Daily Prod Format'!F34,(ROW(E28)-1)*39, 0)</f>
        <v>0</v>
      </c>
      <c r="V29" s="580">
        <f ca="1">OFFSET('Daily Prod Format'!F38,(ROW(F28)-1)*39, 0)</f>
        <v>0</v>
      </c>
      <c r="W29" s="282">
        <f ca="1">OFFSET('Daily Prod Format'!F39,(ROW(E28)-1)*39, 0)</f>
        <v>0</v>
      </c>
      <c r="X29" s="160"/>
      <c r="Y29" s="581">
        <f t="shared" si="0"/>
        <v>46323</v>
      </c>
      <c r="Z29" s="282">
        <f ca="1">OFFSET('Daily Prod Format'!F40,(ROW(D28)-1)*39, 0)</f>
        <v>0</v>
      </c>
      <c r="AA29" s="282">
        <f ca="1">OFFSET('Daily Prod Format'!F43,(ROW(E28)-1)*39, 0)</f>
        <v>0</v>
      </c>
      <c r="AB29" s="282">
        <f ca="1">OFFSET('Daily Prod Format'!F44,(ROW(F28)-1)*39, 0)</f>
        <v>0</v>
      </c>
      <c r="AC29" s="282">
        <f ca="1">OFFSET('Daily Prod Format'!F45,(ROW(G28)-1)*39, 0)</f>
        <v>0</v>
      </c>
      <c r="AD29" s="282">
        <f ca="1">OFFSET('Daily Prod Format'!F46,(ROW(H28)-1)*39, 0)</f>
        <v>0</v>
      </c>
      <c r="AE29" s="282">
        <f ca="1">OFFSET('Daily Prod Format'!F47,(ROW(I28)-1)*39, 0)</f>
        <v>0</v>
      </c>
      <c r="AF29" s="282">
        <f ca="1">OFFSET('Daily Prod Format'!F48,(ROW(I28)-1)*39, 0)</f>
        <v>0</v>
      </c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</row>
    <row r="30" spans="1:44" ht="15" customHeight="1">
      <c r="A30" s="579">
        <v>46324</v>
      </c>
      <c r="B30" s="282"/>
      <c r="C30" s="282"/>
      <c r="D30" s="282">
        <f t="shared" si="1"/>
        <v>0</v>
      </c>
      <c r="E30" s="282">
        <f ca="1">OFFSET('Daily Prod Format'!F32,(ROW(A29)-1)*39, 0)</f>
        <v>0</v>
      </c>
      <c r="F30" s="282"/>
      <c r="G30" s="320">
        <f ca="1">OFFSET('Daily Prod Format'!F34, (ROW(E29)-1)*39, 0)</f>
        <v>0</v>
      </c>
      <c r="H30" s="282">
        <f ca="1">OFFSET('Daily Prod Format'!F33, (ROW(A29)-1)*39, 0)</f>
        <v>0</v>
      </c>
      <c r="I30" s="469"/>
      <c r="J30" s="469"/>
      <c r="K30" s="469"/>
      <c r="N30" s="282">
        <f ca="1">(OFFSET('Daily Prod Format'!F41,(ROW(A29)-1)*39, 0))-Q30</f>
        <v>0</v>
      </c>
      <c r="O30" s="282">
        <f ca="1">OFFSET('Daily Prod Format'!F42,(ROW(A29)-1)*39, 0)</f>
        <v>0</v>
      </c>
      <c r="P30" s="282">
        <f ca="1">OFFSET('Daily Prod Format'!F43,(ROW(A29)-1)*39, 0)</f>
        <v>0</v>
      </c>
      <c r="Q30" s="282">
        <f ca="1">OFFSET('Daily Prod Format'!F48,(ROW(A29)-1)*39, 0)</f>
        <v>0</v>
      </c>
      <c r="R30" s="282">
        <f ca="1">OFFSET('Daily Prod Format'!F36,(ROW(E29)-1)*39, 0)</f>
        <v>0</v>
      </c>
      <c r="S30" s="282">
        <f ca="1">OFFSET('Daily Prod Format'!F37,(ROW(H29)-1)*39, 0)</f>
        <v>0</v>
      </c>
      <c r="T30" s="282">
        <f ca="1">OFFSET('Daily Prod Format'!F38,(ROW(G29)-1)*39, 0)</f>
        <v>0</v>
      </c>
      <c r="U30" s="580">
        <f ca="1">OFFSET('Daily Prod Format'!F35,(ROW(E29)-1)*39, 0)</f>
        <v>0</v>
      </c>
      <c r="V30" s="580">
        <f ca="1">OFFSET('Daily Prod Format'!F39,(ROW(F29)-1)*39, 0)</f>
        <v>0</v>
      </c>
      <c r="W30" s="282">
        <f ca="1">OFFSET('Daily Prod Format'!F40,(ROW(E29)-1)*39, 0)</f>
        <v>0</v>
      </c>
      <c r="Y30" s="581">
        <f t="shared" si="0"/>
        <v>46324</v>
      </c>
      <c r="Z30" s="282">
        <f ca="1">OFFSET('Daily Prod Format'!F41,(ROW(D29)-1)*39, 0)</f>
        <v>0</v>
      </c>
      <c r="AA30" s="282">
        <f ca="1">OFFSET('Daily Prod Format'!F44,(ROW(E29)-1)*39, 0)</f>
        <v>0</v>
      </c>
      <c r="AB30" s="282">
        <f ca="1">OFFSET('Daily Prod Format'!F45,(ROW(F29)-1)*39, 0)</f>
        <v>0</v>
      </c>
      <c r="AC30" s="282">
        <f ca="1">OFFSET('Daily Prod Format'!F46,(ROW(G29)-1)*39, 0)</f>
        <v>0</v>
      </c>
      <c r="AD30" s="282">
        <f ca="1">OFFSET('Daily Prod Format'!F47,(ROW(H29)-1)*39, 0)</f>
        <v>0</v>
      </c>
      <c r="AE30" s="282">
        <f ca="1">OFFSET('Daily Prod Format'!F48,(ROW(I29)-1)*39, 0)</f>
        <v>0</v>
      </c>
      <c r="AF30" s="282">
        <f ca="1">OFFSET('Daily Prod Format'!F49,(ROW(I29)-1)*39, 0)</f>
        <v>0</v>
      </c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</row>
    <row r="31" spans="1:44" ht="15" customHeight="1">
      <c r="A31" s="579">
        <v>46325</v>
      </c>
      <c r="B31" s="282"/>
      <c r="C31" s="282"/>
      <c r="D31" s="282">
        <f t="shared" si="1"/>
        <v>0</v>
      </c>
      <c r="E31" s="282">
        <f ca="1">OFFSET('Daily Prod Format'!F33,(ROW(A30)-1)*39, 0)</f>
        <v>0</v>
      </c>
      <c r="F31" s="282"/>
      <c r="G31" s="320">
        <f ca="1">OFFSET('Daily Prod Format'!F35, (ROW(E30)-1)*39, 0)</f>
        <v>0</v>
      </c>
      <c r="H31" s="282">
        <f ca="1">OFFSET('Daily Prod Format'!F34, (ROW(A30)-1)*39, 0)</f>
        <v>0</v>
      </c>
      <c r="I31" s="469"/>
      <c r="J31" s="469"/>
      <c r="K31" s="469"/>
      <c r="N31" s="282">
        <f ca="1">(OFFSET('Daily Prod Format'!F42,(ROW(A30)-1)*39, 0))-Q31</f>
        <v>0</v>
      </c>
      <c r="O31" s="282">
        <f ca="1">OFFSET('Daily Prod Format'!F43,(ROW(A30)-1)*39, 0)</f>
        <v>0</v>
      </c>
      <c r="P31" s="282">
        <f ca="1">OFFSET('Daily Prod Format'!F44,(ROW(A30)-1)*39, 0)</f>
        <v>0</v>
      </c>
      <c r="Q31" s="282">
        <f ca="1">OFFSET('Daily Prod Format'!F49,(ROW(A30)-1)*39, 0)</f>
        <v>0</v>
      </c>
      <c r="R31" s="282">
        <f ca="1">OFFSET('Daily Prod Format'!F37,(ROW(E30)-1)*39, 0)</f>
        <v>0</v>
      </c>
      <c r="S31" s="282">
        <f ca="1">OFFSET('Daily Prod Format'!F38,(ROW(H30)-1)*39, 0)</f>
        <v>0</v>
      </c>
      <c r="T31" s="282">
        <f ca="1">OFFSET('Daily Prod Format'!F39,(ROW(G30)-1)*39, 0)</f>
        <v>0</v>
      </c>
      <c r="U31" s="580">
        <f ca="1">OFFSET('Daily Prod Format'!F36,(ROW(E30)-1)*39, 0)</f>
        <v>0</v>
      </c>
      <c r="V31" s="580">
        <f ca="1">OFFSET('Daily Prod Format'!F40,(ROW(F30)-1)*39, 0)</f>
        <v>0</v>
      </c>
      <c r="W31" s="282">
        <f ca="1">OFFSET('Daily Prod Format'!F41,(ROW(E30)-1)*39, 0)</f>
        <v>0</v>
      </c>
      <c r="Y31" s="581">
        <f t="shared" si="0"/>
        <v>46325</v>
      </c>
      <c r="Z31" s="282">
        <f ca="1">OFFSET('Daily Prod Format'!F42,(ROW(D30)-1)*39, 0)</f>
        <v>0</v>
      </c>
      <c r="AA31" s="282">
        <f ca="1">OFFSET('Daily Prod Format'!F45,(ROW(E30)-1)*39, 0)</f>
        <v>0</v>
      </c>
      <c r="AB31" s="282">
        <f ca="1">OFFSET('Daily Prod Format'!F46,(ROW(F30)-1)*39, 0)</f>
        <v>0</v>
      </c>
      <c r="AC31" s="282">
        <f ca="1">OFFSET('Daily Prod Format'!F47,(ROW(G30)-1)*39, 0)</f>
        <v>0</v>
      </c>
      <c r="AD31" s="282">
        <f ca="1">OFFSET('Daily Prod Format'!F48,(ROW(H30)-1)*39, 0)</f>
        <v>0</v>
      </c>
      <c r="AE31" s="282">
        <f ca="1">OFFSET('Daily Prod Format'!F49,(ROW(I30)-1)*39, 0)</f>
        <v>0</v>
      </c>
      <c r="AF31" s="282">
        <f ca="1">OFFSET('Daily Prod Format'!F50,(ROW(I30)-1)*39, 0)</f>
        <v>0</v>
      </c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</row>
    <row r="32" spans="1:44" ht="15" customHeight="1">
      <c r="A32" s="579">
        <v>46326</v>
      </c>
      <c r="B32" s="282"/>
      <c r="C32" s="282"/>
      <c r="D32" s="282">
        <f t="shared" si="1"/>
        <v>0</v>
      </c>
      <c r="E32" s="282">
        <f ca="1">OFFSET('Daily Prod Format'!F34,(ROW(A31)-1)*39, 0)</f>
        <v>0</v>
      </c>
      <c r="F32" s="282"/>
      <c r="G32" s="320">
        <f ca="1">OFFSET('Daily Prod Format'!F36, (ROW(E31)-1)*39, 0)</f>
        <v>0</v>
      </c>
      <c r="H32" s="282">
        <f ca="1">OFFSET('Daily Prod Format'!F35, (ROW(A31)-1)*39, 0)</f>
        <v>0</v>
      </c>
      <c r="I32" s="469"/>
      <c r="J32" s="469"/>
      <c r="K32" s="469"/>
      <c r="N32" s="282">
        <f ca="1">(OFFSET('Daily Prod Format'!F43,(ROW(A31)-1)*39, 0))-Q32</f>
        <v>0</v>
      </c>
      <c r="O32" s="282">
        <f ca="1">OFFSET('Daily Prod Format'!F44,(ROW(A31)-1)*39, 0)</f>
        <v>0</v>
      </c>
      <c r="P32" s="282">
        <f ca="1">OFFSET('Daily Prod Format'!F45,(ROW(A31)-1)*39, 0)</f>
        <v>0</v>
      </c>
      <c r="Q32" s="282">
        <f ca="1">OFFSET('Daily Prod Format'!F50,(ROW(A31)-1)*39, 0)</f>
        <v>0</v>
      </c>
      <c r="R32" s="282">
        <f ca="1">OFFSET('Daily Prod Format'!F38,(ROW(E31)-1)*39, 0)</f>
        <v>0</v>
      </c>
      <c r="S32" s="282">
        <f ca="1">OFFSET('Daily Prod Format'!F39,(ROW(H31)-1)*39, 0)</f>
        <v>0</v>
      </c>
      <c r="T32" s="282">
        <f ca="1">OFFSET('Daily Prod Format'!F40,(ROW(G31)-1)*39, 0)</f>
        <v>0</v>
      </c>
      <c r="U32" s="580">
        <f ca="1">OFFSET('Daily Prod Format'!F37,(ROW(E31)-1)*39, 0)</f>
        <v>0</v>
      </c>
      <c r="V32" s="580">
        <f ca="1">OFFSET('Daily Prod Format'!F41,(ROW(F31)-1)*39, 0)</f>
        <v>0</v>
      </c>
      <c r="W32" s="282">
        <f ca="1">OFFSET('Daily Prod Format'!F42,(ROW(E31)-1)*39, 0)</f>
        <v>0</v>
      </c>
      <c r="Y32" s="581">
        <f t="shared" si="0"/>
        <v>46326</v>
      </c>
      <c r="Z32" s="282">
        <f ca="1">OFFSET('Daily Prod Format'!F43,(ROW(D31)-1)*39, 0)</f>
        <v>0</v>
      </c>
      <c r="AA32" s="282">
        <f ca="1">OFFSET('Daily Prod Format'!F46,(ROW(E31)-1)*39, 0)</f>
        <v>0</v>
      </c>
      <c r="AB32" s="282">
        <f ca="1">OFFSET('Daily Prod Format'!F47,(ROW(F31)-1)*39, 0)</f>
        <v>0</v>
      </c>
      <c r="AC32" s="282">
        <f ca="1">OFFSET('Daily Prod Format'!F48,(ROW(G31)-1)*39, 0)</f>
        <v>0</v>
      </c>
      <c r="AD32" s="282">
        <f ca="1">OFFSET('Daily Prod Format'!F49,(ROW(H31)-1)*39, 0)</f>
        <v>0</v>
      </c>
      <c r="AE32" s="282">
        <f ca="1">OFFSET('Daily Prod Format'!F50,(ROW(I31)-1)*39, 0)</f>
        <v>0</v>
      </c>
      <c r="AF32" s="282">
        <f ca="1">OFFSET('Daily Prod Format'!F51,(ROW(I31)-1)*39, 0)</f>
        <v>0</v>
      </c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</row>
    <row r="33" spans="2:44" ht="15" customHeight="1">
      <c r="B33" s="160"/>
      <c r="C33" s="160"/>
      <c r="D33" s="160"/>
      <c r="E33" s="160"/>
      <c r="F33" s="160"/>
      <c r="G33" s="417"/>
      <c r="H33" s="160"/>
      <c r="I33" s="181"/>
      <c r="J33" s="181"/>
      <c r="K33" s="181"/>
      <c r="L33" s="160"/>
      <c r="M33" s="160"/>
      <c r="N33" s="160">
        <f ca="1">SUM(N2:N32)</f>
        <v>0</v>
      </c>
      <c r="O33" s="160">
        <f ca="1">SUM(O2:O32)</f>
        <v>0</v>
      </c>
      <c r="P33" s="160">
        <f ca="1">SUM(P2:P32)</f>
        <v>0</v>
      </c>
      <c r="Q33" s="160">
        <f ca="1">SUM(Q2:Q32)</f>
        <v>0</v>
      </c>
      <c r="R33" s="583">
        <f ca="1">SUM(R8)</f>
        <v>0</v>
      </c>
      <c r="S33" s="160">
        <f ca="1">SUM(S2:S32)</f>
        <v>0</v>
      </c>
      <c r="T33" s="160">
        <f ca="1">SUM(T2:T32)</f>
        <v>0</v>
      </c>
      <c r="U33" s="294">
        <f ca="1">SUM(U2:U21)+SUM(X22:X29)</f>
        <v>0</v>
      </c>
      <c r="V33" s="294">
        <f ca="1">SUM(V2:V32)</f>
        <v>0</v>
      </c>
      <c r="W33" s="160">
        <f ca="1">SUM(W2:W32)</f>
        <v>0</v>
      </c>
      <c r="X33" s="160"/>
      <c r="Y33" s="206"/>
      <c r="Z33" s="282">
        <f t="shared" ref="Z33:AF33" ca="1" si="3">SUM(Z2:Z32)</f>
        <v>0</v>
      </c>
      <c r="AA33" s="282">
        <f t="shared" ca="1" si="3"/>
        <v>0</v>
      </c>
      <c r="AB33" s="282">
        <f t="shared" ca="1" si="3"/>
        <v>0</v>
      </c>
      <c r="AC33" s="282">
        <f t="shared" ca="1" si="3"/>
        <v>0</v>
      </c>
      <c r="AD33" s="282">
        <f t="shared" ca="1" si="3"/>
        <v>0</v>
      </c>
      <c r="AE33" s="282">
        <f t="shared" ca="1" si="3"/>
        <v>0</v>
      </c>
      <c r="AF33" s="282">
        <f t="shared" ca="1" si="3"/>
        <v>0</v>
      </c>
      <c r="AI33" s="282"/>
      <c r="AJ33" s="282"/>
      <c r="AK33" s="282"/>
      <c r="AL33" s="282"/>
      <c r="AM33" s="282"/>
      <c r="AN33" s="282"/>
      <c r="AO33" s="282"/>
      <c r="AP33" s="282"/>
      <c r="AQ33" s="282"/>
      <c r="AR33" s="206"/>
    </row>
    <row r="34" spans="2:44" ht="15" customHeight="1">
      <c r="B34" s="160">
        <f>'FC Report'!A36</f>
        <v>189.66399999999999</v>
      </c>
      <c r="C34" s="160">
        <f>'FC Report'!B36</f>
        <v>230</v>
      </c>
      <c r="D34" s="160">
        <f>'FC Report'!A36+'FC Report'!B36</f>
        <v>419.66399999999999</v>
      </c>
      <c r="E34" s="160">
        <f ca="1">SUM(E2:E32)</f>
        <v>0</v>
      </c>
      <c r="F34" s="160">
        <f>'FC Report'!C36</f>
        <v>156.88</v>
      </c>
      <c r="G34" s="417">
        <f ca="1">SUM(G2:G32)</f>
        <v>0</v>
      </c>
      <c r="H34" s="417">
        <f ca="1">SUM(H2:H32)</f>
        <v>0</v>
      </c>
      <c r="I34" s="160"/>
      <c r="J34" s="160"/>
      <c r="K34" s="160"/>
      <c r="M34" t="s">
        <v>92</v>
      </c>
      <c r="N34" s="160">
        <f ca="1">N33+Q33</f>
        <v>0</v>
      </c>
      <c r="R34" s="160">
        <f ca="1">SUM(R9:R32)</f>
        <v>0</v>
      </c>
      <c r="S34" s="180"/>
      <c r="T34" s="294"/>
      <c r="X34" s="1396"/>
    </row>
    <row r="35" spans="2:44" ht="15" customHeight="1">
      <c r="C35" s="160"/>
      <c r="E35" s="584" t="str" cm="1">
        <f t="array" aca="1" ref="E35" ca="1">IFERROR(IF(E34=-INDEX(Durgesh!$1:$1048576,41,MATCH(1,INDEX((Durgesh!$3:$3="3-ISSUE")*(Durgesh!$4:$4="INTER STOCK TRANSFER"),0),0)),"✓","✗"),"✗")</f>
        <v>✗</v>
      </c>
      <c r="F35" s="584" t="str">
        <f>IF(F34 = ('FC Report'!C36), "✓", "✗")</f>
        <v>✓</v>
      </c>
      <c r="G35" s="584" t="str">
        <f ca="1">IF(G34 = ('FC Report'!E16), "✓", "✗")</f>
        <v>✗</v>
      </c>
      <c r="H35" s="584" t="str">
        <f ca="1">IF(H34 = ('FC Report'!E18), "✓", "✗")</f>
        <v>✗</v>
      </c>
      <c r="N35" s="160">
        <f ca="1">N34-'FC Report'!E9</f>
        <v>-652.67999999999995</v>
      </c>
      <c r="O35" s="160">
        <f ca="1">'FC Report'!E14-O33</f>
        <v>0</v>
      </c>
      <c r="P35" s="160">
        <f ca="1">'FC Report'!E12-P33</f>
        <v>24.536999999999999</v>
      </c>
      <c r="Q35" s="160">
        <f ca="1">'FC Report'!E11-Q33</f>
        <v>5.3</v>
      </c>
      <c r="S35" s="294"/>
      <c r="T35" s="160"/>
      <c r="W35">
        <v>1855.34</v>
      </c>
      <c r="X35" s="1396"/>
    </row>
    <row r="36" spans="2:44" ht="21" customHeight="1">
      <c r="E36" s="277">
        <f>(B34+C34)-F34</f>
        <v>262.78399999999999</v>
      </c>
      <c r="F36" s="1397">
        <f ca="1">(G34/F34)</f>
        <v>0</v>
      </c>
      <c r="G36" s="1397"/>
      <c r="J36" s="160"/>
      <c r="N36" s="537" t="str">
        <f ca="1">IF(N34 = 'FC Report'!E9, "✓", "✗")</f>
        <v>✗</v>
      </c>
      <c r="O36" s="537" t="str">
        <f ca="1">IF(O33 = 'FC Report'!E14, "✓", "✗")</f>
        <v>✓</v>
      </c>
      <c r="P36" s="537" t="str">
        <f ca="1">IF(P33 = 'FC Report'!E12, "✓", "✗")</f>
        <v>✗</v>
      </c>
      <c r="Q36" s="537" t="str">
        <f ca="1">IF(Q33 = 'FC Report'!E11, "✓", "✗")</f>
        <v>✗</v>
      </c>
      <c r="R36" s="537" t="str">
        <f ca="1">IF(R33 = 'FC Report'!E15, "✓", "✗")</f>
        <v>✓</v>
      </c>
      <c r="S36" s="537" t="str">
        <f ca="1">IF(S33 = 'FC Report'!E7, "✓", "✗")</f>
        <v>✗</v>
      </c>
      <c r="T36" s="537" t="str">
        <f ca="1">IF(T33 = 'FC Report'!E5, "✓", "✗")</f>
        <v>✗</v>
      </c>
      <c r="U36" s="537"/>
      <c r="V36" s="537" t="str">
        <f ca="1">IF(V33 = 'FC Report'!E6, "✓", "✗")</f>
        <v>✓</v>
      </c>
      <c r="W36" s="537" t="str">
        <f ca="1">IF(W33 = 'FC Report'!E4, "✓", "✗")</f>
        <v>✓</v>
      </c>
      <c r="Y36" s="160">
        <f>0.82-0.49</f>
        <v>0.32999999999999996</v>
      </c>
      <c r="Z36" t="s">
        <v>218</v>
      </c>
      <c r="AL36" s="160"/>
      <c r="AM36" s="160"/>
      <c r="AN36" s="160"/>
    </row>
    <row r="37" spans="2:44" ht="15" customHeight="1">
      <c r="C37" s="160"/>
      <c r="D37" s="160"/>
      <c r="F37" s="160"/>
      <c r="L37" s="160"/>
      <c r="R37" s="537" t="str">
        <f ca="1">IF(R34 = 'FC Report'!E8, "✓", "✗")</f>
        <v>✓</v>
      </c>
      <c r="S37" s="585">
        <f ca="1">'FC Report'!E7-'RM Report'!S33</f>
        <v>256.20999999999998</v>
      </c>
      <c r="T37" s="585">
        <f ca="1">'FC Report'!E5-'RM Report'!T33</f>
        <v>44.86</v>
      </c>
      <c r="V37" s="585">
        <f ca="1">'FC Report'!E6-'RM Report'!V33</f>
        <v>0</v>
      </c>
      <c r="W37" s="585">
        <f ca="1">'FC Report'!E4-'RM Report'!W33</f>
        <v>0</v>
      </c>
      <c r="Y37" s="160">
        <f>703.97-703.79</f>
        <v>0.18000000000006366</v>
      </c>
      <c r="Z37" t="s">
        <v>223</v>
      </c>
      <c r="AL37" s="160"/>
    </row>
    <row r="38" spans="2:44" ht="15" customHeight="1">
      <c r="C38" s="160"/>
      <c r="E38" s="160"/>
      <c r="F38" s="160">
        <f>SUM(F2:F32)-F34</f>
        <v>-156.88</v>
      </c>
      <c r="S38" s="160"/>
      <c r="T38" s="160"/>
      <c r="AL38" s="160"/>
    </row>
    <row r="39" spans="2:44" ht="15" customHeight="1">
      <c r="E39" s="160"/>
      <c r="P39" s="160"/>
    </row>
    <row r="40" spans="2:44" ht="15" customHeight="1">
      <c r="E40" s="160"/>
      <c r="F40" s="160"/>
      <c r="G40" s="160"/>
      <c r="H40" s="160"/>
      <c r="J40" s="160"/>
    </row>
  </sheetData>
  <mergeCells count="2">
    <mergeCell ref="X34:X35"/>
    <mergeCell ref="F36:G36"/>
  </mergeCells>
  <conditionalFormatting sqref="AI33:AP33">
    <cfRule type="cellIs" dxfId="1136" priority="2" operator="equal">
      <formula>0</formula>
    </cfRule>
  </conditionalFormatting>
  <conditionalFormatting sqref="Y2:AF1048576">
    <cfRule type="cellIs" dxfId="1135" priority="3" operator="equal">
      <formula>0</formula>
    </cfRule>
  </conditionalFormatting>
  <conditionalFormatting sqref="E35:H35">
    <cfRule type="containsText" dxfId="1134" priority="4" operator="containsText" text="✓">
      <formula>NOT(ISERROR(SEARCH("✓",E35)))</formula>
    </cfRule>
    <cfRule type="containsText" dxfId="1133" priority="5" operator="containsText" text="✗">
      <formula>NOT(ISERROR(SEARCH("✗",E35)))</formula>
    </cfRule>
  </conditionalFormatting>
  <conditionalFormatting sqref="N36:W36 R37">
    <cfRule type="containsText" dxfId="1132" priority="6" operator="containsText" text="✓">
      <formula>NOT(ISERROR(SEARCH("✓",N36)))</formula>
    </cfRule>
    <cfRule type="containsText" dxfId="1131" priority="7" operator="containsText" text="✗">
      <formula>NOT(ISERROR(SEARCH("✗",N36)))</formula>
    </cfRule>
  </conditionalFormatting>
  <conditionalFormatting sqref="B33:K33 N2:W32 A2:K32">
    <cfRule type="cellIs" dxfId="1130" priority="8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ignoredErrors>
    <ignoredError sqref="F34" 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FF"/>
    <pageSetUpPr fitToPage="1"/>
  </sheetPr>
  <dimension ref="A1:X47"/>
  <sheetViews>
    <sheetView zoomScaleNormal="100" workbookViewId="0">
      <pane ySplit="3" topLeftCell="A13" activePane="bottomLeft" state="frozen"/>
      <selection pane="bottomLeft" activeCell="P11" sqref="P11"/>
    </sheetView>
  </sheetViews>
  <sheetFormatPr defaultColWidth="9.140625" defaultRowHeight="12.75" customHeight="1"/>
  <cols>
    <col min="1" max="1" width="11.5703125" style="586" customWidth="1"/>
    <col min="2" max="2" width="9.5703125" style="587" customWidth="1"/>
    <col min="3" max="3" width="13.42578125" style="587" customWidth="1"/>
    <col min="4" max="5" width="10.85546875" style="587" customWidth="1"/>
    <col min="6" max="6" width="10.7109375" style="587" customWidth="1"/>
    <col min="7" max="7" width="11.28515625" style="587" customWidth="1"/>
    <col min="8" max="8" width="9.7109375" style="587" customWidth="1"/>
    <col min="9" max="9" width="10.7109375" style="587" customWidth="1"/>
    <col min="10" max="10" width="8.140625" style="587" customWidth="1"/>
    <col min="11" max="12" width="11.7109375" style="587" customWidth="1"/>
    <col min="13" max="13" width="10.140625" style="587" customWidth="1"/>
    <col min="14" max="14" width="10.7109375" style="587" customWidth="1"/>
    <col min="15" max="15" width="10.85546875" style="587" customWidth="1"/>
    <col min="16" max="16" width="12.140625" style="587" customWidth="1"/>
    <col min="17" max="17" width="19" style="587" customWidth="1"/>
    <col min="18" max="18" width="8.7109375" style="587" customWidth="1"/>
    <col min="19" max="19" width="9.7109375" style="587" customWidth="1"/>
    <col min="20" max="20" width="8.5703125" style="587" customWidth="1"/>
    <col min="21" max="21" width="8.7109375" style="587" customWidth="1"/>
    <col min="22" max="22" width="9.140625" style="587"/>
    <col min="23" max="23" width="7.5703125" style="587" customWidth="1"/>
    <col min="24" max="25" width="9.140625" style="587"/>
    <col min="26" max="26" width="8.5703125" style="587" customWidth="1"/>
    <col min="27" max="27" width="5" style="587" customWidth="1"/>
    <col min="28" max="28" width="9.140625" style="587"/>
    <col min="29" max="29" width="9.5703125" style="587" customWidth="1"/>
    <col min="30" max="30" width="12.42578125" style="587" customWidth="1"/>
    <col min="31" max="31" width="12.5703125" style="587" customWidth="1"/>
    <col min="32" max="32" width="9.140625" style="587"/>
    <col min="33" max="33" width="8.5703125" style="587" customWidth="1"/>
    <col min="34" max="34" width="4.5703125" style="587" customWidth="1"/>
    <col min="35" max="35" width="5" style="587" customWidth="1"/>
    <col min="36" max="36" width="7.42578125" style="587" customWidth="1"/>
    <col min="37" max="16384" width="9.140625" style="587"/>
  </cols>
  <sheetData>
    <row r="1" spans="1:24" ht="25.5" customHeight="1">
      <c r="A1" s="1429" t="s">
        <v>823</v>
      </c>
      <c r="B1" s="1429"/>
      <c r="C1" s="1429"/>
      <c r="D1" s="1429"/>
      <c r="E1" s="1429"/>
      <c r="F1" s="1429"/>
      <c r="G1" s="1429"/>
      <c r="H1" s="1429"/>
      <c r="I1" s="1429"/>
      <c r="J1" s="1429"/>
      <c r="K1" s="1429"/>
      <c r="L1" s="1429"/>
      <c r="M1" s="1429"/>
      <c r="N1" s="1429"/>
      <c r="O1" s="588"/>
      <c r="P1" s="588"/>
      <c r="Q1" s="588"/>
      <c r="R1" s="588"/>
      <c r="S1" s="588"/>
      <c r="T1" s="588"/>
      <c r="U1" s="588"/>
      <c r="V1" s="588"/>
      <c r="W1" s="588"/>
      <c r="X1" s="589"/>
    </row>
    <row r="2" spans="1:24" ht="15.75" customHeight="1">
      <c r="A2" s="1430" t="s">
        <v>353</v>
      </c>
      <c r="B2" s="1430"/>
      <c r="C2" s="1430"/>
      <c r="D2" s="1430"/>
      <c r="E2" s="1430"/>
      <c r="F2" s="1430"/>
      <c r="G2" s="1430"/>
      <c r="H2" s="1430"/>
      <c r="I2" s="1430"/>
      <c r="J2" s="1430"/>
      <c r="K2" s="1430"/>
      <c r="L2" s="1430"/>
      <c r="M2" s="1430"/>
      <c r="N2" s="1430"/>
      <c r="O2" s="590"/>
      <c r="P2" s="591"/>
      <c r="Q2" s="1430" t="s">
        <v>354</v>
      </c>
      <c r="R2" s="1430"/>
      <c r="S2" s="1430"/>
      <c r="T2" s="1430"/>
      <c r="U2" s="1430"/>
      <c r="V2" s="1430"/>
      <c r="W2" s="1430"/>
      <c r="X2" s="1430"/>
    </row>
    <row r="3" spans="1:24" s="599" customFormat="1" ht="30.75" customHeight="1">
      <c r="A3" s="592" t="s">
        <v>355</v>
      </c>
      <c r="B3" s="1431" t="s">
        <v>99</v>
      </c>
      <c r="C3" s="1431"/>
      <c r="D3" s="593" t="s">
        <v>356</v>
      </c>
      <c r="E3" s="593" t="s">
        <v>357</v>
      </c>
      <c r="F3" s="593" t="s">
        <v>149</v>
      </c>
      <c r="G3" s="593" t="s">
        <v>358</v>
      </c>
      <c r="H3" s="593" t="s">
        <v>359</v>
      </c>
      <c r="I3" s="593" t="s">
        <v>360</v>
      </c>
      <c r="J3" s="593" t="s">
        <v>361</v>
      </c>
      <c r="K3" s="593" t="s">
        <v>362</v>
      </c>
      <c r="L3" s="593" t="s">
        <v>363</v>
      </c>
      <c r="M3" s="593" t="s">
        <v>364</v>
      </c>
      <c r="N3" s="594" t="s">
        <v>365</v>
      </c>
      <c r="O3" s="595"/>
      <c r="P3" s="595"/>
      <c r="Q3" s="596" t="s">
        <v>366</v>
      </c>
      <c r="R3" s="597" t="s">
        <v>367</v>
      </c>
      <c r="S3" s="597" t="s">
        <v>368</v>
      </c>
      <c r="T3" s="597" t="s">
        <v>369</v>
      </c>
      <c r="U3" s="597" t="s">
        <v>370</v>
      </c>
      <c r="V3" s="597" t="s">
        <v>371</v>
      </c>
      <c r="W3" s="597" t="s">
        <v>372</v>
      </c>
      <c r="X3" s="598" t="s">
        <v>373</v>
      </c>
    </row>
    <row r="4" spans="1:24" ht="12.75" customHeight="1">
      <c r="A4" s="600">
        <v>1</v>
      </c>
      <c r="B4" s="1401" t="s">
        <v>374</v>
      </c>
      <c r="C4" s="1401"/>
      <c r="D4" s="601">
        <f>IFERROR(VLOOKUP(B4,Durgesh!C:E,3,FALSE()),"")</f>
        <v>690.95</v>
      </c>
      <c r="E4" s="601">
        <f t="array" ref="E4">IFERROR(SUMPRODUCT(IFERROR((Durgesh!$C$4:$C$1000='FC Report'!B4)*(Durgesh!$D$3:$Z$3="2-RECIEPT")*Durgesh!$D$4:$Z$1000,0)),"")</f>
        <v>0</v>
      </c>
      <c r="F4" s="602">
        <f t="shared" ref="F4:F16" si="0">(D4+E4)</f>
        <v>690.95</v>
      </c>
      <c r="G4" s="601">
        <f t="array" ref="G4">IFERROR(SUMPRODUCT(IFERROR((Durgesh!$C$4:$C$1000='FC Report'!B4)*(Durgesh!$D$3:$Z$3="3-ISSUE")*Durgesh!$D$4:$Z$1000,0)),"")</f>
        <v>-143</v>
      </c>
      <c r="H4" s="603">
        <f t="array" ref="H4">IFERROR(SUM(INDEX(Durgesh!M:M, MATCH('FC Report'!B4, Durgesh!C:C, 0), {1})), "")</f>
        <v>0</v>
      </c>
      <c r="I4" s="601">
        <f t="shared" ref="I4:I16" si="1">F4+G4</f>
        <v>547.95000000000005</v>
      </c>
      <c r="J4" s="604">
        <f t="shared" ref="J4:J16" si="2">X4</f>
        <v>16.600000000000001</v>
      </c>
      <c r="K4" s="602">
        <f t="shared" ref="K4:K16" si="3">(G4/$G$17)*100</f>
        <v>13.448950417575803</v>
      </c>
      <c r="L4" s="602">
        <f t="shared" ref="L4:L16" si="4">K4*M4</f>
        <v>0.53795801670303212</v>
      </c>
      <c r="M4" s="605">
        <f>(N4/100)+4%</f>
        <v>0.04</v>
      </c>
      <c r="N4" s="606">
        <f>'Daily Prod Format'!I3</f>
        <v>0</v>
      </c>
      <c r="O4" s="584" t="str">
        <f>IF(IFERROR(INDEX(Durgesh!F:Z, MATCH(B4, Durgesh!C:C, 0), MATCH("4-CLOSING", Durgesh!$F$3:$Z$3, 0)), "")=I4, "✓", "✗")</f>
        <v>✓</v>
      </c>
      <c r="P4" s="607"/>
      <c r="Q4" s="608" t="s">
        <v>375</v>
      </c>
      <c r="R4" s="609">
        <v>15</v>
      </c>
      <c r="S4" s="609">
        <v>14</v>
      </c>
      <c r="T4" s="609">
        <v>17</v>
      </c>
      <c r="U4" s="609">
        <v>20</v>
      </c>
      <c r="V4" s="609">
        <v>20</v>
      </c>
      <c r="W4" s="609">
        <v>18</v>
      </c>
      <c r="X4" s="610">
        <f t="shared" ref="X4:X16" si="5">(R4*$R$19+S4*$S$19+T4*$T$19+U4*$U$19+W4*$W$19+V4*$V$19)/$X$19</f>
        <v>16.600000000000001</v>
      </c>
    </row>
    <row r="5" spans="1:24" ht="12.75" customHeight="1">
      <c r="A5" s="600">
        <f t="shared" ref="A5:A10" si="6">+A4+1</f>
        <v>2</v>
      </c>
      <c r="B5" s="1401" t="s">
        <v>376</v>
      </c>
      <c r="C5" s="1401"/>
      <c r="D5" s="601">
        <f>IFERROR(VLOOKUP(B5,Durgesh!C:E,3,FALSE()),"")</f>
        <v>65.86</v>
      </c>
      <c r="E5" s="601">
        <f t="array" ref="E5">IFERROR(SUMPRODUCT(IFERROR((Durgesh!$C$4:$C$1000='FC Report'!B5)*(Durgesh!$D$3:$Z$3="2-RECIEPT")*Durgesh!$D$4:$Z$1000,0)),"")</f>
        <v>44.86</v>
      </c>
      <c r="F5" s="602">
        <f t="shared" si="0"/>
        <v>110.72</v>
      </c>
      <c r="G5" s="601">
        <f t="array" ref="G5">IFERROR(SUMPRODUCT(IFERROR((Durgesh!$C$4:$C$1000='FC Report'!B5)*(Durgesh!$D$3:$Z$3="3-ISSUE")*Durgesh!$D$4:$Z$1000,0)),"")</f>
        <v>-53</v>
      </c>
      <c r="H5" s="603">
        <f t="array" ref="H5">IFERROR(SUM(INDEX(Durgesh!M:M, MATCH('FC Report'!B5, Durgesh!C:C, 0), {1})), "")</f>
        <v>0</v>
      </c>
      <c r="I5" s="601">
        <f t="shared" si="1"/>
        <v>57.72</v>
      </c>
      <c r="J5" s="604">
        <f t="shared" si="2"/>
        <v>12.7</v>
      </c>
      <c r="K5" s="602">
        <f t="shared" si="3"/>
        <v>4.9845760288917313</v>
      </c>
      <c r="L5" s="602">
        <f t="shared" si="4"/>
        <v>4.9845760288917317E-2</v>
      </c>
      <c r="M5" s="605">
        <f>(N5/100)+1%</f>
        <v>0.01</v>
      </c>
      <c r="N5" s="606">
        <f>'Daily Prod Format'!I2</f>
        <v>0</v>
      </c>
      <c r="O5" s="584" t="str">
        <f>IF(IFERROR(INDEX(Durgesh!F:Z, MATCH(B5, Durgesh!C:C, 0), MATCH("4-CLOSING", Durgesh!$F$3:$Z$3, 0)), "")=I5, "✓", "✗")</f>
        <v>✓</v>
      </c>
      <c r="P5" s="607"/>
      <c r="Q5" s="611" t="s">
        <v>376</v>
      </c>
      <c r="R5" s="612">
        <v>13</v>
      </c>
      <c r="S5" s="612">
        <v>13</v>
      </c>
      <c r="T5" s="612">
        <v>13</v>
      </c>
      <c r="U5" s="612">
        <v>10</v>
      </c>
      <c r="V5" s="612">
        <v>13</v>
      </c>
      <c r="W5" s="612">
        <v>13</v>
      </c>
      <c r="X5" s="610">
        <f t="shared" si="5"/>
        <v>12.7</v>
      </c>
    </row>
    <row r="6" spans="1:24" ht="12.75" customHeight="1">
      <c r="A6" s="600">
        <f t="shared" si="6"/>
        <v>3</v>
      </c>
      <c r="B6" s="1401" t="s">
        <v>377</v>
      </c>
      <c r="C6" s="1401"/>
      <c r="D6" s="601">
        <f>IFERROR(VLOOKUP(B6,Durgesh!C:E,3,FALSE()),"")</f>
        <v>207</v>
      </c>
      <c r="E6" s="601">
        <f t="array" ref="E6">IFERROR(SUMPRODUCT(IFERROR((Durgesh!$C$4:$C$1000='FC Report'!B6)*(Durgesh!$D$3:$Z$3="2-RECIEPT")*Durgesh!$D$4:$Z$1000,0)),"")</f>
        <v>0</v>
      </c>
      <c r="F6" s="602">
        <f t="shared" si="0"/>
        <v>207</v>
      </c>
      <c r="G6" s="601">
        <f t="array" ref="G6">IFERROR(SUMPRODUCT(IFERROR((Durgesh!$C$4:$C$1000='FC Report'!B6)*(Durgesh!$D$3:$Z$3="3-ISSUE")*Durgesh!$D$4:$Z$1000,0)),"")</f>
        <v>-32</v>
      </c>
      <c r="H6" s="603">
        <f t="array" ref="H6">IFERROR(SUM(INDEX(Durgesh!M:M, MATCH('FC Report'!B6, Durgesh!C:C, 0), {1})), "")</f>
        <v>0</v>
      </c>
      <c r="I6" s="601">
        <f t="shared" si="1"/>
        <v>175</v>
      </c>
      <c r="J6" s="604">
        <f t="shared" si="2"/>
        <v>14.4</v>
      </c>
      <c r="K6" s="602">
        <f t="shared" si="3"/>
        <v>3.0095553381987812</v>
      </c>
      <c r="L6" s="602">
        <f t="shared" si="4"/>
        <v>0</v>
      </c>
      <c r="M6" s="613"/>
      <c r="N6" s="606"/>
      <c r="O6" s="584" t="str">
        <f>IF(IFERROR(INDEX(Durgesh!F:Z, MATCH(B6, Durgesh!C:C, 0), MATCH("4-CLOSING", Durgesh!$F$3:$Z$3, 0)), "")=I6, "✓", "✗")</f>
        <v>✓</v>
      </c>
      <c r="P6" s="607"/>
      <c r="Q6" s="611" t="s">
        <v>378</v>
      </c>
      <c r="R6" s="612">
        <v>18</v>
      </c>
      <c r="S6" s="612">
        <v>16</v>
      </c>
      <c r="T6" s="612">
        <v>13</v>
      </c>
      <c r="U6" s="612">
        <v>9</v>
      </c>
      <c r="V6" s="612">
        <v>12</v>
      </c>
      <c r="W6" s="612">
        <v>14</v>
      </c>
      <c r="X6" s="610">
        <f t="shared" si="5"/>
        <v>14.4</v>
      </c>
    </row>
    <row r="7" spans="1:24" ht="12.75" customHeight="1">
      <c r="A7" s="600">
        <f t="shared" si="6"/>
        <v>4</v>
      </c>
      <c r="B7" s="1401" t="s">
        <v>378</v>
      </c>
      <c r="C7" s="1401"/>
      <c r="D7" s="601">
        <f>IFERROR(VLOOKUP(B7,Durgesh!C:E,3,FALSE()),"")</f>
        <v>131.63</v>
      </c>
      <c r="E7" s="601">
        <f t="array" ref="E7">IFERROR(SUMPRODUCT(IFERROR((Durgesh!$C$4:$C$1000='FC Report'!B7)*(Durgesh!$D$3:$Z$3="2-RECIEPT")*Durgesh!$D$4:$Z$1000,0)),"")</f>
        <v>256.20999999999998</v>
      </c>
      <c r="F7" s="602">
        <f t="shared" si="0"/>
        <v>387.84</v>
      </c>
      <c r="G7" s="601">
        <f t="array" ref="G7">IFERROR(SUMPRODUCT(IFERROR((Durgesh!$C$4:$C$1000='FC Report'!B7)*(Durgesh!$D$3:$Z$3="3-ISSUE")*Durgesh!$D$4:$Z$1000,0)),"")</f>
        <v>-241</v>
      </c>
      <c r="H7" s="603">
        <f t="array" ref="H7">IFERROR(SUM(INDEX(Durgesh!M:M, MATCH('FC Report'!B7, Durgesh!C:C, 0), {1})), "")</f>
        <v>0</v>
      </c>
      <c r="I7" s="602">
        <f t="shared" si="1"/>
        <v>146.83999999999997</v>
      </c>
      <c r="J7" s="604">
        <f t="shared" si="2"/>
        <v>0</v>
      </c>
      <c r="K7" s="602">
        <f t="shared" si="3"/>
        <v>22.665713640809571</v>
      </c>
      <c r="L7" s="602">
        <f t="shared" si="4"/>
        <v>0.45331427281619141</v>
      </c>
      <c r="M7" s="605">
        <f>(N7/100)+2%</f>
        <v>0.02</v>
      </c>
      <c r="N7" s="614">
        <f>'Daily Prod Format'!I1</f>
        <v>0</v>
      </c>
      <c r="O7" s="584" t="str">
        <f>IF(IFERROR(INDEX(Durgesh!F:Z, MATCH(B7, Durgesh!C:C, 0), MATCH("4-CLOSING", Durgesh!$F$3:$Z$3, 0)), "")=I7, "✓", "✗")</f>
        <v>✓</v>
      </c>
      <c r="P7" s="607"/>
      <c r="Q7" s="611" t="s">
        <v>344</v>
      </c>
      <c r="R7" s="612">
        <v>0</v>
      </c>
      <c r="S7" s="612">
        <v>0</v>
      </c>
      <c r="T7" s="612">
        <v>0</v>
      </c>
      <c r="U7" s="612">
        <v>0</v>
      </c>
      <c r="V7" s="612">
        <v>0</v>
      </c>
      <c r="W7" s="612">
        <v>0</v>
      </c>
      <c r="X7" s="610">
        <f t="shared" si="5"/>
        <v>0</v>
      </c>
    </row>
    <row r="8" spans="1:24" ht="12.75" customHeight="1">
      <c r="A8" s="600">
        <f t="shared" si="6"/>
        <v>5</v>
      </c>
      <c r="B8" s="1401" t="s">
        <v>344</v>
      </c>
      <c r="C8" s="1401"/>
      <c r="D8" s="601">
        <f>IFERROR(VLOOKUP(B8,Durgesh!C:E,3,FALSE()),"")</f>
        <v>316.55</v>
      </c>
      <c r="E8" s="601">
        <f t="array" ref="E8">IFERROR(SUMPRODUCT(IFERROR((Durgesh!$C$4:$C$1000='FC Report'!B8)*(Durgesh!$D$3:$Z$3="2-RECIEPT")*Durgesh!$D$4:$Z$1000,0)),"")</f>
        <v>0</v>
      </c>
      <c r="F8" s="602">
        <f t="shared" si="0"/>
        <v>316.55</v>
      </c>
      <c r="G8" s="601">
        <f t="array" ref="G8">IFERROR(SUMPRODUCT(IFERROR((Durgesh!$C$4:$C$1000='FC Report'!B8)*(Durgesh!$D$3:$Z$3="3-ISSUE")*Durgesh!$D$4:$Z$1000,0)),"")</f>
        <v>-2</v>
      </c>
      <c r="H8" s="603">
        <f t="array" ref="H8">IFERROR(SUM(INDEX(Durgesh!M:M, MATCH('FC Report'!B8, Durgesh!C:C, 0), {1})), "")</f>
        <v>0</v>
      </c>
      <c r="I8" s="601">
        <f t="shared" si="1"/>
        <v>314.55</v>
      </c>
      <c r="J8" s="604">
        <f t="shared" si="2"/>
        <v>52.833333333333336</v>
      </c>
      <c r="K8" s="602">
        <f t="shared" si="3"/>
        <v>0.18809720863742382</v>
      </c>
      <c r="L8" s="602">
        <f t="shared" si="4"/>
        <v>0.17493040403280416</v>
      </c>
      <c r="M8" s="615">
        <v>0.93</v>
      </c>
      <c r="N8" s="616"/>
      <c r="O8" s="584" t="str">
        <f>IF(IFERROR(INDEX(Durgesh!F:Z, MATCH(B8, Durgesh!C:C, 0), MATCH("4-CLOSING", Durgesh!$F$3:$Z$3, 0)), "")=I8, "✓", "✗")</f>
        <v>✓</v>
      </c>
      <c r="P8" s="607"/>
      <c r="Q8" s="611" t="s">
        <v>379</v>
      </c>
      <c r="R8" s="612">
        <v>50</v>
      </c>
      <c r="S8" s="612">
        <v>53</v>
      </c>
      <c r="T8" s="612">
        <v>54</v>
      </c>
      <c r="U8" s="612">
        <v>58</v>
      </c>
      <c r="V8" s="612">
        <v>52</v>
      </c>
      <c r="W8" s="612">
        <v>52</v>
      </c>
      <c r="X8" s="610">
        <f t="shared" si="5"/>
        <v>52.833333333333336</v>
      </c>
    </row>
    <row r="9" spans="1:24" ht="12.75" customHeight="1">
      <c r="A9" s="600">
        <f t="shared" si="6"/>
        <v>6</v>
      </c>
      <c r="B9" s="1401" t="s">
        <v>380</v>
      </c>
      <c r="C9" s="1401"/>
      <c r="D9" s="601">
        <f>IFERROR(VLOOKUP(B9,Durgesh!C:E,3,FALSE()),"")</f>
        <v>549.66899999999998</v>
      </c>
      <c r="E9" s="601">
        <f t="array" ref="E9">IFERROR(SUMPRODUCT(IFERROR((Durgesh!$C$4:$C$1000='FC Report'!B9)*(Durgesh!$D$3:$Z$3="2-RECIEPT")*Durgesh!$D$4:$Z$1000,0)),"")</f>
        <v>652.67999999999995</v>
      </c>
      <c r="F9" s="602">
        <f t="shared" si="0"/>
        <v>1202.3489999999999</v>
      </c>
      <c r="G9" s="601">
        <f t="array" ref="G9">IFERROR(SUMPRODUCT(IFERROR((Durgesh!$C$4:$C$1000='FC Report'!B9)*(Durgesh!$D$3:$Z$3="3-ISSUE")*Durgesh!$D$4:$Z$1000,0)),"")</f>
        <v>-519.96999999999991</v>
      </c>
      <c r="H9" s="603">
        <f t="array" ref="H9">IFERROR(SUM(INDEX(Durgesh!M:M, MATCH('FC Report'!B9, Durgesh!C:C, 0), {1})), "")</f>
        <v>-5.3</v>
      </c>
      <c r="I9" s="601">
        <f t="shared" si="1"/>
        <v>682.37900000000002</v>
      </c>
      <c r="J9" s="604">
        <f t="shared" si="2"/>
        <v>0</v>
      </c>
      <c r="K9" s="602">
        <f t="shared" si="3"/>
        <v>48.902452787600623</v>
      </c>
      <c r="L9" s="602">
        <f t="shared" si="4"/>
        <v>44.012207508840561</v>
      </c>
      <c r="M9" s="615">
        <v>0.9</v>
      </c>
      <c r="N9" s="616"/>
      <c r="O9" s="584" t="str">
        <f>IF(IFERROR(INDEX(Durgesh!F:Z, MATCH(B9, Durgesh!C:C, 0), MATCH("4-CLOSING", Durgesh!$F$3:$Z$3, 0)), "")=I9, "✓", "✗")</f>
        <v>✓</v>
      </c>
      <c r="P9" s="259"/>
      <c r="Q9" s="611" t="s">
        <v>381</v>
      </c>
      <c r="R9" s="612">
        <v>0</v>
      </c>
      <c r="S9" s="612">
        <v>0</v>
      </c>
      <c r="T9" s="612">
        <v>0</v>
      </c>
      <c r="U9" s="612">
        <v>0</v>
      </c>
      <c r="V9" s="612">
        <v>0</v>
      </c>
      <c r="W9" s="612">
        <v>0</v>
      </c>
      <c r="X9" s="610">
        <f t="shared" si="5"/>
        <v>0</v>
      </c>
    </row>
    <row r="10" spans="1:24" ht="12.75" customHeight="1">
      <c r="A10" s="600">
        <f t="shared" si="6"/>
        <v>7</v>
      </c>
      <c r="B10" s="1401" t="s">
        <v>382</v>
      </c>
      <c r="C10" s="1401"/>
      <c r="D10" s="601">
        <f>IFERROR(VLOOKUP(B10,Durgesh!C:E,3,FALSE()),"")</f>
        <v>0</v>
      </c>
      <c r="E10" s="601">
        <f t="array" ref="E10">IFERROR(SUMPRODUCT(IFERROR((Durgesh!$C$4:$C$1000='FC Report'!B10)*(Durgesh!$D$3:$Z$3="2-RECIEPT")*Durgesh!$D$4:$Z$1000,0)),"")</f>
        <v>0</v>
      </c>
      <c r="F10" s="602">
        <f t="shared" si="0"/>
        <v>0</v>
      </c>
      <c r="G10" s="601">
        <f t="array" ref="G10">IFERROR(SUMPRODUCT(IFERROR((Durgesh!$C$4:$C$1000='FC Report'!B10)*(Durgesh!$D$3:$Z$3="3-ISSUE")*Durgesh!$D$4:$Z$1000,0)),"")</f>
        <v>0</v>
      </c>
      <c r="H10" s="603">
        <f t="array" ref="H10">IFERROR(SUM(INDEX(Durgesh!M:M, MATCH('FC Report'!B10, Durgesh!C:C, 0), {1})), "")</f>
        <v>0</v>
      </c>
      <c r="I10" s="601">
        <f t="shared" si="1"/>
        <v>0</v>
      </c>
      <c r="J10" s="604">
        <f t="shared" si="2"/>
        <v>0.46666666666666667</v>
      </c>
      <c r="K10" s="602">
        <f t="shared" si="3"/>
        <v>0</v>
      </c>
      <c r="L10" s="602">
        <f t="shared" si="4"/>
        <v>0</v>
      </c>
      <c r="M10" s="617">
        <v>0.9</v>
      </c>
      <c r="N10" s="616"/>
      <c r="O10" s="584" t="str">
        <f>IF(IFERROR(INDEX(Durgesh!F:Z, MATCH(B10, Durgesh!C:C, 0), MATCH("4-CLOSING", Durgesh!$F$3:$Z$3, 0)), "")=I10, "✓", "✗")</f>
        <v>✓</v>
      </c>
      <c r="P10" s="607"/>
      <c r="Q10" s="611" t="s">
        <v>343</v>
      </c>
      <c r="R10" s="612">
        <v>1</v>
      </c>
      <c r="S10" s="612">
        <v>1</v>
      </c>
      <c r="T10" s="612">
        <v>0</v>
      </c>
      <c r="U10" s="612">
        <v>0</v>
      </c>
      <c r="V10" s="612">
        <v>0</v>
      </c>
      <c r="W10" s="612">
        <v>0</v>
      </c>
      <c r="X10" s="610">
        <f t="shared" si="5"/>
        <v>0.46666666666666667</v>
      </c>
    </row>
    <row r="11" spans="1:24" ht="12.75" customHeight="1">
      <c r="A11" s="600">
        <v>8</v>
      </c>
      <c r="B11" s="1401" t="s">
        <v>343</v>
      </c>
      <c r="C11" s="1401"/>
      <c r="D11" s="601">
        <f>IFERROR(VLOOKUP(B11,Durgesh!C:E,3,FALSE()),"")</f>
        <v>33.024999999999999</v>
      </c>
      <c r="E11" s="601">
        <f t="array" ref="E11">IFERROR(SUMPRODUCT(IFERROR((Durgesh!$C$4:$C$1000='FC Report'!B11)*(Durgesh!$D$3:$Z$3="2-RECIEPT")*Durgesh!$D$4:$Z$1000,0)),"")</f>
        <v>5.3</v>
      </c>
      <c r="F11" s="602">
        <f t="shared" si="0"/>
        <v>38.324999999999996</v>
      </c>
      <c r="G11" s="601">
        <f t="array" ref="G11">IFERROR(SUMPRODUCT(IFERROR((Durgesh!$C$4:$C$1000='FC Report'!B11)*(Durgesh!$D$3:$Z$3="3-ISSUE")*Durgesh!$D$4:$Z$1000,0)),"")</f>
        <v>-11</v>
      </c>
      <c r="H11" s="603">
        <f t="array" ref="H11">IFERROR(SUM(INDEX(Durgesh!M:M, MATCH('FC Report'!B11, Durgesh!C:C, 0), {1})), "")</f>
        <v>0</v>
      </c>
      <c r="I11" s="601">
        <f t="shared" si="1"/>
        <v>27.324999999999996</v>
      </c>
      <c r="J11" s="604">
        <f t="shared" si="2"/>
        <v>2</v>
      </c>
      <c r="K11" s="602">
        <f t="shared" si="3"/>
        <v>1.034534647505831</v>
      </c>
      <c r="L11" s="602">
        <f t="shared" si="4"/>
        <v>1.0138439545557143</v>
      </c>
      <c r="M11" s="615">
        <v>0.98</v>
      </c>
      <c r="N11" s="616"/>
      <c r="O11" s="584" t="str">
        <f>IF(IFERROR(INDEX(Durgesh!F:Z, MATCH(B11, Durgesh!C:C, 0), MATCH("4-CLOSING", Durgesh!$F$3:$Z$3, 0)), "")=I11, "✓", "✗")</f>
        <v>✓</v>
      </c>
      <c r="P11" s="618"/>
      <c r="Q11" s="611" t="s">
        <v>383</v>
      </c>
      <c r="R11" s="612">
        <v>2</v>
      </c>
      <c r="S11" s="612">
        <v>2</v>
      </c>
      <c r="T11" s="612">
        <v>2</v>
      </c>
      <c r="U11" s="612">
        <v>2</v>
      </c>
      <c r="V11" s="612">
        <v>2</v>
      </c>
      <c r="W11" s="612">
        <v>2</v>
      </c>
      <c r="X11" s="610">
        <f t="shared" si="5"/>
        <v>2</v>
      </c>
    </row>
    <row r="12" spans="1:24" ht="12.75" customHeight="1">
      <c r="A12" s="600">
        <v>9</v>
      </c>
      <c r="B12" s="1401" t="s">
        <v>384</v>
      </c>
      <c r="C12" s="1401"/>
      <c r="D12" s="601">
        <f>IFERROR(VLOOKUP(B12,Durgesh!C:E,3,FALSE()),"")</f>
        <v>33.61</v>
      </c>
      <c r="E12" s="601">
        <f t="array" ref="E12">IFERROR(SUMPRODUCT(IFERROR((Durgesh!$C$4:$C$1000='FC Report'!B12)*(Durgesh!$D$3:$Z$3="2-RECIEPT")*Durgesh!$D$4:$Z$1000,0)),"")</f>
        <v>24.536999999999999</v>
      </c>
      <c r="F12" s="601">
        <f t="shared" si="0"/>
        <v>58.146999999999998</v>
      </c>
      <c r="G12" s="601">
        <f t="array" ref="G12">IFERROR(SUMPRODUCT(IFERROR((Durgesh!$C$4:$C$1000='FC Report'!B12)*(Durgesh!$D$3:$Z$3="3-ISSUE")*Durgesh!$D$4:$Z$1000,0)),"")</f>
        <v>-22</v>
      </c>
      <c r="H12" s="603">
        <f t="array" ref="H12">IFERROR(SUM(INDEX(Durgesh!M:M, MATCH('FC Report'!B12, Durgesh!C:C, 0), {1})), "")</f>
        <v>0</v>
      </c>
      <c r="I12" s="601">
        <f t="shared" si="1"/>
        <v>36.146999999999998</v>
      </c>
      <c r="J12" s="604">
        <f t="shared" si="2"/>
        <v>0</v>
      </c>
      <c r="K12" s="602">
        <f t="shared" si="3"/>
        <v>2.069069295011662</v>
      </c>
      <c r="L12" s="602">
        <f t="shared" si="4"/>
        <v>1.862162365510496</v>
      </c>
      <c r="M12" s="615">
        <v>0.9</v>
      </c>
      <c r="N12" s="616"/>
      <c r="O12" s="584" t="str">
        <f>IF(IFERROR(INDEX(Durgesh!F:Z, MATCH(B12, Durgesh!C:C, 0), MATCH("4-CLOSING", Durgesh!$F$3:$Z$3, 0)), "")=I12, "✓", "✗")</f>
        <v>✓</v>
      </c>
      <c r="P12" s="619"/>
      <c r="Q12" s="611" t="s">
        <v>385</v>
      </c>
      <c r="R12" s="612">
        <v>0</v>
      </c>
      <c r="S12" s="612">
        <v>0</v>
      </c>
      <c r="T12" s="612">
        <v>0</v>
      </c>
      <c r="U12" s="612">
        <v>0</v>
      </c>
      <c r="V12" s="612">
        <v>0</v>
      </c>
      <c r="W12" s="612">
        <v>0</v>
      </c>
      <c r="X12" s="610">
        <f t="shared" si="5"/>
        <v>0</v>
      </c>
    </row>
    <row r="13" spans="1:24" ht="12.75" customHeight="1">
      <c r="A13" s="600">
        <f>+A12+1</f>
        <v>10</v>
      </c>
      <c r="B13" s="1401" t="s">
        <v>386</v>
      </c>
      <c r="C13" s="1401"/>
      <c r="D13" s="601">
        <f>IFERROR(VLOOKUP(B13,Durgesh!C:E,3,FALSE()),"")</f>
        <v>0</v>
      </c>
      <c r="E13" s="601">
        <f t="array" ref="E13">IFERROR(SUMPRODUCT(IFERROR((Durgesh!$C$4:$C$1000='FC Report'!B13)*(Durgesh!$D$3:$Z$3="2-RECIEPT")*Durgesh!$D$4:$Z$1000,0)),"")</f>
        <v>0</v>
      </c>
      <c r="F13" s="620">
        <f t="shared" si="0"/>
        <v>0</v>
      </c>
      <c r="G13" s="601">
        <f t="array" ref="G13">IFERROR(SUMPRODUCT(IFERROR((Durgesh!$C$4:$C$1000='FC Report'!B13)*(Durgesh!$D$3:$Z$3="3-ISSUE")*Durgesh!$D$4:$Z$1000,0)),"")</f>
        <v>0</v>
      </c>
      <c r="H13" s="603">
        <f t="array" ref="H13">IFERROR(SUM(INDEX(Durgesh!M:M, MATCH('FC Report'!B13, Durgesh!C:C, 0), {1})), "")</f>
        <v>0</v>
      </c>
      <c r="I13" s="601">
        <f t="shared" si="1"/>
        <v>0</v>
      </c>
      <c r="J13" s="604">
        <f t="shared" si="2"/>
        <v>0</v>
      </c>
      <c r="K13" s="602">
        <f t="shared" si="3"/>
        <v>0</v>
      </c>
      <c r="L13" s="602">
        <f t="shared" si="4"/>
        <v>0</v>
      </c>
      <c r="M13" s="615">
        <v>0.97</v>
      </c>
      <c r="N13" s="616"/>
      <c r="O13" s="584" t="str">
        <f>IF(IFERROR(INDEX(Durgesh!F:Z, MATCH(B13, Durgesh!C:C, 0), MATCH("4-CLOSING", Durgesh!$F$3:$Z$3, 0)), "")=I13, "✓", "✗")</f>
        <v>✓</v>
      </c>
      <c r="P13" s="619"/>
      <c r="Q13" s="611" t="s">
        <v>248</v>
      </c>
      <c r="R13" s="612">
        <v>0</v>
      </c>
      <c r="S13" s="612">
        <v>0</v>
      </c>
      <c r="T13" s="612">
        <v>0</v>
      </c>
      <c r="U13" s="612">
        <v>0</v>
      </c>
      <c r="V13" s="612">
        <v>0</v>
      </c>
      <c r="W13" s="612">
        <v>0</v>
      </c>
      <c r="X13" s="610">
        <f t="shared" si="5"/>
        <v>0</v>
      </c>
    </row>
    <row r="14" spans="1:24" ht="12.75" customHeight="1">
      <c r="A14" s="600">
        <f>+A13+1</f>
        <v>11</v>
      </c>
      <c r="B14" s="1401" t="s">
        <v>248</v>
      </c>
      <c r="C14" s="1401"/>
      <c r="D14" s="601">
        <f>IFERROR(VLOOKUP(B14,Durgesh!C:E,3,FALSE()),"")</f>
        <v>19.309999999999999</v>
      </c>
      <c r="E14" s="601">
        <f t="array" ref="E14">IFERROR(SUMPRODUCT(IFERROR((Durgesh!$C$4:$C$1000='FC Report'!B14)*(Durgesh!$D$3:$Z$3="2-RECIEPT")*Durgesh!$D$4:$Z$1000,0)),"")</f>
        <v>0</v>
      </c>
      <c r="F14" s="602">
        <f t="shared" si="0"/>
        <v>19.309999999999999</v>
      </c>
      <c r="G14" s="601">
        <f t="array" ref="G14">IFERROR(SUMPRODUCT(IFERROR((Durgesh!$C$4:$C$1000='FC Report'!B14)*(Durgesh!$D$3:$Z$3="3-ISSUE")*Durgesh!$D$4:$Z$1000,0)),"")</f>
        <v>-19.309999999999999</v>
      </c>
      <c r="H14" s="603">
        <f t="array" ref="H14">IFERROR(SUM(INDEX(Durgesh!M:M, MATCH('FC Report'!B14, Durgesh!C:C, 0), {1})), "")</f>
        <v>0</v>
      </c>
      <c r="I14" s="601">
        <f t="shared" si="1"/>
        <v>0</v>
      </c>
      <c r="J14" s="604">
        <f t="shared" si="2"/>
        <v>0</v>
      </c>
      <c r="K14" s="602">
        <f t="shared" si="3"/>
        <v>1.816078549394327</v>
      </c>
      <c r="L14" s="602">
        <f t="shared" si="4"/>
        <v>1.5799883379730646</v>
      </c>
      <c r="M14" s="615">
        <v>0.87</v>
      </c>
      <c r="N14" s="616"/>
      <c r="O14" s="584" t="str">
        <f>IF(IFERROR(INDEX(Durgesh!F:Z, MATCH(B14, Durgesh!C:C, 0), MATCH("4-CLOSING", Durgesh!$F$3:$Z$3, 0)), "")=I14, "✓", "✗")</f>
        <v>✓</v>
      </c>
      <c r="P14" s="619"/>
      <c r="Q14" s="611" t="s">
        <v>387</v>
      </c>
      <c r="R14" s="612">
        <v>0</v>
      </c>
      <c r="S14" s="612">
        <v>0</v>
      </c>
      <c r="T14" s="612">
        <v>0</v>
      </c>
      <c r="U14" s="612">
        <v>0</v>
      </c>
      <c r="V14" s="612">
        <v>0</v>
      </c>
      <c r="W14" s="612">
        <v>0</v>
      </c>
      <c r="X14" s="610">
        <f t="shared" si="5"/>
        <v>0</v>
      </c>
    </row>
    <row r="15" spans="1:24" ht="12.75" customHeight="1">
      <c r="A15" s="600">
        <f>+A14+1</f>
        <v>12</v>
      </c>
      <c r="B15" s="1401" t="s">
        <v>388</v>
      </c>
      <c r="C15" s="1401"/>
      <c r="D15" s="601">
        <f>IFERROR(VLOOKUP(B15,Durgesh!C:E,3,FALSE()),"")</f>
        <v>0</v>
      </c>
      <c r="E15" s="601">
        <f t="array" ref="E15">IFERROR(IF(SUMPRODUCT((Durgesh!$F$3:$Z$3="2-RECIEPT")*(Durgesh!$F$4:$Z$4="INTER STOCK TRANSFER")*(COLUMN(Durgesh!$F$3:$Z$3)-COLUMN(Durgesh!$F$3)+1))=0, 0, INDEX(Durgesh!F:Z, MATCH('FC Report'!B15, Durgesh!C:C, 0), SUMPRODUCT((Durgesh!$F$3:$Z$3="2-RECIEPT")*(Durgesh!$F$4:$Z$4="INTER STOCK TRANSFER")*(COLUMN(Durgesh!$F$3:$Z$3)-COLUMN(Durgesh!$F$3)+1)))), 0)</f>
        <v>0</v>
      </c>
      <c r="F15" s="602">
        <f t="shared" si="0"/>
        <v>0</v>
      </c>
      <c r="G15" s="601">
        <f t="array" ref="G15">IFERROR(INDEX(Durgesh!F:Z, MATCH('FC Report'!B15, Durgesh!C:C, 0), SUMPRODUCT((Durgesh!$F$3:$Z$3="3-ISSUE")*(Durgesh!$F$4:$Z$4="PRODUCTION")*(COLUMN(Durgesh!$F$3:$Z$3)-COLUMN(Durgesh!$F$3)+1))), "")</f>
        <v>0</v>
      </c>
      <c r="H15" s="603">
        <f t="array" ref="H15">IFERROR(SUM(INDEX(Durgesh!M:M, MATCH('FC Report'!B15, Durgesh!C:C, 0), {1})), "")</f>
        <v>0</v>
      </c>
      <c r="I15" s="601">
        <f t="shared" si="1"/>
        <v>0</v>
      </c>
      <c r="J15" s="604">
        <f t="shared" si="2"/>
        <v>0</v>
      </c>
      <c r="K15" s="602">
        <f t="shared" si="3"/>
        <v>0</v>
      </c>
      <c r="L15" s="602">
        <f t="shared" si="4"/>
        <v>0</v>
      </c>
      <c r="M15" s="615">
        <v>0.68</v>
      </c>
      <c r="N15" s="616"/>
      <c r="O15" s="584" t="str">
        <f>IF(IFERROR(INDEX(Durgesh!F:Z, MATCH(B15, Durgesh!C:C, 0), MATCH("4-CLOSING", Durgesh!$F$3:$Z$3, 0)), "")=I15, "✓", "✗")</f>
        <v>✓</v>
      </c>
      <c r="P15" s="607"/>
      <c r="Q15" s="611" t="s">
        <v>388</v>
      </c>
      <c r="R15" s="612">
        <v>0</v>
      </c>
      <c r="S15" s="612">
        <v>0</v>
      </c>
      <c r="T15" s="612">
        <v>0</v>
      </c>
      <c r="U15" s="612">
        <v>0</v>
      </c>
      <c r="V15" s="612">
        <v>0</v>
      </c>
      <c r="W15" s="612">
        <v>0</v>
      </c>
      <c r="X15" s="610">
        <f t="shared" si="5"/>
        <v>0</v>
      </c>
    </row>
    <row r="16" spans="1:24" ht="12.75" customHeight="1">
      <c r="A16" s="600">
        <f>+A15+1</f>
        <v>13</v>
      </c>
      <c r="B16" s="1425" t="s">
        <v>389</v>
      </c>
      <c r="C16" s="1425"/>
      <c r="D16" s="601">
        <f>IFERROR(VLOOKUP(B16,Durgesh!C:E,3,FALSE()),"")</f>
        <v>12.35</v>
      </c>
      <c r="E16" s="601">
        <f t="array" ref="E16">IFERROR(IF(SUMPRODUCT((Durgesh!$F$3:$Z$3="2-RECIEPT")*(Durgesh!$F$4:$Z$4="INTER STOCK TRANSFER")*(COLUMN(Durgesh!$F$3:$Z$3)-COLUMN(Durgesh!$F$3)+1))=0, 0, INDEX(Durgesh!F:Z, MATCH('FC Report'!B16, Durgesh!C:C, 0), SUMPRODUCT((Durgesh!$F$3:$Z$3="2-RECIEPT")*(Durgesh!$F$4:$Z$4="INTER STOCK TRANSFER")*(COLUMN(Durgesh!$F$3:$Z$3)-COLUMN(Durgesh!$F$3)+1)))), 0)</f>
        <v>33.409999999999997</v>
      </c>
      <c r="F16" s="620">
        <f t="shared" si="0"/>
        <v>45.76</v>
      </c>
      <c r="G16" s="601">
        <f t="array" ref="G16">IFERROR(INDEX(Durgesh!F:Z, MATCH('FC Report'!B16, Durgesh!C:C, 0), SUMPRODUCT((Durgesh!$F$3:$Z$3="3-ISSUE")*(Durgesh!$F$4:$Z$4="PRODUCTION")*(COLUMN(Durgesh!$F$3:$Z$3)-COLUMN(Durgesh!$F$3)+1))), "")</f>
        <v>-20</v>
      </c>
      <c r="H16" s="621">
        <f t="array" ref="H16">IFERROR(SUM(INDEX(Durgesh!M:M, MATCH('FC Report'!B16, Durgesh!C:C, 0), {1})), "")</f>
        <v>0</v>
      </c>
      <c r="I16" s="601">
        <f t="shared" si="1"/>
        <v>25.759999999999998</v>
      </c>
      <c r="J16" s="604">
        <f t="shared" si="2"/>
        <v>1</v>
      </c>
      <c r="K16" s="602">
        <f t="shared" si="3"/>
        <v>1.8809720863742381</v>
      </c>
      <c r="L16" s="602">
        <f t="shared" si="4"/>
        <v>1.279061018734482</v>
      </c>
      <c r="M16" s="615">
        <v>0.68</v>
      </c>
      <c r="N16" s="616"/>
      <c r="O16" s="584" t="str">
        <f>IF(IFERROR(INDEX(Durgesh!F:Z, MATCH(B16, Durgesh!C:C, 0), MATCH("4-CLOSING", Durgesh!$F$3:$Z$3, 0)), "")=I16, "✓", "✗")</f>
        <v>✓</v>
      </c>
      <c r="P16" s="607"/>
      <c r="Q16" s="622" t="s">
        <v>390</v>
      </c>
      <c r="R16" s="623">
        <v>1</v>
      </c>
      <c r="S16" s="623">
        <v>1</v>
      </c>
      <c r="T16" s="623">
        <v>1</v>
      </c>
      <c r="U16" s="623">
        <v>1</v>
      </c>
      <c r="V16" s="623">
        <v>1</v>
      </c>
      <c r="W16" s="623">
        <v>1</v>
      </c>
      <c r="X16" s="610">
        <f t="shared" si="5"/>
        <v>1</v>
      </c>
    </row>
    <row r="17" spans="1:24" s="633" customFormat="1" ht="13.5" customHeight="1">
      <c r="A17" s="624"/>
      <c r="B17" s="1426" t="s">
        <v>92</v>
      </c>
      <c r="C17" s="1426"/>
      <c r="D17" s="625">
        <f>SUM(D4:D16)</f>
        <v>2059.9540000000002</v>
      </c>
      <c r="E17" s="625">
        <f t="shared" ref="E17:L17" si="7">SUM(E4:E16)</f>
        <v>1016.997</v>
      </c>
      <c r="F17" s="625">
        <f t="shared" si="7"/>
        <v>3076.9509999999996</v>
      </c>
      <c r="G17" s="626">
        <f t="shared" si="7"/>
        <v>-1063.28</v>
      </c>
      <c r="H17" s="625">
        <f t="shared" si="7"/>
        <v>-5.3</v>
      </c>
      <c r="I17" s="625">
        <f t="shared" si="7"/>
        <v>2013.6709999999998</v>
      </c>
      <c r="J17" s="627">
        <f t="shared" si="7"/>
        <v>100</v>
      </c>
      <c r="K17" s="627">
        <f t="shared" si="7"/>
        <v>100</v>
      </c>
      <c r="L17" s="627">
        <f t="shared" si="7"/>
        <v>50.963311639455263</v>
      </c>
      <c r="M17" s="628"/>
      <c r="N17" s="629"/>
      <c r="O17" s="584"/>
      <c r="P17" s="630"/>
      <c r="Q17" s="611" t="s">
        <v>92</v>
      </c>
      <c r="R17" s="631">
        <f t="shared" ref="R17:X17" si="8">SUM(R4:R16)</f>
        <v>100</v>
      </c>
      <c r="S17" s="631">
        <f t="shared" si="8"/>
        <v>100</v>
      </c>
      <c r="T17" s="631">
        <f t="shared" si="8"/>
        <v>100</v>
      </c>
      <c r="U17" s="631">
        <f t="shared" si="8"/>
        <v>100</v>
      </c>
      <c r="V17" s="631">
        <f t="shared" si="8"/>
        <v>100</v>
      </c>
      <c r="W17" s="631">
        <f t="shared" si="8"/>
        <v>100</v>
      </c>
      <c r="X17" s="632">
        <f t="shared" si="8"/>
        <v>100</v>
      </c>
    </row>
    <row r="18" spans="1:24" ht="13.5" customHeight="1">
      <c r="A18" s="634">
        <v>14</v>
      </c>
      <c r="B18" s="1427" t="s">
        <v>391</v>
      </c>
      <c r="C18" s="1427"/>
      <c r="D18" s="635">
        <f>IFERROR(VLOOKUP(B18,Durgesh!C:E,3,FALSE()),"")</f>
        <v>0</v>
      </c>
      <c r="E18" s="635">
        <f t="array" ref="E18">IFERROR(IF(SUMPRODUCT((Durgesh!$F$3:$Z$3="2-RECIEPT")*(Durgesh!$F$4:$Z$4="INTER STOCK TRANSFER")*(COLUMN(Durgesh!$F$3:$Z$3)-COLUMN(Durgesh!$F$3)+1))=0, 0, INDEX(Durgesh!F:Z, MATCH('FC Report'!B18, Durgesh!C:C, 0), SUMPRODUCT((Durgesh!$F$3:$Z$3="2-RECIEPT")*(Durgesh!$F$4:$Z$4="INTER STOCK TRANSFER")*(COLUMN(Durgesh!$F$3:$Z$3)-COLUMN(Durgesh!$F$3)+1)))), 0)</f>
        <v>16.88</v>
      </c>
      <c r="F18" s="636">
        <f>(D18+E18)</f>
        <v>16.88</v>
      </c>
      <c r="G18" s="635">
        <f t="array" ref="G18">IFERROR(INDEX(Durgesh!F:Z, MATCH('FC Report'!B18, Durgesh!C:C, 0), SUMPRODUCT((Durgesh!$F$3:$Z$3="3-ISSUE")*(Durgesh!$F$4:$Z$4="PRODUCTION")*(COLUMN(Durgesh!$F$3:$Z$3)-COLUMN(Durgesh!$F$3)+1))), "")</f>
        <v>-9.5299999999999994</v>
      </c>
      <c r="H18" s="637"/>
      <c r="I18" s="638">
        <f>F18+G18</f>
        <v>7.35</v>
      </c>
      <c r="J18" s="639">
        <f>X18</f>
        <v>0</v>
      </c>
      <c r="K18" s="638">
        <v>0</v>
      </c>
      <c r="L18" s="638">
        <f>K18*M18</f>
        <v>0</v>
      </c>
      <c r="M18" s="640"/>
      <c r="N18" s="641"/>
      <c r="O18" s="584" t="str">
        <f>IF(IFERROR(INDEX(Durgesh!F:Z, MATCH(B18, Durgesh!C:C, 0), MATCH("4-CLOSING", Durgesh!$F$3:$Z$3, 0)), "")=I18, "✓", "✗")</f>
        <v>✓</v>
      </c>
      <c r="P18" s="607"/>
      <c r="Q18" s="642" t="s">
        <v>392</v>
      </c>
      <c r="R18" s="643">
        <v>0</v>
      </c>
      <c r="S18" s="643">
        <v>0</v>
      </c>
      <c r="T18" s="643">
        <v>0</v>
      </c>
      <c r="U18" s="643">
        <v>0</v>
      </c>
      <c r="V18" s="643">
        <v>0</v>
      </c>
      <c r="W18" s="643">
        <v>0</v>
      </c>
      <c r="X18" s="644">
        <f>(R18*$R$19+S18*$S$19+T18*$T$19+U18*$U$19+W18*$W$19+V18*$V$19)/$X$19</f>
        <v>0</v>
      </c>
    </row>
    <row r="19" spans="1:24" ht="15" customHeight="1">
      <c r="A19" s="1428" t="s">
        <v>393</v>
      </c>
      <c r="B19" s="1428"/>
      <c r="C19" s="1428"/>
      <c r="D19" s="1428"/>
      <c r="E19" s="1428"/>
      <c r="F19" s="1428"/>
      <c r="G19" s="1428"/>
      <c r="H19" s="1428"/>
      <c r="I19" s="1428"/>
      <c r="J19" s="1428"/>
      <c r="K19" s="1428"/>
      <c r="L19" s="645" t="s">
        <v>394</v>
      </c>
      <c r="M19" s="646">
        <v>15</v>
      </c>
      <c r="N19" s="647"/>
      <c r="O19" s="618"/>
      <c r="P19" s="648"/>
      <c r="Q19" s="649" t="s">
        <v>394</v>
      </c>
      <c r="R19" s="650">
        <v>7</v>
      </c>
      <c r="S19" s="650">
        <v>7</v>
      </c>
      <c r="T19" s="650">
        <v>7</v>
      </c>
      <c r="U19" s="650">
        <v>3</v>
      </c>
      <c r="V19" s="650">
        <v>4</v>
      </c>
      <c r="W19" s="650">
        <v>2</v>
      </c>
      <c r="X19" s="651">
        <f>SUM(R19:W19)</f>
        <v>30</v>
      </c>
    </row>
    <row r="20" spans="1:24" ht="39" customHeight="1">
      <c r="A20" s="652" t="s">
        <v>355</v>
      </c>
      <c r="B20" s="653" t="s">
        <v>395</v>
      </c>
      <c r="C20" s="653" t="s">
        <v>396</v>
      </c>
      <c r="D20" s="653" t="s">
        <v>397</v>
      </c>
      <c r="E20" s="653" t="s">
        <v>398</v>
      </c>
      <c r="F20" s="653" t="s">
        <v>399</v>
      </c>
      <c r="G20" s="653" t="s">
        <v>400</v>
      </c>
      <c r="H20" s="653" t="s">
        <v>401</v>
      </c>
      <c r="I20" s="653" t="s">
        <v>402</v>
      </c>
      <c r="J20" s="653" t="s">
        <v>403</v>
      </c>
      <c r="K20" s="653" t="s">
        <v>404</v>
      </c>
      <c r="L20" s="654" t="s">
        <v>405</v>
      </c>
      <c r="M20" s="655" t="s">
        <v>406</v>
      </c>
      <c r="N20" s="656" t="s">
        <v>407</v>
      </c>
      <c r="O20" s="657"/>
      <c r="P20" s="657"/>
      <c r="Q20" s="1420" t="s">
        <v>408</v>
      </c>
      <c r="R20" s="1420"/>
      <c r="S20" s="1420"/>
      <c r="T20" s="1420"/>
      <c r="U20" s="1420"/>
      <c r="V20" s="1420"/>
      <c r="W20" s="1420"/>
      <c r="X20" s="1420"/>
    </row>
    <row r="21" spans="1:24" ht="15" customHeight="1">
      <c r="A21" s="658">
        <v>1</v>
      </c>
      <c r="B21" s="659" t="s">
        <v>409</v>
      </c>
      <c r="C21" s="660"/>
      <c r="D21" s="661">
        <v>0.999</v>
      </c>
      <c r="E21" s="662">
        <f>(C21/$C$24)</f>
        <v>0</v>
      </c>
      <c r="F21" s="663"/>
      <c r="G21" s="664">
        <f>E21-F21</f>
        <v>0</v>
      </c>
      <c r="H21" s="662">
        <f>((C21/$M$19/24)/1000)/D21</f>
        <v>0</v>
      </c>
      <c r="I21" s="662"/>
      <c r="J21" s="662"/>
      <c r="K21" s="662" t="e">
        <f>H21/I21*100</f>
        <v>#DIV/0!</v>
      </c>
      <c r="L21" s="665"/>
      <c r="M21" s="666"/>
      <c r="N21" s="667">
        <f>C24/G17*100</f>
        <v>-114.71211722218042</v>
      </c>
      <c r="Q21" s="1421" t="s">
        <v>410</v>
      </c>
      <c r="R21" s="1421"/>
      <c r="S21" s="668" t="s">
        <v>411</v>
      </c>
      <c r="T21" s="668" t="s">
        <v>412</v>
      </c>
      <c r="U21" s="669" t="s">
        <v>413</v>
      </c>
      <c r="V21" s="670"/>
      <c r="X21" s="671"/>
    </row>
    <row r="22" spans="1:24" ht="15" customHeight="1">
      <c r="A22" s="658">
        <v>2</v>
      </c>
      <c r="B22" s="659" t="s">
        <v>414</v>
      </c>
      <c r="C22" s="660"/>
      <c r="D22" s="661">
        <v>0.999</v>
      </c>
      <c r="E22" s="662">
        <f>(C22/$C$24)</f>
        <v>0</v>
      </c>
      <c r="F22" s="665"/>
      <c r="G22" s="664">
        <f>E22-F22</f>
        <v>0</v>
      </c>
      <c r="H22" s="662">
        <f>((C22/$M$19/24)/1000)/D22</f>
        <v>0</v>
      </c>
      <c r="I22" s="662">
        <v>0</v>
      </c>
      <c r="J22" s="662"/>
      <c r="K22" s="662" t="e">
        <f>H22/I23*100</f>
        <v>#DIV/0!</v>
      </c>
      <c r="L22" s="665"/>
      <c r="M22" s="672"/>
      <c r="N22" s="673"/>
      <c r="Q22" s="1422">
        <v>349</v>
      </c>
      <c r="R22" s="1422"/>
      <c r="S22" s="674">
        <f>C24*0.5%</f>
        <v>6.0985550000000002</v>
      </c>
      <c r="T22" s="674">
        <f>C24*1.05%</f>
        <v>12.8069655</v>
      </c>
      <c r="U22" s="675">
        <f>S22-T22</f>
        <v>-6.7084105000000003</v>
      </c>
      <c r="V22" s="676"/>
      <c r="X22" s="671"/>
    </row>
    <row r="23" spans="1:24" ht="15" customHeight="1">
      <c r="A23" s="658"/>
      <c r="B23" s="659" t="s">
        <v>149</v>
      </c>
      <c r="C23" s="660">
        <f>SUM(C21:C22)</f>
        <v>0</v>
      </c>
      <c r="D23" s="662"/>
      <c r="E23" s="677">
        <f>SUM(E21:E22)</f>
        <v>0</v>
      </c>
      <c r="F23" s="663">
        <f>SUM(F21:F22)</f>
        <v>0</v>
      </c>
      <c r="G23" s="662">
        <f>SUM(G21:G22)</f>
        <v>0</v>
      </c>
      <c r="H23" s="662">
        <f>SUM(H21:H22)</f>
        <v>0</v>
      </c>
      <c r="I23" s="662">
        <f>SUM(I21:I22)</f>
        <v>0</v>
      </c>
      <c r="J23" s="662"/>
      <c r="K23" s="662" t="e">
        <f>SUM(K21:K22)</f>
        <v>#DIV/0!</v>
      </c>
      <c r="L23" s="678"/>
      <c r="M23" s="679">
        <f>C24/M19</f>
        <v>81.314066666666662</v>
      </c>
      <c r="N23" s="680"/>
      <c r="Q23" s="1423" t="s">
        <v>415</v>
      </c>
      <c r="R23" s="1423"/>
      <c r="S23" s="1423"/>
      <c r="T23" s="1423"/>
      <c r="U23" s="1423"/>
      <c r="V23" s="676"/>
      <c r="X23" s="671"/>
    </row>
    <row r="24" spans="1:24" ht="13.5" customHeight="1">
      <c r="A24" s="681"/>
      <c r="B24" s="682" t="s">
        <v>153</v>
      </c>
      <c r="C24" s="683">
        <f>E32+F32</f>
        <v>1219.711</v>
      </c>
      <c r="D24" s="684"/>
      <c r="E24" s="685"/>
      <c r="F24" s="684"/>
      <c r="G24" s="684"/>
      <c r="H24" s="685"/>
      <c r="I24" s="685"/>
      <c r="J24" s="684"/>
      <c r="K24" s="685"/>
      <c r="L24" s="685"/>
      <c r="M24" s="686"/>
      <c r="N24" s="687"/>
      <c r="Q24" s="688" t="s">
        <v>356</v>
      </c>
      <c r="R24" s="689" t="s">
        <v>357</v>
      </c>
      <c r="S24" s="690" t="s">
        <v>416</v>
      </c>
      <c r="T24" s="691" t="s">
        <v>167</v>
      </c>
      <c r="U24" s="692" t="s">
        <v>417</v>
      </c>
      <c r="V24" s="676"/>
      <c r="X24" s="671"/>
    </row>
    <row r="25" spans="1:24" ht="15.75" customHeight="1">
      <c r="A25" s="1424" t="s">
        <v>418</v>
      </c>
      <c r="B25" s="1424"/>
      <c r="C25" s="1424"/>
      <c r="D25" s="1424"/>
      <c r="E25" s="1424"/>
      <c r="F25" s="1424"/>
      <c r="G25" s="1424"/>
      <c r="H25" s="1424"/>
      <c r="I25" s="1424"/>
      <c r="J25" s="1424"/>
      <c r="K25" s="1424"/>
      <c r="L25" s="1424"/>
      <c r="M25" s="1424"/>
      <c r="N25" s="1424"/>
      <c r="Q25" s="693">
        <v>85.897000000000006</v>
      </c>
      <c r="R25" s="694">
        <v>189.68600000000001</v>
      </c>
      <c r="S25" s="695">
        <v>141.6</v>
      </c>
      <c r="T25" s="695">
        <f>SUM(Q25+R25)-S25</f>
        <v>133.98300000000003</v>
      </c>
      <c r="U25" s="696">
        <f>SUM(S25/C24*1000)</f>
        <v>116.09307450699387</v>
      </c>
      <c r="V25" s="670"/>
      <c r="X25" s="671"/>
    </row>
    <row r="26" spans="1:24" ht="15" customHeight="1">
      <c r="A26" s="1419" t="s">
        <v>419</v>
      </c>
      <c r="B26" s="1415" t="s">
        <v>420</v>
      </c>
      <c r="C26" s="1415"/>
      <c r="D26" s="1415"/>
      <c r="E26" s="1415" t="s">
        <v>421</v>
      </c>
      <c r="F26" s="1415"/>
      <c r="G26" s="1415" t="s">
        <v>422</v>
      </c>
      <c r="H26" s="1415"/>
      <c r="I26" s="1415" t="s">
        <v>423</v>
      </c>
      <c r="J26" s="1415"/>
      <c r="K26" s="1415" t="s">
        <v>155</v>
      </c>
      <c r="L26" s="1415"/>
      <c r="M26" s="697"/>
      <c r="N26" s="698"/>
      <c r="Q26" s="699"/>
      <c r="R26" s="700"/>
      <c r="S26" s="700"/>
      <c r="T26" s="700"/>
      <c r="U26" s="701"/>
      <c r="V26" s="670"/>
      <c r="X26" s="671"/>
    </row>
    <row r="27" spans="1:24" ht="26.25" customHeight="1">
      <c r="A27" s="1419"/>
      <c r="B27" s="702" t="s">
        <v>424</v>
      </c>
      <c r="C27" s="702" t="s">
        <v>425</v>
      </c>
      <c r="D27" s="702" t="s">
        <v>426</v>
      </c>
      <c r="E27" s="702" t="s">
        <v>425</v>
      </c>
      <c r="F27" s="702" t="s">
        <v>426</v>
      </c>
      <c r="G27" s="702" t="s">
        <v>425</v>
      </c>
      <c r="H27" s="702" t="s">
        <v>427</v>
      </c>
      <c r="I27" s="702" t="s">
        <v>425</v>
      </c>
      <c r="J27" s="702" t="s">
        <v>426</v>
      </c>
      <c r="K27" s="702" t="s">
        <v>425</v>
      </c>
      <c r="L27" s="702" t="s">
        <v>426</v>
      </c>
      <c r="M27" s="703" t="s">
        <v>424</v>
      </c>
      <c r="N27" s="704" t="s">
        <v>428</v>
      </c>
      <c r="O27" s="1416" t="s">
        <v>10</v>
      </c>
      <c r="P27" s="1416"/>
      <c r="Q27" s="1417" t="s">
        <v>429</v>
      </c>
      <c r="R27" s="1417"/>
      <c r="S27" s="1417"/>
      <c r="T27" s="1417"/>
      <c r="U27" s="1417"/>
      <c r="V27" s="670"/>
      <c r="X27" s="671"/>
    </row>
    <row r="28" spans="1:24" ht="13.5" customHeight="1">
      <c r="A28" s="705" t="s">
        <v>109</v>
      </c>
      <c r="B28" s="706">
        <f>C28/(0.078*6)</f>
        <v>5.9615384615384617</v>
      </c>
      <c r="C28" s="707">
        <f>SUMIFS(Durgesh!E:E, Durgesh!C:C, "*100X100 MM*")</f>
        <v>2.79</v>
      </c>
      <c r="D28" s="708">
        <f t="array" ref="D28">_xlfn._xlws.FILTER(Durgesh!E:E, ISNUMBER(SEARCH("100MM", Durgesh!C:C)) * ISNUMBER(SEARCH("RANDOM", Durgesh!C:C)))</f>
        <v>0</v>
      </c>
      <c r="E28" s="708">
        <f t="array" ref="E28">SUMPRODUCT(ISNUMBER(SEARCH("100MM",Durgesh!$C$6:$C$1000))*(ISNUMBER(SEARCH("RANDOM",Durgesh!$C$6:$C$1000))=FALSE())*INDEX(Durgesh!$F$6:$Z$1000,0,SUMPRODUCT((Durgesh!$F$3:$Z$3="2-RECIEPT")*(Durgesh!$F$4:$Z$4="PRODUCTION")*(COLUMN(Durgesh!$F$3:$Z$3)-COLUMN(Durgesh!$F$3)+1))))</f>
        <v>0</v>
      </c>
      <c r="F28" s="708">
        <f t="array" ref="F28">_xlfn._xlws.FILTER(INDEX(Durgesh!$F$6:$Z$1000,0,SUMPRODUCT((Durgesh!$F$3:$Z$3="2-RECIEPT")*(Durgesh!$F$4:$Z$4="PRODUCTION")*(COLUMN(Durgesh!$F$3:$Z$3)-COLUMN(Durgesh!$F$3)+1))), ISNUMBER(SEARCH("100MM",Durgesh!$C$6:$C$1000))*ISNUMBER(SEARCH("RANDOM",Durgesh!$C$6:$C$1000)))</f>
        <v>0</v>
      </c>
      <c r="G28" s="708">
        <f>SUMIFS(M2M!F:F, M2M!D:D, "*100MM*")</f>
        <v>0</v>
      </c>
      <c r="H28" s="707"/>
      <c r="I28" s="709">
        <v>0</v>
      </c>
      <c r="J28" s="709">
        <v>0</v>
      </c>
      <c r="K28" s="707">
        <f>C28+E28-G28+I28</f>
        <v>2.79</v>
      </c>
      <c r="L28" s="707">
        <f>D28+F28-H28+J28</f>
        <v>0</v>
      </c>
      <c r="M28" s="710">
        <f>K28/(0.078*6)</f>
        <v>5.9615384615384617</v>
      </c>
      <c r="N28" s="711">
        <f>(K28+L28+K29+L29+K31+L31+K30+L30)</f>
        <v>987.02400000000023</v>
      </c>
      <c r="O28" s="712" t="s">
        <v>430</v>
      </c>
      <c r="P28" s="713">
        <f ca="1">C24-'Monthly Prod'!B1</f>
        <v>1219.711</v>
      </c>
      <c r="Q28" s="714"/>
      <c r="R28" s="715"/>
      <c r="S28" s="715"/>
      <c r="T28" s="716"/>
      <c r="U28" s="717"/>
      <c r="V28" s="670"/>
      <c r="X28" s="671"/>
    </row>
    <row r="29" spans="1:24" ht="12.75" customHeight="1">
      <c r="A29" s="705" t="s">
        <v>120</v>
      </c>
      <c r="B29" s="706">
        <f>C29/(0.095*6)</f>
        <v>5.280701754385964</v>
      </c>
      <c r="C29" s="707">
        <f>SUMIFS(Durgesh!E:E, Durgesh!C:C, "*110X110 MM*")</f>
        <v>3.01</v>
      </c>
      <c r="D29" s="708">
        <f t="array" ref="D29">_xlfn._xlws.FILTER(Durgesh!E:E, ISNUMBER(SEARCH("110MM", Durgesh!C:C)) * ISNUMBER(SEARCH("RANDOM", Durgesh!C:C)))</f>
        <v>6.9109999999999996</v>
      </c>
      <c r="E29" s="708">
        <f t="array" ref="E29">SUMPRODUCT(ISNUMBER(SEARCH("110MM",Durgesh!$C$6:$C$1000))*(ISNUMBER(SEARCH("RANDOM",Durgesh!$C$6:$C$1000))=FALSE())*INDEX(Durgesh!$F$6:$Z$1000,0,SUMPRODUCT((Durgesh!$F$3:$Z$3="2-RECIEPT")*(Durgesh!$F$4:$Z$4="PRODUCTION")*(COLUMN(Durgesh!$F$3:$Z$3)-COLUMN(Durgesh!$F$3)+1))))</f>
        <v>0</v>
      </c>
      <c r="F29" s="708">
        <f t="array" ref="F29">_xlfn._xlws.FILTER(INDEX(Durgesh!$F$6:$Z$1000,0,SUMPRODUCT((Durgesh!$F$3:$Z$3="2-RECIEPT")*(Durgesh!$F$4:$Z$4="PRODUCTION")*(COLUMN(Durgesh!$F$3:$Z$3)-COLUMN(Durgesh!$F$3)+1))), ISNUMBER(SEARCH("110MM",Durgesh!$C$6:$C$1000))*ISNUMBER(SEARCH("RANDOM",Durgesh!$C$6:$C$1000)))</f>
        <v>0</v>
      </c>
      <c r="G29" s="708">
        <f>SUMIFS(M2M!F:F, M2M!D:D, "*110MM*")</f>
        <v>0</v>
      </c>
      <c r="H29" s="707"/>
      <c r="I29" s="709">
        <v>0</v>
      </c>
      <c r="J29" s="709">
        <v>0</v>
      </c>
      <c r="K29" s="707">
        <f>C29+E29-G29-I29</f>
        <v>3.01</v>
      </c>
      <c r="L29" s="707">
        <f>(D29+F29-J29)</f>
        <v>6.9109999999999996</v>
      </c>
      <c r="M29" s="710">
        <f>K29/(0.095*6)</f>
        <v>5.280701754385964</v>
      </c>
      <c r="N29" s="718"/>
      <c r="O29" s="712" t="s">
        <v>431</v>
      </c>
      <c r="P29" s="713">
        <f ca="1">(G32-('Monthly Prod'!C1+'Monthly Prod'!D1))</f>
        <v>910.76</v>
      </c>
      <c r="Q29" s="1418" t="s">
        <v>432</v>
      </c>
      <c r="R29" s="1418"/>
      <c r="S29" s="1418"/>
      <c r="T29" s="719"/>
      <c r="U29" s="618"/>
      <c r="V29" s="670"/>
      <c r="X29" s="671"/>
    </row>
    <row r="30" spans="1:24" ht="15.75" customHeight="1">
      <c r="A30" s="658" t="s">
        <v>122</v>
      </c>
      <c r="B30" s="706">
        <f>C30/(0.132*6)</f>
        <v>332.48232323232327</v>
      </c>
      <c r="C30" s="708">
        <f>SUMIFS(Durgesh!E:E, Durgesh!C:C, "*130MM*", Durgesh!C:C, "&lt;&gt;*RANDOM*")</f>
        <v>263.32600000000002</v>
      </c>
      <c r="D30" s="708">
        <f t="array" ref="D30">_xlfn._xlws.FILTER(Durgesh!E:E, ISNUMBER(SEARCH("130MM", Durgesh!C:C)) * ISNUMBER(SEARCH("RANDOM", Durgesh!C:C)))</f>
        <v>0</v>
      </c>
      <c r="E30" s="708">
        <f t="array" ref="E30">SUMPRODUCT(ISNUMBER(SEARCH("130MM",Durgesh!$C$6:$C$1000))*(ISNUMBER(SEARCH("RANDOM",Durgesh!$C$6:$C$1000))=FALSE())*INDEX(Durgesh!$F$6:$Z$1000,0,SUMPRODUCT((Durgesh!$F$3:$Z$3="2-RECIEPT")*(Durgesh!$F$4:$Z$4="PRODUCTION")*(COLUMN(Durgesh!$F$3:$Z$3)-COLUMN(Durgesh!$F$3)+1))))</f>
        <v>949.23500000000001</v>
      </c>
      <c r="F30" s="708">
        <f t="array" ref="F30">_xlfn._xlws.FILTER(INDEX(Durgesh!$F$6:$Z$1000,0,SUMPRODUCT((Durgesh!$F$3:$Z$3="2-RECIEPT")*(Durgesh!$F$4:$Z$4="PRODUCTION")*(COLUMN(Durgesh!$F$3:$Z$3)-COLUMN(Durgesh!$F$3)+1))), ISNUMBER(SEARCH("130MM",Durgesh!$C$6:$C$1000))*ISNUMBER(SEARCH("RANDOM",Durgesh!$C$6:$C$1000)))</f>
        <v>0</v>
      </c>
      <c r="G30" s="708">
        <f>SUMIFS(M2M!F:F, M2M!D:D, "*130MM*")</f>
        <v>660.48099999999999</v>
      </c>
      <c r="H30" s="708">
        <f>SUMIFS(M2M!E:E, M2M!D:D, "*130MM*")</f>
        <v>5.319</v>
      </c>
      <c r="I30" s="709">
        <v>0</v>
      </c>
      <c r="J30" s="709">
        <v>0</v>
      </c>
      <c r="K30" s="707">
        <f>(C30+E30+F30+H30)-(G30+I30)</f>
        <v>557.39900000000011</v>
      </c>
      <c r="L30" s="720">
        <f>D30</f>
        <v>0</v>
      </c>
      <c r="M30" s="710">
        <f>K30/(0.132*6)</f>
        <v>703.78661616161628</v>
      </c>
      <c r="N30" s="718"/>
      <c r="O30" s="721">
        <f>N28-(C28+C29)</f>
        <v>981.22400000000027</v>
      </c>
      <c r="P30" s="722">
        <f ca="1">O30-'Monthly Prod'!R5</f>
        <v>318.37000000000023</v>
      </c>
      <c r="Q30" s="1410" t="s">
        <v>433</v>
      </c>
      <c r="R30" s="1410"/>
      <c r="S30" s="1410"/>
      <c r="T30" s="723"/>
      <c r="U30" s="618"/>
      <c r="V30" s="670"/>
      <c r="X30" s="671"/>
    </row>
    <row r="31" spans="1:24" ht="12.75" customHeight="1">
      <c r="A31" s="658" t="s">
        <v>116</v>
      </c>
      <c r="B31" s="706">
        <f>C31/(0.201*6)</f>
        <v>325.55306799336654</v>
      </c>
      <c r="C31" s="708">
        <f>SUMIFS(Durgesh!E:E, Durgesh!C:C, "*160MM*", Durgesh!C:C, "&lt;&gt;*RANDOM*")</f>
        <v>392.61700000000002</v>
      </c>
      <c r="D31" s="708">
        <f t="array" ref="D31">_xlfn._xlws.FILTER(Durgesh!E:E, ISNUMBER(SEARCH("160MM", Durgesh!C:C)) * ISNUMBER(SEARCH("RANDOM", Durgesh!C:C)))</f>
        <v>0</v>
      </c>
      <c r="E31" s="708">
        <f t="array" ref="E31">SUMPRODUCT(ISNUMBER(SEARCH("160MM",Durgesh!$C$6:$C$1000))*(ISNUMBER(SEARCH("RANDOM",Durgesh!$C$6:$C$1000))=FALSE())*INDEX(Durgesh!$F$6:$Z$1000,0,SUMPRODUCT((Durgesh!$F$3:$Z$3="2-RECIEPT")*(Durgesh!$F$4:$Z$4="PRODUCTION")*(COLUMN(Durgesh!$F$3:$Z$3)-COLUMN(Durgesh!$F$3)+1))))</f>
        <v>270.476</v>
      </c>
      <c r="F31" s="708">
        <f t="array" ref="F31">_xlfn._xlws.FILTER(INDEX(Durgesh!$F$6:$Z$1000,0,SUMPRODUCT((Durgesh!$F$3:$Z$3="2-RECIEPT")*(Durgesh!$F$4:$Z$4="PRODUCTION")*(COLUMN(Durgesh!$F$3:$Z$3)-COLUMN(Durgesh!$F$3)+1))), ISNUMBER(SEARCH("160MM",Durgesh!$C$6:$C$1000))*ISNUMBER(SEARCH("RANDOM",Durgesh!$C$6:$C$1000)))</f>
        <v>0</v>
      </c>
      <c r="G31" s="708">
        <f>SUMIFS(M2M!F:F, M2M!D:D, "*160MM*")</f>
        <v>250.279</v>
      </c>
      <c r="H31" s="708">
        <f>SUMIFS(M2M!E:E, M2M!D:D, "*160MM*")</f>
        <v>4.0999999999999996</v>
      </c>
      <c r="I31" s="709">
        <v>0</v>
      </c>
      <c r="J31" s="709">
        <v>0</v>
      </c>
      <c r="K31" s="707">
        <f>(C31+E31+H31)-(G31+I31)</f>
        <v>416.9140000000001</v>
      </c>
      <c r="L31" s="707">
        <f>D31</f>
        <v>0</v>
      </c>
      <c r="M31" s="710">
        <f>K31/(0.201*6)</f>
        <v>345.6998341625208</v>
      </c>
      <c r="N31" s="718"/>
      <c r="Q31" s="1410" t="s">
        <v>434</v>
      </c>
      <c r="R31" s="1410"/>
      <c r="S31" s="1410"/>
      <c r="T31" s="724">
        <v>77989.7527527528</v>
      </c>
      <c r="U31" s="618"/>
      <c r="V31" s="670"/>
      <c r="X31" s="671"/>
    </row>
    <row r="32" spans="1:24" ht="15.75" customHeight="1">
      <c r="A32" s="725" t="s">
        <v>92</v>
      </c>
      <c r="B32" s="726">
        <f t="shared" ref="B32:M32" si="9">SUM(B28:B31)</f>
        <v>669.27763144161418</v>
      </c>
      <c r="C32" s="727">
        <f t="shared" si="9"/>
        <v>661.74300000000005</v>
      </c>
      <c r="D32" s="727">
        <f t="shared" si="9"/>
        <v>6.9109999999999996</v>
      </c>
      <c r="E32" s="727">
        <f t="shared" si="9"/>
        <v>1219.711</v>
      </c>
      <c r="F32" s="727">
        <f t="shared" si="9"/>
        <v>0</v>
      </c>
      <c r="G32" s="727">
        <f t="shared" si="9"/>
        <v>910.76</v>
      </c>
      <c r="H32" s="727">
        <f t="shared" si="9"/>
        <v>9.4190000000000005</v>
      </c>
      <c r="I32" s="709">
        <f t="shared" si="9"/>
        <v>0</v>
      </c>
      <c r="J32" s="709">
        <f t="shared" si="9"/>
        <v>0</v>
      </c>
      <c r="K32" s="728">
        <f t="shared" si="9"/>
        <v>980.11300000000017</v>
      </c>
      <c r="L32" s="727">
        <f t="shared" si="9"/>
        <v>6.9109999999999996</v>
      </c>
      <c r="M32" s="729">
        <f t="shared" si="9"/>
        <v>1060.7286905400615</v>
      </c>
      <c r="N32" s="730"/>
      <c r="O32" s="731" t="str">
        <f ca="1">IF(ABS(O30 - 'Monthly Prod'!R5) &lt;= 0.05, "✓", "✗")</f>
        <v>✗</v>
      </c>
      <c r="P32" s="721"/>
      <c r="Q32" s="1410" t="s">
        <v>435</v>
      </c>
      <c r="R32" s="1410"/>
      <c r="S32" s="1410"/>
      <c r="T32" s="732" t="e">
        <f>T30/T29</f>
        <v>#DIV/0!</v>
      </c>
      <c r="U32" s="618"/>
      <c r="V32" s="670"/>
      <c r="X32" s="671"/>
    </row>
    <row r="33" spans="1:24" ht="15.75" customHeight="1">
      <c r="A33" s="1411" t="s">
        <v>436</v>
      </c>
      <c r="B33" s="1411"/>
      <c r="C33" s="1411"/>
      <c r="D33" s="1411"/>
      <c r="E33" s="1411"/>
      <c r="F33" s="1411"/>
      <c r="G33" s="1411"/>
      <c r="H33" s="1411"/>
      <c r="I33" s="1411"/>
      <c r="J33" s="1411"/>
      <c r="K33" s="1411"/>
      <c r="L33" s="1411"/>
      <c r="M33" s="1411"/>
      <c r="N33" s="733"/>
      <c r="O33" s="734"/>
      <c r="P33" s="721"/>
      <c r="Q33" s="1412" t="s">
        <v>437</v>
      </c>
      <c r="R33" s="1412"/>
      <c r="S33" s="1412"/>
      <c r="T33" s="735" t="e">
        <f>T31/T30</f>
        <v>#DIV/0!</v>
      </c>
      <c r="U33" s="618"/>
      <c r="V33" s="670"/>
      <c r="X33" s="671"/>
    </row>
    <row r="34" spans="1:24" ht="12.75" customHeight="1">
      <c r="A34" s="1413" t="s">
        <v>438</v>
      </c>
      <c r="B34" s="1414" t="s">
        <v>439</v>
      </c>
      <c r="C34" s="1414" t="s">
        <v>440</v>
      </c>
      <c r="D34" s="1414" t="s">
        <v>441</v>
      </c>
      <c r="E34" s="1414"/>
      <c r="F34" s="1414" t="s">
        <v>442</v>
      </c>
      <c r="G34" s="1414"/>
      <c r="H34" s="1414" t="s">
        <v>443</v>
      </c>
      <c r="I34" s="1414"/>
      <c r="J34" s="1414" t="s">
        <v>444</v>
      </c>
      <c r="K34" s="1414" t="s">
        <v>445</v>
      </c>
      <c r="L34" s="1414" t="s">
        <v>446</v>
      </c>
      <c r="M34" s="1414"/>
      <c r="N34" s="737"/>
      <c r="O34" s="738"/>
      <c r="P34" s="739"/>
      <c r="Q34" s="738"/>
      <c r="R34" s="740"/>
      <c r="S34" s="740"/>
      <c r="T34" s="618"/>
      <c r="U34" s="618"/>
      <c r="V34" s="670"/>
      <c r="X34" s="671"/>
    </row>
    <row r="35" spans="1:24" ht="15" customHeight="1">
      <c r="A35" s="1413"/>
      <c r="B35" s="1414"/>
      <c r="C35" s="1414"/>
      <c r="D35" s="736" t="s">
        <v>447</v>
      </c>
      <c r="E35" s="736" t="s">
        <v>448</v>
      </c>
      <c r="F35" s="736" t="s">
        <v>449</v>
      </c>
      <c r="G35" s="736" t="s">
        <v>450</v>
      </c>
      <c r="H35" s="736" t="s">
        <v>449</v>
      </c>
      <c r="I35" s="736" t="s">
        <v>450</v>
      </c>
      <c r="J35" s="1414"/>
      <c r="K35" s="1414"/>
      <c r="L35" s="1414"/>
      <c r="M35" s="1414"/>
      <c r="N35" s="737"/>
      <c r="O35" s="741"/>
      <c r="P35" s="742"/>
      <c r="Q35" s="743"/>
      <c r="R35" s="618"/>
      <c r="S35" s="618"/>
      <c r="T35" s="740"/>
      <c r="U35" s="618"/>
      <c r="V35" s="670"/>
      <c r="X35" s="671"/>
    </row>
    <row r="36" spans="1:24" ht="18" customHeight="1">
      <c r="A36" s="744">
        <f>IFERROR(VLOOKUP(A33,Durgesh!C:E,3,FALSE()),"")</f>
        <v>189.66399999999999</v>
      </c>
      <c r="B36" s="745">
        <f t="array" ref="B36">IFERROR(IF(SUMPRODUCT((Durgesh!$F$3:$Z$3="2-RECIEPT")*(Durgesh!$F$4:$Z$4="PRODUCTION")*(COLUMN(Durgesh!$F$3:$Z$3)-COLUMN(Durgesh!$F$3)+1))=0, 0, INDEX(Durgesh!F:Z, MATCH('FC Report'!A33, Durgesh!C:C, 0), SUMPRODUCT((Durgesh!$F$3:$Z$3="2-RECIEPT")*(Durgesh!$F$4:$Z$4="PRODUCTION")*(COLUMN(Durgesh!$F$3:$Z$3)-COLUMN(Durgesh!$F$3)+1)))), 0)</f>
        <v>230</v>
      </c>
      <c r="C36" s="746">
        <f t="array" ref="C36">-IFERROR(INDEX(Durgesh!F:Z, MATCH('FC Report'!A33, Durgesh!C:C, 0), SUMPRODUCT((Durgesh!$F$3:$Z$3="3-ISSUE")*(Durgesh!$F$4:$Z$4="PRODUCTION")*(COLUMN(Durgesh!$F$3:$Z$3)-COLUMN(Durgesh!$F$3)+1))), "")</f>
        <v>156.88</v>
      </c>
      <c r="D36" s="747">
        <f>E16</f>
        <v>33.409999999999997</v>
      </c>
      <c r="E36" s="748"/>
      <c r="F36" s="749">
        <v>70</v>
      </c>
      <c r="G36" s="750">
        <v>0</v>
      </c>
      <c r="H36" s="749"/>
      <c r="I36" s="749"/>
      <c r="J36" s="751">
        <f>D36/C36</f>
        <v>0.21296532381438041</v>
      </c>
      <c r="K36" s="752">
        <f>C36-D36</f>
        <v>123.47</v>
      </c>
      <c r="L36" s="753">
        <f>(A36+B36)-C36</f>
        <v>262.78399999999999</v>
      </c>
      <c r="M36" s="754"/>
      <c r="N36" s="737"/>
      <c r="O36" s="755" t="str">
        <f>IF(IFERROR(INDEX(Durgesh!F:Z, MATCH(B36, Durgesh!C:C, 0), MATCH("4-CLOSING", Durgesh!$F$3:$Z$3, 0)), "")=I36, "✓", "✗")</f>
        <v>✓</v>
      </c>
      <c r="P36" s="756"/>
      <c r="Q36" s="757"/>
      <c r="R36" s="618"/>
      <c r="S36" s="618"/>
      <c r="T36" s="618"/>
      <c r="U36" s="618"/>
      <c r="V36" s="670"/>
      <c r="X36" s="671"/>
    </row>
    <row r="37" spans="1:24" ht="13.5" customHeight="1">
      <c r="A37" s="1407" t="s">
        <v>451</v>
      </c>
      <c r="B37" s="1407"/>
      <c r="C37" s="1407"/>
      <c r="D37" s="1407"/>
      <c r="E37" s="1407"/>
      <c r="F37" s="1407"/>
      <c r="G37" s="1407"/>
      <c r="H37" s="1407"/>
      <c r="I37" s="1407"/>
      <c r="J37" s="1407"/>
      <c r="K37" s="1407"/>
      <c r="L37" s="1407"/>
      <c r="M37" s="1407"/>
      <c r="N37" s="737"/>
      <c r="O37" s="758"/>
      <c r="P37" s="759"/>
      <c r="Q37" s="757"/>
      <c r="R37" s="618"/>
      <c r="S37" s="618"/>
      <c r="T37" s="618"/>
      <c r="U37" s="618"/>
      <c r="V37" s="670"/>
      <c r="X37" s="671"/>
    </row>
    <row r="38" spans="1:24" ht="12.75" customHeight="1">
      <c r="A38" s="1408" t="s">
        <v>452</v>
      </c>
      <c r="B38" s="1408"/>
      <c r="C38" s="1409" t="s">
        <v>438</v>
      </c>
      <c r="D38" s="1409"/>
      <c r="E38" s="1409" t="s">
        <v>439</v>
      </c>
      <c r="F38" s="1409"/>
      <c r="G38" s="1409" t="s">
        <v>453</v>
      </c>
      <c r="H38" s="1409"/>
      <c r="I38" s="1409" t="s">
        <v>454</v>
      </c>
      <c r="J38" s="1409"/>
      <c r="K38" s="1409" t="s">
        <v>455</v>
      </c>
      <c r="L38" s="1409"/>
      <c r="M38" s="648"/>
      <c r="N38" s="737"/>
      <c r="O38" s="757"/>
      <c r="P38" s="618"/>
      <c r="Q38" s="757"/>
      <c r="R38" s="618"/>
      <c r="S38" s="618"/>
      <c r="T38" s="618"/>
      <c r="U38" s="618"/>
      <c r="V38" s="670"/>
      <c r="X38" s="671"/>
    </row>
    <row r="39" spans="1:24" ht="19.5" customHeight="1">
      <c r="A39" s="1404" t="s">
        <v>451</v>
      </c>
      <c r="B39" s="1404"/>
      <c r="C39" s="1405">
        <f>IFERROR(VLOOKUP(A37,Durgesh!C:E,3,FALSE()),"")</f>
        <v>3463.663</v>
      </c>
      <c r="D39" s="1405"/>
      <c r="E39" s="1405">
        <f t="array" ref="E39">IFERROR(INDEX(Durgesh!F:Z, MATCH('FC Report'!A37, Durgesh!C:C, 0), SUMPRODUCT((Durgesh!$F$3:$Z$3="2-RECIEPT")*(Durgesh!$F$4:$Z$4="PRODUCTION")*(COLUMN(Durgesh!$F$3:$Z$3)-COLUMN(Durgesh!$F$3)+1))), "")</f>
        <v>106.59</v>
      </c>
      <c r="F39" s="1405"/>
      <c r="G39" s="1405">
        <f t="array" ref="G39">IFERROR(INDEX(Durgesh!F:Z, MATCH('FC Report'!A37, Durgesh!C:C, 0), SUMPRODUCT((Durgesh!$F$3:$Z$3="3-ISSUE")*(Durgesh!$F$4:$Z$4="ISSUE")*(COLUMN(Durgesh!$F$3:$Z$3)-COLUMN(Durgesh!$F$3)+1))), "")</f>
        <v>0</v>
      </c>
      <c r="H39" s="1405"/>
      <c r="I39" s="1406"/>
      <c r="J39" s="1406"/>
      <c r="K39" s="1398">
        <f>C39+E39+G39+I39</f>
        <v>3570.2530000000002</v>
      </c>
      <c r="L39" s="1398"/>
      <c r="M39" s="647"/>
      <c r="N39" s="760"/>
      <c r="O39" s="755" t="str">
        <f>IF(IFERROR(INDEX(Durgesh!F:Z, MATCH(B39, Durgesh!C:C, 0), MATCH("4-CLOSING", Durgesh!$F$3:$Z$3, 0)), "")=I39, "✓", "✗")</f>
        <v>✓</v>
      </c>
      <c r="P39" s="618"/>
      <c r="Q39" s="646"/>
      <c r="R39" s="761"/>
      <c r="S39" s="761"/>
      <c r="T39" s="761"/>
      <c r="U39" s="761"/>
      <c r="V39" s="762"/>
      <c r="W39" s="763"/>
      <c r="X39" s="764"/>
    </row>
    <row r="40" spans="1:24" ht="13.5" customHeight="1"/>
    <row r="41" spans="1:24" ht="15" customHeight="1">
      <c r="A41" s="765">
        <v>1</v>
      </c>
      <c r="B41" s="1399" t="s">
        <v>456</v>
      </c>
      <c r="C41" s="1399"/>
      <c r="D41" s="766">
        <f>IFERROR(VLOOKUP(B41,Durgesh!C:E,3,FALSE()),"")</f>
        <v>52.646000000000001</v>
      </c>
      <c r="E41" s="766">
        <f t="array" ref="E41">IFERROR(SUMPRODUCT(IFERROR((Durgesh!$C$4:$C$1000='FC Report'!B41)*(Durgesh!$D$3:$Z$3="2-RECIEPT")*Durgesh!$D$4:$Z$1000,0)),"")</f>
        <v>0</v>
      </c>
      <c r="F41" s="767">
        <f t="shared" ref="F41:F47" si="10">(D41+E41)</f>
        <v>52.646000000000001</v>
      </c>
      <c r="G41" s="766">
        <f t="array" ref="G41">IFERROR(SUMPRODUCT(IFERROR((Durgesh!$C$4:$C$1000='FC Report'!B41)*(Durgesh!$D$3:$Z$3="3-ISSUE")*Durgesh!$D$4:$Z$1000,0)),"")</f>
        <v>-15</v>
      </c>
      <c r="H41" s="768">
        <f t="array" ref="H41">IFERROR(SUM(INDEX(Durgesh!M:M, MATCH('FC Report'!B41, Durgesh!C:C, 0), {1})), "")</f>
        <v>0</v>
      </c>
      <c r="I41" s="766">
        <f t="shared" ref="I41:I47" si="11">F41+G41</f>
        <v>37.646000000000001</v>
      </c>
      <c r="J41" s="1400"/>
      <c r="K41" s="1400"/>
      <c r="L41" s="1400"/>
      <c r="M41" s="1400"/>
      <c r="N41" s="1400"/>
      <c r="O41" s="584" t="str">
        <f>IF(IFERROR(INDEX(Durgesh!F:Z, MATCH(B41, Durgesh!C:C, 0), MATCH("4-CLOSING", Durgesh!$F$3:$Z$3, 0)), "")=I41, "✓", "✗")</f>
        <v>✓</v>
      </c>
    </row>
    <row r="42" spans="1:24" ht="15" customHeight="1">
      <c r="A42" s="600">
        <f>+A41+1</f>
        <v>2</v>
      </c>
      <c r="B42" s="1401" t="s">
        <v>457</v>
      </c>
      <c r="C42" s="1401"/>
      <c r="D42" s="601">
        <f>IFERROR(VLOOKUP(B42,Durgesh!C:E,3,FALSE()),"")</f>
        <v>30.95</v>
      </c>
      <c r="E42" s="601">
        <f t="array" ref="E42">IFERROR(SUMPRODUCT(IFERROR((Durgesh!$C$4:$C$1000='FC Report'!B42)*(Durgesh!$D$3:$Z$3="2-RECIEPT")*Durgesh!$D$4:$Z$1000,0)),"")</f>
        <v>0.01</v>
      </c>
      <c r="F42" s="602">
        <f t="shared" si="10"/>
        <v>30.96</v>
      </c>
      <c r="G42" s="601">
        <f t="array" ref="G42">IFERROR(SUMPRODUCT(IFERROR((Durgesh!$C$4:$C$1000='FC Report'!B42)*(Durgesh!$D$3:$Z$3="3-ISSUE")*Durgesh!$D$4:$Z$1000,0)),"")</f>
        <v>0</v>
      </c>
      <c r="H42" s="603">
        <f t="array" ref="H42">IFERROR(SUM(INDEX(Durgesh!M:M, MATCH('FC Report'!B42, Durgesh!C:C, 0), {1})), "")</f>
        <v>0</v>
      </c>
      <c r="I42" s="601">
        <f t="shared" si="11"/>
        <v>30.96</v>
      </c>
      <c r="J42" s="1400"/>
      <c r="K42" s="1400"/>
      <c r="L42" s="1400"/>
      <c r="M42" s="1400"/>
      <c r="N42" s="1400"/>
      <c r="O42" s="584" t="str">
        <f>IF(IFERROR(INDEX(Durgesh!F:Z, MATCH(B42, Durgesh!C:C, 0), MATCH("4-CLOSING", Durgesh!$F$3:$Z$3, 0)), "")=I42, "✓", "✗")</f>
        <v>✓</v>
      </c>
    </row>
    <row r="43" spans="1:24" ht="15" customHeight="1">
      <c r="A43" s="600">
        <f>+A42+1</f>
        <v>3</v>
      </c>
      <c r="B43" s="1401" t="s">
        <v>458</v>
      </c>
      <c r="C43" s="1401"/>
      <c r="D43" s="601">
        <f>IFERROR(VLOOKUP(B43,Durgesh!C:E,3,FALSE()),"")</f>
        <v>26.18</v>
      </c>
      <c r="E43" s="601">
        <f t="array" ref="E43">IFERROR(SUMPRODUCT(IFERROR((Durgesh!$C$4:$C$1000='FC Report'!B43)*(Durgesh!$D$3:$Z$3="2-RECIEPT")*Durgesh!$D$4:$Z$1000,0)),"")</f>
        <v>1.1100000000000001</v>
      </c>
      <c r="F43" s="602">
        <f t="shared" si="10"/>
        <v>27.29</v>
      </c>
      <c r="G43" s="601">
        <f t="array" ref="G43">IFERROR(SUMPRODUCT(IFERROR((Durgesh!$C$4:$C$1000='FC Report'!B43)*(Durgesh!$D$3:$Z$3="3-ISSUE")*Durgesh!$D$4:$Z$1000,0)),"")</f>
        <v>0</v>
      </c>
      <c r="H43" s="603">
        <f t="array" ref="H43">IFERROR(SUM(INDEX(Durgesh!M:M, MATCH('FC Report'!B43, Durgesh!C:C, 0), {1})), "")</f>
        <v>0</v>
      </c>
      <c r="I43" s="601">
        <f t="shared" si="11"/>
        <v>27.29</v>
      </c>
      <c r="J43" s="1400"/>
      <c r="K43" s="1400"/>
      <c r="L43" s="1400"/>
      <c r="M43" s="1400"/>
      <c r="N43" s="1400"/>
      <c r="O43" s="584" t="str">
        <f>IF(IFERROR(INDEX(Durgesh!F:Z, MATCH(B43, Durgesh!C:C, 0), MATCH("4-CLOSING", Durgesh!$F$3:$Z$3, 0)), "")=I43, "✓", "✗")</f>
        <v>✓</v>
      </c>
    </row>
    <row r="44" spans="1:24" ht="15" customHeight="1">
      <c r="A44" s="600">
        <f>+A43+1</f>
        <v>4</v>
      </c>
      <c r="B44" s="1401" t="s">
        <v>436</v>
      </c>
      <c r="C44" s="1401"/>
      <c r="D44" s="601">
        <f>IFERROR(VLOOKUP(B44,Durgesh!C:E,3,FALSE()),"")</f>
        <v>189.66399999999999</v>
      </c>
      <c r="E44" s="601">
        <f t="array" ref="E44">IFERROR(SUMPRODUCT(IFERROR((Durgesh!$C$4:$C$1000='FC Report'!B44)*(Durgesh!$D$3:$Z$3="2-RECIEPT")*Durgesh!$D$4:$Z$1000,0)),"")</f>
        <v>466.08000000000004</v>
      </c>
      <c r="F44" s="602">
        <f t="shared" si="10"/>
        <v>655.74400000000003</v>
      </c>
      <c r="G44" s="601">
        <f t="array" ref="G44">IFERROR(SUMPRODUCT(IFERROR((Durgesh!$C$4:$C$1000='FC Report'!B44)*(Durgesh!$D$3:$Z$3="3-ISSUE")*Durgesh!$D$4:$Z$1000,0)),"")</f>
        <v>-392.96000000000004</v>
      </c>
      <c r="H44" s="603">
        <f t="array" ref="H44">IFERROR(SUM(INDEX(Durgesh!M:M, MATCH('FC Report'!B44, Durgesh!C:C, 0), {1})), "")</f>
        <v>0</v>
      </c>
      <c r="I44" s="601">
        <f t="shared" si="11"/>
        <v>262.78399999999999</v>
      </c>
      <c r="J44" s="1400"/>
      <c r="K44" s="1400"/>
      <c r="L44" s="1400"/>
      <c r="M44" s="1400"/>
      <c r="N44" s="1400"/>
      <c r="O44" s="584" t="str">
        <f>IF(IFERROR(INDEX(Durgesh!F:Z, MATCH(B44, Durgesh!C:C, 0), MATCH("4-CLOSING", Durgesh!$F$3:$Z$3, 0)), "")=I44, "✓", "✗")</f>
        <v>✓</v>
      </c>
    </row>
    <row r="45" spans="1:24" ht="15" customHeight="1">
      <c r="A45" s="600">
        <f>+A44+1</f>
        <v>5</v>
      </c>
      <c r="B45" s="1401" t="s">
        <v>459</v>
      </c>
      <c r="C45" s="1401"/>
      <c r="D45" s="601">
        <f>IFERROR(VLOOKUP(B45,Durgesh!C:E,3,FALSE()),"")</f>
        <v>132.87100000000001</v>
      </c>
      <c r="E45" s="601">
        <f t="array" ref="E45">IFERROR(SUMPRODUCT(IFERROR((Durgesh!$C$4:$C$1000='FC Report'!B45)*(Durgesh!$D$3:$Z$3="2-RECIEPT")*Durgesh!$D$4:$Z$1000,0)),"")</f>
        <v>0</v>
      </c>
      <c r="F45" s="602">
        <f t="shared" si="10"/>
        <v>132.87100000000001</v>
      </c>
      <c r="G45" s="601">
        <f t="array" ref="G45">IFERROR(SUMPRODUCT(IFERROR((Durgesh!$C$4:$C$1000='FC Report'!B45)*(Durgesh!$D$3:$Z$3="3-ISSUE")*Durgesh!$D$4:$Z$1000,0)),"")</f>
        <v>-2.5</v>
      </c>
      <c r="H45" s="603">
        <f t="array" ref="H45">IFERROR(SUM(INDEX(Durgesh!M:M, MATCH('FC Report'!B45, Durgesh!C:C, 0), {1})), "")</f>
        <v>0</v>
      </c>
      <c r="I45" s="601">
        <f t="shared" si="11"/>
        <v>130.37100000000001</v>
      </c>
      <c r="J45" s="1400"/>
      <c r="K45" s="1400"/>
      <c r="L45" s="1400"/>
      <c r="M45" s="1400"/>
      <c r="N45" s="1400"/>
      <c r="O45" s="584" t="str">
        <f>IF(IFERROR(INDEX(Durgesh!F:Z, MATCH(B45, Durgesh!C:C, 0), MATCH("4-CLOSING", Durgesh!$F$3:$Z$3, 0)), "")=I45, "✓", "✗")</f>
        <v>✓</v>
      </c>
    </row>
    <row r="46" spans="1:24" ht="24" customHeight="1">
      <c r="A46" s="600">
        <v>6</v>
      </c>
      <c r="B46" s="1402" t="s">
        <v>460</v>
      </c>
      <c r="C46" s="1402"/>
      <c r="D46" s="769">
        <f>IFERROR(VLOOKUP(B46,Durgesh!C:E,3,FALSE()),"")</f>
        <v>29.34</v>
      </c>
      <c r="E46" s="769">
        <f t="array" ref="E46">IFERROR(SUMPRODUCT(IFERROR((Durgesh!$C$4:$C$1000='FC Report'!B46)*(Durgesh!$D$3:$Z$3="2-RECIEPT")*Durgesh!$D$4:$Z$1000,0)),"")</f>
        <v>0</v>
      </c>
      <c r="F46" s="603">
        <f t="shared" si="10"/>
        <v>29.34</v>
      </c>
      <c r="G46" s="769">
        <f t="array" ref="G46">IFERROR(SUMPRODUCT(IFERROR((Durgesh!$C$4:$C$1000='FC Report'!B46)*(Durgesh!$D$3:$Z$3="3-ISSUE")*Durgesh!$D$4:$Z$1000,0)),"")</f>
        <v>0</v>
      </c>
      <c r="H46" s="603">
        <f t="array" ref="H46">IFERROR(SUM(INDEX(Durgesh!M:M, MATCH('FC Report'!B46, Durgesh!C:C, 0), {1})), "")</f>
        <v>0</v>
      </c>
      <c r="I46" s="769">
        <f t="shared" si="11"/>
        <v>29.34</v>
      </c>
      <c r="J46" s="1400"/>
      <c r="K46" s="1400"/>
      <c r="L46" s="1400"/>
      <c r="M46" s="1400"/>
      <c r="N46" s="1400"/>
      <c r="O46" s="584" t="str">
        <f>IF(IFERROR(INDEX(Durgesh!F:Z, MATCH(B46, Durgesh!C:C, 0), MATCH("4-CLOSING", Durgesh!$F$3:$Z$3, 0)), "")=I46, "✓", "✗")</f>
        <v>✓</v>
      </c>
    </row>
    <row r="47" spans="1:24" ht="15.75" customHeight="1">
      <c r="A47" s="770">
        <v>7</v>
      </c>
      <c r="B47" s="1403" t="s">
        <v>451</v>
      </c>
      <c r="C47" s="1403"/>
      <c r="D47" s="771">
        <f>IFERROR(VLOOKUP(B47,Durgesh!C:E,3,FALSE()),"")</f>
        <v>3463.663</v>
      </c>
      <c r="E47" s="771">
        <f t="array" ref="E47">IFERROR(SUMPRODUCT(IFERROR((Durgesh!$C$4:$C$1000='FC Report'!B47)*(Durgesh!$D$3:$Z$3="2-RECIEPT")*Durgesh!$D$4:$Z$1000,0)),"")</f>
        <v>106.59</v>
      </c>
      <c r="F47" s="772">
        <f t="shared" si="10"/>
        <v>3570.2530000000002</v>
      </c>
      <c r="G47" s="771">
        <f t="array" ref="G47">IFERROR(SUMPRODUCT(IFERROR((Durgesh!$C$4:$C$1000='FC Report'!B47)*(Durgesh!$D$3:$Z$3="3-ISSUE")*Durgesh!$D$4:$Z$1000,0)),"")</f>
        <v>0</v>
      </c>
      <c r="H47" s="749">
        <f t="array" ref="H47">IFERROR(SUM(INDEX(Durgesh!M:M, MATCH('FC Report'!B47, Durgesh!C:C, 0), {1})), "")</f>
        <v>0</v>
      </c>
      <c r="I47" s="771">
        <f t="shared" si="11"/>
        <v>3570.2530000000002</v>
      </c>
      <c r="J47" s="1400"/>
      <c r="K47" s="1400"/>
      <c r="L47" s="1400"/>
      <c r="M47" s="1400"/>
      <c r="N47" s="1400"/>
      <c r="O47" s="584" t="str">
        <f>IF(IFERROR(INDEX(Durgesh!F:Z, MATCH(B47, Durgesh!C:C, 0), MATCH("4-CLOSING", Durgesh!$F$3:$Z$3, 0)), "")=I47, "✓", "✗")</f>
        <v>✓</v>
      </c>
    </row>
  </sheetData>
  <mergeCells count="69">
    <mergeCell ref="A1:N1"/>
    <mergeCell ref="A2:N2"/>
    <mergeCell ref="Q2:X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K19"/>
    <mergeCell ref="Q20:X20"/>
    <mergeCell ref="Q21:R21"/>
    <mergeCell ref="Q22:R22"/>
    <mergeCell ref="Q23:U23"/>
    <mergeCell ref="A25:N25"/>
    <mergeCell ref="A26:A27"/>
    <mergeCell ref="B26:D26"/>
    <mergeCell ref="E26:F26"/>
    <mergeCell ref="G26:H26"/>
    <mergeCell ref="I26:J26"/>
    <mergeCell ref="K26:L26"/>
    <mergeCell ref="O27:P27"/>
    <mergeCell ref="Q27:U27"/>
    <mergeCell ref="Q29:S29"/>
    <mergeCell ref="Q30:S30"/>
    <mergeCell ref="Q31:S31"/>
    <mergeCell ref="Q32:S32"/>
    <mergeCell ref="A33:M33"/>
    <mergeCell ref="Q33:S33"/>
    <mergeCell ref="A34:A35"/>
    <mergeCell ref="B34:B35"/>
    <mergeCell ref="C34:C35"/>
    <mergeCell ref="D34:E34"/>
    <mergeCell ref="F34:G34"/>
    <mergeCell ref="H34:I34"/>
    <mergeCell ref="J34:J35"/>
    <mergeCell ref="K34:K35"/>
    <mergeCell ref="L34:M35"/>
    <mergeCell ref="A37:M37"/>
    <mergeCell ref="A38:B38"/>
    <mergeCell ref="C38:D38"/>
    <mergeCell ref="E38:F38"/>
    <mergeCell ref="G38:H38"/>
    <mergeCell ref="I38:J38"/>
    <mergeCell ref="K38:L38"/>
    <mergeCell ref="K39:L39"/>
    <mergeCell ref="B41:C41"/>
    <mergeCell ref="J41:N47"/>
    <mergeCell ref="B42:C42"/>
    <mergeCell ref="B43:C43"/>
    <mergeCell ref="B44:C44"/>
    <mergeCell ref="B45:C45"/>
    <mergeCell ref="B46:C46"/>
    <mergeCell ref="B47:C47"/>
    <mergeCell ref="A39:B39"/>
    <mergeCell ref="C39:D39"/>
    <mergeCell ref="E39:F39"/>
    <mergeCell ref="G39:H39"/>
    <mergeCell ref="I39:J39"/>
  </mergeCells>
  <conditionalFormatting sqref="P28:P29">
    <cfRule type="cellIs" dxfId="1129" priority="2" operator="greaterThan">
      <formula>0</formula>
    </cfRule>
    <cfRule type="cellIs" dxfId="1128" priority="3" operator="lessThan">
      <formula>0</formula>
    </cfRule>
  </conditionalFormatting>
  <conditionalFormatting sqref="P30">
    <cfRule type="cellIs" dxfId="1127" priority="4" operator="greaterThan">
      <formula>0</formula>
    </cfRule>
    <cfRule type="cellIs" dxfId="1126" priority="5" operator="lessThan">
      <formula>0</formula>
    </cfRule>
    <cfRule type="cellIs" dxfId="1125" priority="6" operator="lessThan">
      <formula>0</formula>
    </cfRule>
    <cfRule type="cellIs" dxfId="1124" priority="7" operator="lessThan">
      <formula>0</formula>
    </cfRule>
    <cfRule type="cellIs" dxfId="1123" priority="8" operator="lessThan">
      <formula>0</formula>
    </cfRule>
    <cfRule type="cellIs" dxfId="1122" priority="9" operator="greaterThan">
      <formula>0</formula>
    </cfRule>
  </conditionalFormatting>
  <conditionalFormatting sqref="O1:O1048576">
    <cfRule type="containsText" dxfId="1121" priority="10" operator="containsText" text="✗">
      <formula>NOT(ISERROR(SEARCH("✗",O1)))</formula>
    </cfRule>
    <cfRule type="containsText" dxfId="1120" priority="11" operator="containsText" text="✓">
      <formula>NOT(ISERROR(SEARCH("✓",O1)))</formula>
    </cfRule>
  </conditionalFormatting>
  <pageMargins left="0.196527777777778" right="0.27569444444444402" top="0.39374999999999999" bottom="0.59027777777777801" header="0.511811023622047" footer="0.511811023622047"/>
  <pageSetup paperSize="9" orientation="landscape" horizontalDpi="300" verticalDpi="300"/>
  <ignoredErrors>
    <ignoredError sqref="D17:M1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FF"/>
  </sheetPr>
  <dimension ref="A1:BP125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7109375" defaultRowHeight="15" customHeight="1"/>
  <cols>
    <col min="1" max="1" width="11.85546875" customWidth="1"/>
    <col min="2" max="2" width="11.140625" customWidth="1"/>
    <col min="3" max="3" width="36.85546875" customWidth="1"/>
    <col min="4" max="4" width="13.85546875" customWidth="1"/>
    <col min="5" max="5" width="11.28515625" customWidth="1"/>
    <col min="6" max="6" width="10.28515625" customWidth="1"/>
    <col min="7" max="7" width="11.140625" customWidth="1"/>
    <col min="8" max="8" width="10.7109375" customWidth="1"/>
    <col min="9" max="9" width="9.5703125" customWidth="1"/>
    <col min="10" max="10" width="12.85546875" customWidth="1"/>
    <col min="11" max="11" width="9.85546875" customWidth="1"/>
    <col min="12" max="12" width="8.140625" customWidth="1"/>
    <col min="13" max="14" width="9.140625" customWidth="1"/>
  </cols>
  <sheetData>
    <row r="1" spans="1:68" ht="18" customHeight="1">
      <c r="A1" s="1131" t="s">
        <v>461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5" t="s">
        <v>66</v>
      </c>
      <c r="R1" s="1135" t="s">
        <v>66</v>
      </c>
      <c r="S1" s="1135" t="s">
        <v>66</v>
      </c>
      <c r="T1" s="1135" t="s">
        <v>66</v>
      </c>
      <c r="U1" s="1135" t="s">
        <v>66</v>
      </c>
      <c r="V1" s="1135" t="s">
        <v>66</v>
      </c>
      <c r="W1" s="1135" t="s">
        <v>66</v>
      </c>
      <c r="X1" s="1135" t="s">
        <v>66</v>
      </c>
      <c r="Y1" s="1135" t="s">
        <v>66</v>
      </c>
      <c r="Z1" s="1135" t="s">
        <v>66</v>
      </c>
      <c r="AA1" s="1135" t="s">
        <v>66</v>
      </c>
      <c r="AB1" s="1135" t="s">
        <v>66</v>
      </c>
      <c r="AC1" s="1135" t="s">
        <v>66</v>
      </c>
      <c r="AD1" s="1135" t="s">
        <v>66</v>
      </c>
      <c r="AE1" s="1135" t="s">
        <v>66</v>
      </c>
      <c r="AF1" s="1135" t="s">
        <v>66</v>
      </c>
      <c r="AG1" s="1135" t="s">
        <v>66</v>
      </c>
      <c r="AH1" s="1135" t="s">
        <v>66</v>
      </c>
      <c r="AI1" s="1135" t="s">
        <v>66</v>
      </c>
      <c r="AJ1" s="1135" t="s">
        <v>66</v>
      </c>
      <c r="AK1" s="1135" t="s">
        <v>66</v>
      </c>
      <c r="AL1" s="1135" t="s">
        <v>66</v>
      </c>
      <c r="AM1" s="1135" t="s">
        <v>66</v>
      </c>
      <c r="AN1" s="1135" t="s">
        <v>66</v>
      </c>
      <c r="AO1" s="1135" t="s">
        <v>66</v>
      </c>
      <c r="AP1" s="1135" t="s">
        <v>66</v>
      </c>
      <c r="AQ1" s="1135" t="s">
        <v>66</v>
      </c>
      <c r="AR1" s="1135" t="s">
        <v>66</v>
      </c>
      <c r="AS1" s="1135" t="s">
        <v>66</v>
      </c>
      <c r="AT1" s="1135" t="s">
        <v>66</v>
      </c>
      <c r="AU1" s="1135" t="s">
        <v>66</v>
      </c>
      <c r="AV1" s="1135" t="s">
        <v>66</v>
      </c>
      <c r="AW1" s="1135" t="s">
        <v>66</v>
      </c>
      <c r="AX1" s="1135" t="s">
        <v>66</v>
      </c>
      <c r="AY1" s="1135" t="s">
        <v>66</v>
      </c>
      <c r="AZ1" s="1135" t="s">
        <v>66</v>
      </c>
      <c r="BA1" s="1135" t="s">
        <v>66</v>
      </c>
      <c r="BB1" s="1135" t="s">
        <v>66</v>
      </c>
      <c r="BC1" s="1135" t="s">
        <v>66</v>
      </c>
      <c r="BD1" s="1135" t="s">
        <v>66</v>
      </c>
      <c r="BE1" s="1135" t="s">
        <v>66</v>
      </c>
      <c r="BF1" s="1135" t="s">
        <v>66</v>
      </c>
      <c r="BG1" s="1135" t="s">
        <v>66</v>
      </c>
      <c r="BH1" s="1135" t="s">
        <v>66</v>
      </c>
      <c r="BI1" s="1135" t="s">
        <v>66</v>
      </c>
      <c r="BJ1" s="1135" t="s">
        <v>66</v>
      </c>
      <c r="BK1" s="1135" t="s">
        <v>66</v>
      </c>
      <c r="BL1" s="1135" t="s">
        <v>66</v>
      </c>
      <c r="BM1" s="1135" t="s">
        <v>66</v>
      </c>
      <c r="BN1" s="1135" t="s">
        <v>66</v>
      </c>
      <c r="BO1" s="983"/>
      <c r="BP1" s="983"/>
    </row>
    <row r="2" spans="1:68" ht="18" customHeight="1">
      <c r="A2" s="1131" t="s">
        <v>462</v>
      </c>
      <c r="B2" s="1130"/>
      <c r="C2" s="1130"/>
      <c r="D2" s="1130"/>
      <c r="E2" s="1130"/>
      <c r="F2" s="1130"/>
      <c r="G2" s="1130"/>
      <c r="H2" s="1130"/>
      <c r="I2" s="1130"/>
      <c r="J2" s="1130"/>
      <c r="K2" s="1130"/>
      <c r="L2" s="1130"/>
      <c r="M2" s="1130"/>
      <c r="N2" s="1130"/>
      <c r="O2" s="1130"/>
      <c r="P2" s="1130"/>
      <c r="Q2" s="1135" t="s">
        <v>66</v>
      </c>
      <c r="R2" s="1135" t="s">
        <v>66</v>
      </c>
      <c r="S2" s="1135" t="s">
        <v>66</v>
      </c>
      <c r="T2" s="1135" t="s">
        <v>66</v>
      </c>
      <c r="U2" s="1135" t="s">
        <v>66</v>
      </c>
      <c r="V2" s="1135" t="s">
        <v>66</v>
      </c>
      <c r="W2" s="1135" t="s">
        <v>66</v>
      </c>
      <c r="X2" s="1135" t="s">
        <v>66</v>
      </c>
      <c r="Y2" s="1135" t="s">
        <v>66</v>
      </c>
      <c r="Z2" s="1135" t="s">
        <v>66</v>
      </c>
      <c r="AA2" s="1135" t="s">
        <v>66</v>
      </c>
      <c r="AB2" s="1135" t="s">
        <v>66</v>
      </c>
      <c r="AC2" s="1135" t="s">
        <v>66</v>
      </c>
      <c r="AD2" s="1135" t="s">
        <v>66</v>
      </c>
      <c r="AE2" s="1135" t="s">
        <v>66</v>
      </c>
      <c r="AF2" s="1135" t="s">
        <v>66</v>
      </c>
      <c r="AG2" s="1135" t="s">
        <v>66</v>
      </c>
      <c r="AH2" s="1135" t="s">
        <v>66</v>
      </c>
      <c r="AI2" s="1135" t="s">
        <v>66</v>
      </c>
      <c r="AJ2" s="1135" t="s">
        <v>66</v>
      </c>
      <c r="AK2" s="1135" t="s">
        <v>66</v>
      </c>
      <c r="AL2" s="1135" t="s">
        <v>66</v>
      </c>
      <c r="AM2" s="1135" t="s">
        <v>66</v>
      </c>
      <c r="AN2" s="1135" t="s">
        <v>66</v>
      </c>
      <c r="AO2" s="1135" t="s">
        <v>66</v>
      </c>
      <c r="AP2" s="1135" t="s">
        <v>66</v>
      </c>
      <c r="AQ2" s="1135" t="s">
        <v>66</v>
      </c>
      <c r="AR2" s="1135" t="s">
        <v>66</v>
      </c>
      <c r="AS2" s="1135" t="s">
        <v>66</v>
      </c>
      <c r="AT2" s="1135" t="s">
        <v>66</v>
      </c>
      <c r="AU2" s="1135" t="s">
        <v>66</v>
      </c>
      <c r="AV2" s="1135" t="s">
        <v>66</v>
      </c>
      <c r="AW2" s="1135" t="s">
        <v>66</v>
      </c>
      <c r="AX2" s="1135" t="s">
        <v>66</v>
      </c>
      <c r="AY2" s="1135" t="s">
        <v>66</v>
      </c>
      <c r="AZ2" s="1135" t="s">
        <v>66</v>
      </c>
      <c r="BA2" s="1135" t="s">
        <v>66</v>
      </c>
      <c r="BB2" s="1135" t="s">
        <v>66</v>
      </c>
      <c r="BC2" s="1135" t="s">
        <v>66</v>
      </c>
      <c r="BD2" s="1135" t="s">
        <v>66</v>
      </c>
      <c r="BE2" s="1135" t="s">
        <v>66</v>
      </c>
      <c r="BF2" s="1135" t="s">
        <v>66</v>
      </c>
      <c r="BG2" s="1135" t="s">
        <v>66</v>
      </c>
      <c r="BH2" s="1135" t="s">
        <v>66</v>
      </c>
      <c r="BI2" s="1135" t="s">
        <v>66</v>
      </c>
      <c r="BJ2" s="1135" t="s">
        <v>66</v>
      </c>
      <c r="BK2" s="1135" t="s">
        <v>66</v>
      </c>
      <c r="BL2" s="1135" t="s">
        <v>66</v>
      </c>
      <c r="BM2" s="1135" t="s">
        <v>66</v>
      </c>
      <c r="BN2" s="1135" t="s">
        <v>66</v>
      </c>
      <c r="BO2" s="983"/>
      <c r="BP2" s="983"/>
    </row>
    <row r="3" spans="1:68" ht="15.75" customHeight="1">
      <c r="A3" s="1130"/>
      <c r="B3" s="1130"/>
      <c r="C3" s="1130"/>
      <c r="D3" s="1132" t="s">
        <v>463</v>
      </c>
      <c r="E3" s="1133" t="s">
        <v>464</v>
      </c>
      <c r="F3" s="1133" t="s">
        <v>465</v>
      </c>
      <c r="G3" s="1133" t="s">
        <v>465</v>
      </c>
      <c r="H3" s="1133" t="s">
        <v>465</v>
      </c>
      <c r="I3" s="1133" t="s">
        <v>465</v>
      </c>
      <c r="J3" s="1133" t="s">
        <v>465</v>
      </c>
      <c r="K3" s="1133" t="s">
        <v>466</v>
      </c>
      <c r="L3" s="1133" t="s">
        <v>466</v>
      </c>
      <c r="M3" s="1133" t="s">
        <v>466</v>
      </c>
      <c r="N3" s="1133" t="s">
        <v>466</v>
      </c>
      <c r="O3" s="1133" t="s">
        <v>466</v>
      </c>
      <c r="P3" s="1133" t="s">
        <v>467</v>
      </c>
      <c r="Q3" s="1135" t="s">
        <v>66</v>
      </c>
      <c r="R3" s="1135" t="s">
        <v>66</v>
      </c>
      <c r="S3" s="1135" t="s">
        <v>66</v>
      </c>
      <c r="T3" s="1135" t="s">
        <v>66</v>
      </c>
      <c r="U3" s="1135" t="s">
        <v>66</v>
      </c>
      <c r="V3" s="1135" t="s">
        <v>66</v>
      </c>
      <c r="W3" s="1135" t="s">
        <v>66</v>
      </c>
      <c r="X3" s="1135" t="s">
        <v>66</v>
      </c>
      <c r="Y3" s="1135" t="s">
        <v>66</v>
      </c>
      <c r="Z3" s="1135" t="s">
        <v>66</v>
      </c>
      <c r="AA3" s="1135" t="s">
        <v>66</v>
      </c>
      <c r="AB3" s="1135" t="s">
        <v>66</v>
      </c>
      <c r="AC3" s="1135" t="s">
        <v>66</v>
      </c>
      <c r="AD3" s="1135" t="s">
        <v>66</v>
      </c>
      <c r="AE3" s="1135" t="s">
        <v>66</v>
      </c>
      <c r="AF3" s="1135" t="s">
        <v>66</v>
      </c>
      <c r="AG3" s="1135" t="s">
        <v>66</v>
      </c>
      <c r="AH3" s="1135" t="s">
        <v>66</v>
      </c>
      <c r="AI3" s="1135" t="s">
        <v>66</v>
      </c>
      <c r="AJ3" s="1135" t="s">
        <v>66</v>
      </c>
      <c r="AK3" s="1135" t="s">
        <v>66</v>
      </c>
      <c r="AL3" s="1135" t="s">
        <v>66</v>
      </c>
      <c r="AM3" s="1135" t="s">
        <v>66</v>
      </c>
      <c r="AN3" s="1135" t="s">
        <v>66</v>
      </c>
      <c r="AO3" s="1135" t="s">
        <v>66</v>
      </c>
      <c r="AP3" s="1135" t="s">
        <v>66</v>
      </c>
      <c r="AQ3" s="1135" t="s">
        <v>66</v>
      </c>
      <c r="AR3" s="1135" t="s">
        <v>66</v>
      </c>
      <c r="AS3" s="1135" t="s">
        <v>66</v>
      </c>
      <c r="AT3" s="1135" t="s">
        <v>66</v>
      </c>
      <c r="AU3" s="1135" t="s">
        <v>66</v>
      </c>
      <c r="AV3" s="1135" t="s">
        <v>66</v>
      </c>
      <c r="AW3" s="1135" t="s">
        <v>66</v>
      </c>
      <c r="AX3" s="1135" t="s">
        <v>66</v>
      </c>
      <c r="AY3" s="1135" t="s">
        <v>66</v>
      </c>
      <c r="AZ3" s="1135" t="s">
        <v>66</v>
      </c>
      <c r="BA3" s="1135" t="s">
        <v>66</v>
      </c>
      <c r="BB3" s="1135" t="s">
        <v>66</v>
      </c>
      <c r="BC3" s="1135" t="s">
        <v>66</v>
      </c>
      <c r="BD3" s="1135" t="s">
        <v>66</v>
      </c>
      <c r="BE3" s="1135" t="s">
        <v>66</v>
      </c>
      <c r="BF3" s="1135" t="s">
        <v>66</v>
      </c>
      <c r="BG3" s="1135" t="s">
        <v>66</v>
      </c>
      <c r="BH3" s="1135" t="s">
        <v>66</v>
      </c>
      <c r="BI3" s="1135" t="s">
        <v>66</v>
      </c>
      <c r="BJ3" s="1135" t="s">
        <v>66</v>
      </c>
      <c r="BK3" s="1135" t="s">
        <v>66</v>
      </c>
      <c r="BL3" s="1135" t="s">
        <v>66</v>
      </c>
      <c r="BM3" s="1135" t="s">
        <v>66</v>
      </c>
      <c r="BN3" s="1135" t="s">
        <v>66</v>
      </c>
      <c r="BO3" s="983"/>
      <c r="BP3" s="983"/>
    </row>
    <row r="4" spans="1:68" ht="15" customHeight="1">
      <c r="A4" s="1130"/>
      <c r="B4" s="1130"/>
      <c r="C4" s="1130"/>
      <c r="D4" s="1132" t="s">
        <v>468</v>
      </c>
      <c r="E4" s="1133"/>
      <c r="F4" s="1133" t="s">
        <v>469</v>
      </c>
      <c r="G4" s="1133" t="s">
        <v>470</v>
      </c>
      <c r="H4" s="1133" t="s">
        <v>471</v>
      </c>
      <c r="I4" s="1133" t="s">
        <v>472</v>
      </c>
      <c r="J4" s="1133" t="s">
        <v>334</v>
      </c>
      <c r="K4" s="1133" t="s">
        <v>471</v>
      </c>
      <c r="L4" s="1133" t="s">
        <v>473</v>
      </c>
      <c r="M4" s="1133" t="s">
        <v>472</v>
      </c>
      <c r="N4" s="1133" t="s">
        <v>334</v>
      </c>
      <c r="O4" s="1133" t="s">
        <v>474</v>
      </c>
      <c r="P4" s="1133"/>
      <c r="Q4" s="1130"/>
      <c r="R4" s="1130"/>
      <c r="S4" s="1130"/>
      <c r="T4" s="1130"/>
      <c r="U4" s="1130"/>
      <c r="V4" s="1130"/>
      <c r="W4" s="1130"/>
      <c r="X4" s="1130"/>
      <c r="Y4" s="1130"/>
      <c r="Z4" s="1130"/>
      <c r="AA4" s="1130"/>
      <c r="AB4" s="1130"/>
      <c r="AC4" s="1130"/>
      <c r="AD4" s="1130"/>
      <c r="AE4" s="1130"/>
      <c r="AF4" s="1130"/>
      <c r="AG4" s="1130"/>
      <c r="AH4" s="1130"/>
      <c r="AI4" s="1130"/>
      <c r="AJ4" s="1130"/>
      <c r="AK4" s="1130"/>
      <c r="AL4" s="1130"/>
      <c r="AM4" s="1130"/>
      <c r="AN4" s="1130"/>
      <c r="AO4" s="1130"/>
      <c r="AP4" s="1130"/>
      <c r="AQ4" s="1130"/>
      <c r="AR4" s="1130"/>
      <c r="AS4" s="1130"/>
      <c r="AT4" s="1130"/>
      <c r="AU4" s="1130"/>
      <c r="AV4" s="1130"/>
      <c r="AW4" s="1130"/>
      <c r="AX4" s="1130"/>
      <c r="AY4" s="1130"/>
      <c r="AZ4" s="1130"/>
      <c r="BA4" s="1130"/>
      <c r="BB4" s="1130"/>
      <c r="BC4" s="1130"/>
      <c r="BD4" s="1130"/>
      <c r="BE4" s="1130"/>
      <c r="BF4" s="1130"/>
      <c r="BG4" s="1130"/>
      <c r="BH4" s="1130"/>
      <c r="BI4" s="1130"/>
      <c r="BJ4" s="1130"/>
      <c r="BK4" s="1130"/>
      <c r="BL4" s="1130"/>
      <c r="BM4" s="1130"/>
      <c r="BN4" s="1130"/>
      <c r="BO4" s="980"/>
      <c r="BP4" s="980"/>
    </row>
    <row r="5" spans="1:68" ht="15" customHeight="1">
      <c r="A5" s="1132" t="s">
        <v>475</v>
      </c>
      <c r="B5" s="1132" t="s">
        <v>476</v>
      </c>
      <c r="C5" s="1132" t="s">
        <v>477</v>
      </c>
      <c r="D5" s="1132" t="s">
        <v>475</v>
      </c>
      <c r="E5" s="1132" t="s">
        <v>478</v>
      </c>
      <c r="F5" s="1132" t="s">
        <v>478</v>
      </c>
      <c r="G5" s="1132" t="s">
        <v>478</v>
      </c>
      <c r="H5" s="1132" t="s">
        <v>478</v>
      </c>
      <c r="I5" s="1132" t="s">
        <v>478</v>
      </c>
      <c r="J5" s="1132" t="s">
        <v>478</v>
      </c>
      <c r="K5" s="1132" t="s">
        <v>478</v>
      </c>
      <c r="L5" s="1132" t="s">
        <v>478</v>
      </c>
      <c r="M5" s="1132" t="s">
        <v>478</v>
      </c>
      <c r="N5" s="1132" t="s">
        <v>478</v>
      </c>
      <c r="O5" s="1132" t="s">
        <v>478</v>
      </c>
      <c r="P5" s="1132" t="s">
        <v>478</v>
      </c>
      <c r="Q5" s="1132" t="s">
        <v>92</v>
      </c>
      <c r="R5" s="1130"/>
      <c r="S5" s="1130"/>
      <c r="T5" s="1130"/>
      <c r="U5" s="1130"/>
      <c r="V5" s="1130"/>
      <c r="W5" s="1130"/>
      <c r="X5" s="1130"/>
      <c r="Y5" s="1130"/>
      <c r="Z5" s="1130"/>
      <c r="AA5" s="1130"/>
      <c r="AB5" s="1130"/>
      <c r="AC5" s="1130"/>
      <c r="AD5" s="1130"/>
      <c r="AE5" s="1130"/>
      <c r="AF5" s="1130"/>
      <c r="AG5" s="1130"/>
      <c r="AH5" s="1130"/>
      <c r="AI5" s="1130"/>
      <c r="AJ5" s="1130"/>
      <c r="AK5" s="1130"/>
      <c r="AL5" s="1130"/>
      <c r="AM5" s="1130"/>
      <c r="AN5" s="1130"/>
      <c r="AO5" s="1130"/>
      <c r="AP5" s="1130"/>
      <c r="AQ5" s="1130"/>
      <c r="AR5" s="1130"/>
      <c r="AS5" s="1130"/>
      <c r="AT5" s="1130"/>
      <c r="AU5" s="1130"/>
      <c r="AV5" s="1130"/>
      <c r="AW5" s="1130"/>
      <c r="AX5" s="1130"/>
      <c r="AY5" s="1130"/>
      <c r="AZ5" s="1130"/>
      <c r="BA5" s="1130"/>
      <c r="BB5" s="1130"/>
      <c r="BC5" s="1130"/>
      <c r="BD5" s="1130"/>
      <c r="BE5" s="1130"/>
      <c r="BF5" s="1130"/>
      <c r="BG5" s="1130"/>
      <c r="BH5" s="1130"/>
      <c r="BI5" s="1130"/>
      <c r="BJ5" s="1130"/>
      <c r="BK5" s="1130"/>
      <c r="BL5" s="1130"/>
      <c r="BM5" s="1130"/>
      <c r="BN5" s="1130"/>
      <c r="BO5" s="980"/>
      <c r="BP5" s="980"/>
    </row>
    <row r="6" spans="1:68" ht="15" customHeight="1">
      <c r="A6" s="1134" t="s">
        <v>479</v>
      </c>
      <c r="B6" s="1134" t="s">
        <v>480</v>
      </c>
      <c r="C6" s="1134" t="s">
        <v>376</v>
      </c>
      <c r="D6" s="1134" t="s">
        <v>479</v>
      </c>
      <c r="E6" s="1133">
        <v>65.86</v>
      </c>
      <c r="F6" s="1133">
        <v>0</v>
      </c>
      <c r="G6" s="1133">
        <v>44.86</v>
      </c>
      <c r="H6" s="1133">
        <v>0</v>
      </c>
      <c r="I6" s="1133">
        <v>0</v>
      </c>
      <c r="J6" s="1133">
        <v>0</v>
      </c>
      <c r="K6" s="1133">
        <v>0</v>
      </c>
      <c r="L6" s="1133">
        <v>0</v>
      </c>
      <c r="M6" s="1133">
        <v>0</v>
      </c>
      <c r="N6" s="1133">
        <v>-53</v>
      </c>
      <c r="O6" s="1133">
        <v>0</v>
      </c>
      <c r="P6" s="1133">
        <v>57.72</v>
      </c>
      <c r="Q6" s="1133">
        <v>115.44</v>
      </c>
      <c r="R6" s="1130"/>
      <c r="S6" s="1130"/>
      <c r="T6" s="1130"/>
      <c r="U6" s="1130"/>
      <c r="V6" s="1130"/>
      <c r="W6" s="1130"/>
      <c r="X6" s="1130"/>
      <c r="Y6" s="1130"/>
      <c r="Z6" s="1130"/>
      <c r="AA6" s="1130"/>
      <c r="AB6" s="1130"/>
      <c r="AC6" s="1130"/>
      <c r="AD6" s="1130"/>
      <c r="AE6" s="1130"/>
      <c r="AF6" s="1130"/>
      <c r="AG6" s="1130"/>
      <c r="AH6" s="1130"/>
      <c r="AI6" s="1130"/>
      <c r="AJ6" s="1130"/>
      <c r="AK6" s="1130"/>
      <c r="AL6" s="1130"/>
      <c r="AM6" s="1130"/>
      <c r="AN6" s="1130"/>
      <c r="AO6" s="1130"/>
      <c r="AP6" s="1130"/>
      <c r="AQ6" s="1130"/>
      <c r="AR6" s="1130"/>
      <c r="AS6" s="1130"/>
      <c r="AT6" s="1130"/>
      <c r="AU6" s="1130"/>
      <c r="AV6" s="1130"/>
      <c r="AW6" s="1130"/>
      <c r="AX6" s="1130"/>
      <c r="AY6" s="1130"/>
      <c r="AZ6" s="1130"/>
      <c r="BA6" s="1130"/>
      <c r="BB6" s="1130"/>
      <c r="BC6" s="1130"/>
      <c r="BD6" s="1130"/>
      <c r="BE6" s="1130"/>
      <c r="BF6" s="1130"/>
      <c r="BG6" s="1130"/>
      <c r="BH6" s="1130"/>
      <c r="BI6" s="1130"/>
      <c r="BJ6" s="1130"/>
      <c r="BK6" s="1130"/>
      <c r="BL6" s="1130"/>
      <c r="BM6" s="1130"/>
      <c r="BN6" s="1130"/>
      <c r="BO6" s="980"/>
      <c r="BP6" s="980"/>
    </row>
    <row r="7" spans="1:68" ht="15" customHeight="1">
      <c r="A7" s="1134" t="s">
        <v>479</v>
      </c>
      <c r="B7" s="1134" t="s">
        <v>481</v>
      </c>
      <c r="C7" s="1134" t="s">
        <v>378</v>
      </c>
      <c r="D7" s="1134" t="s">
        <v>479</v>
      </c>
      <c r="E7" s="1133">
        <v>131.63</v>
      </c>
      <c r="F7" s="1133">
        <v>0</v>
      </c>
      <c r="G7" s="1133">
        <v>256.20999999999998</v>
      </c>
      <c r="H7" s="1133">
        <v>0</v>
      </c>
      <c r="I7" s="1133">
        <v>0</v>
      </c>
      <c r="J7" s="1133">
        <v>0</v>
      </c>
      <c r="K7" s="1133">
        <v>0</v>
      </c>
      <c r="L7" s="1133">
        <v>0</v>
      </c>
      <c r="M7" s="1133">
        <v>0</v>
      </c>
      <c r="N7" s="1133">
        <v>-241</v>
      </c>
      <c r="O7" s="1133">
        <v>0</v>
      </c>
      <c r="P7" s="1133">
        <v>146.84</v>
      </c>
      <c r="Q7" s="1133">
        <v>293.68</v>
      </c>
      <c r="R7" s="1130"/>
      <c r="S7" s="1130"/>
      <c r="T7" s="1130"/>
      <c r="U7" s="1130"/>
      <c r="V7" s="1130"/>
      <c r="W7" s="1130"/>
      <c r="X7" s="1130"/>
      <c r="Y7" s="1130"/>
      <c r="Z7" s="1130"/>
      <c r="AA7" s="1130"/>
      <c r="AB7" s="1130"/>
      <c r="AC7" s="1130"/>
      <c r="AD7" s="1130"/>
      <c r="AE7" s="1130"/>
      <c r="AF7" s="1130"/>
      <c r="AG7" s="1130"/>
      <c r="AH7" s="1130"/>
      <c r="AI7" s="1130"/>
      <c r="AJ7" s="1130"/>
      <c r="AK7" s="1130"/>
      <c r="AL7" s="1130"/>
      <c r="AM7" s="1130"/>
      <c r="AN7" s="1130"/>
      <c r="AO7" s="1130"/>
      <c r="AP7" s="1130"/>
      <c r="AQ7" s="1130"/>
      <c r="AR7" s="1130"/>
      <c r="AS7" s="1130"/>
      <c r="AT7" s="1130"/>
      <c r="AU7" s="1130"/>
      <c r="AV7" s="1130"/>
      <c r="AW7" s="1130"/>
      <c r="AX7" s="1130"/>
      <c r="AY7" s="1130"/>
      <c r="AZ7" s="1130"/>
      <c r="BA7" s="1130"/>
      <c r="BB7" s="1130"/>
      <c r="BC7" s="1130"/>
      <c r="BD7" s="1130"/>
      <c r="BE7" s="1130"/>
      <c r="BF7" s="1130"/>
      <c r="BG7" s="1130"/>
      <c r="BH7" s="1130"/>
      <c r="BI7" s="1130"/>
      <c r="BJ7" s="1130"/>
      <c r="BK7" s="1130"/>
      <c r="BL7" s="1130"/>
      <c r="BM7" s="1130"/>
      <c r="BN7" s="1130"/>
      <c r="BO7" s="980"/>
      <c r="BP7" s="980"/>
    </row>
    <row r="8" spans="1:68" ht="15" customHeight="1">
      <c r="A8" s="1134" t="s">
        <v>479</v>
      </c>
      <c r="B8" s="1134" t="s">
        <v>482</v>
      </c>
      <c r="C8" s="1134" t="s">
        <v>375</v>
      </c>
      <c r="D8" s="1134" t="s">
        <v>479</v>
      </c>
      <c r="E8" s="1133">
        <v>0</v>
      </c>
      <c r="F8" s="1133">
        <v>0</v>
      </c>
      <c r="G8" s="1133">
        <v>0</v>
      </c>
      <c r="H8" s="1133">
        <v>0</v>
      </c>
      <c r="I8" s="1133">
        <v>0</v>
      </c>
      <c r="J8" s="1133">
        <v>0</v>
      </c>
      <c r="K8" s="1133">
        <v>0</v>
      </c>
      <c r="L8" s="1133">
        <v>0</v>
      </c>
      <c r="M8" s="1133">
        <v>0</v>
      </c>
      <c r="N8" s="1133">
        <v>0</v>
      </c>
      <c r="O8" s="1133">
        <v>0</v>
      </c>
      <c r="P8" s="1133">
        <v>0</v>
      </c>
      <c r="Q8" s="1133">
        <v>0</v>
      </c>
      <c r="R8" s="1130"/>
      <c r="S8" s="1130"/>
      <c r="T8" s="1130"/>
      <c r="U8" s="1130"/>
      <c r="V8" s="1130"/>
      <c r="W8" s="1130"/>
      <c r="X8" s="1130"/>
      <c r="Y8" s="1130"/>
      <c r="Z8" s="1130"/>
      <c r="AA8" s="1130"/>
      <c r="AB8" s="1130"/>
      <c r="AC8" s="1130"/>
      <c r="AD8" s="1130"/>
      <c r="AE8" s="1130"/>
      <c r="AF8" s="1130"/>
      <c r="AG8" s="1130"/>
      <c r="AH8" s="1130"/>
      <c r="AI8" s="1130"/>
      <c r="AJ8" s="1130"/>
      <c r="AK8" s="1130"/>
      <c r="AL8" s="1130"/>
      <c r="AM8" s="1130"/>
      <c r="AN8" s="1130"/>
      <c r="AO8" s="1130"/>
      <c r="AP8" s="1130"/>
      <c r="AQ8" s="1130"/>
      <c r="AR8" s="1130"/>
      <c r="AS8" s="1130"/>
      <c r="AT8" s="1130"/>
      <c r="AU8" s="1130"/>
      <c r="AV8" s="1130"/>
      <c r="AW8" s="1130"/>
      <c r="AX8" s="1130"/>
      <c r="AY8" s="1130"/>
      <c r="AZ8" s="1130"/>
      <c r="BA8" s="1130"/>
      <c r="BB8" s="1130"/>
      <c r="BC8" s="1130"/>
      <c r="BD8" s="1130"/>
      <c r="BE8" s="1130"/>
      <c r="BF8" s="1130"/>
      <c r="BG8" s="1130"/>
      <c r="BH8" s="1130"/>
      <c r="BI8" s="1130"/>
      <c r="BJ8" s="1130"/>
      <c r="BK8" s="1130"/>
      <c r="BL8" s="1130"/>
      <c r="BM8" s="1130"/>
      <c r="BN8" s="1130"/>
      <c r="BO8" s="980"/>
      <c r="BP8" s="980"/>
    </row>
    <row r="9" spans="1:68" ht="15" customHeight="1">
      <c r="A9" s="1134" t="s">
        <v>479</v>
      </c>
      <c r="B9" s="1134" t="s">
        <v>483</v>
      </c>
      <c r="C9" s="1134" t="s">
        <v>484</v>
      </c>
      <c r="D9" s="1134" t="s">
        <v>479</v>
      </c>
      <c r="E9" s="1133">
        <v>0</v>
      </c>
      <c r="F9" s="1133">
        <v>0</v>
      </c>
      <c r="G9" s="1133">
        <v>0</v>
      </c>
      <c r="H9" s="1133">
        <v>0</v>
      </c>
      <c r="I9" s="1133">
        <v>0</v>
      </c>
      <c r="J9" s="1133">
        <v>0</v>
      </c>
      <c r="K9" s="1133">
        <v>0</v>
      </c>
      <c r="L9" s="1133">
        <v>0</v>
      </c>
      <c r="M9" s="1133">
        <v>0</v>
      </c>
      <c r="N9" s="1133">
        <v>0</v>
      </c>
      <c r="O9" s="1133">
        <v>0</v>
      </c>
      <c r="P9" s="1133">
        <v>0</v>
      </c>
      <c r="Q9" s="1133">
        <v>0</v>
      </c>
      <c r="R9" s="1130"/>
      <c r="S9" s="1130"/>
      <c r="T9" s="1130"/>
      <c r="U9" s="1130"/>
      <c r="V9" s="1130"/>
      <c r="W9" s="1130"/>
      <c r="X9" s="1130"/>
      <c r="Y9" s="1130"/>
      <c r="Z9" s="1130"/>
      <c r="AA9" s="1130"/>
      <c r="AB9" s="1130"/>
      <c r="AC9" s="1130"/>
      <c r="AD9" s="1130"/>
      <c r="AE9" s="1130"/>
      <c r="AF9" s="1130"/>
      <c r="AG9" s="1130"/>
      <c r="AH9" s="1130"/>
      <c r="AI9" s="1130"/>
      <c r="AJ9" s="1130"/>
      <c r="AK9" s="1130"/>
      <c r="AL9" s="1130"/>
      <c r="AM9" s="1130"/>
      <c r="AN9" s="1130"/>
      <c r="AO9" s="1130"/>
      <c r="AP9" s="1130"/>
      <c r="AQ9" s="1130"/>
      <c r="AR9" s="1130"/>
      <c r="AS9" s="1130"/>
      <c r="AT9" s="1130"/>
      <c r="AU9" s="1130"/>
      <c r="AV9" s="1130"/>
      <c r="AW9" s="1130"/>
      <c r="AX9" s="1130"/>
      <c r="AY9" s="1130"/>
      <c r="AZ9" s="1130"/>
      <c r="BA9" s="1130"/>
      <c r="BB9" s="1130"/>
      <c r="BC9" s="1130"/>
      <c r="BD9" s="1130"/>
      <c r="BE9" s="1130"/>
      <c r="BF9" s="1130"/>
      <c r="BG9" s="1130"/>
      <c r="BH9" s="1130"/>
      <c r="BI9" s="1130"/>
      <c r="BJ9" s="1130"/>
      <c r="BK9" s="1130"/>
      <c r="BL9" s="1130"/>
      <c r="BM9" s="1130"/>
      <c r="BN9" s="1130"/>
      <c r="BO9" s="980"/>
      <c r="BP9" s="980"/>
    </row>
    <row r="10" spans="1:68" ht="15" customHeight="1">
      <c r="A10" s="1134" t="s">
        <v>479</v>
      </c>
      <c r="B10" s="1134" t="s">
        <v>485</v>
      </c>
      <c r="C10" s="1134" t="s">
        <v>458</v>
      </c>
      <c r="D10" s="1134" t="s">
        <v>479</v>
      </c>
      <c r="E10" s="1133">
        <v>26.18</v>
      </c>
      <c r="F10" s="1133">
        <v>0</v>
      </c>
      <c r="G10" s="1133">
        <v>0</v>
      </c>
      <c r="H10" s="1133">
        <v>0</v>
      </c>
      <c r="I10" s="1133">
        <v>0</v>
      </c>
      <c r="J10" s="1133">
        <v>1.1100000000000001</v>
      </c>
      <c r="K10" s="1133">
        <v>0</v>
      </c>
      <c r="L10" s="1133">
        <v>0</v>
      </c>
      <c r="M10" s="1133">
        <v>0</v>
      </c>
      <c r="N10" s="1133">
        <v>0</v>
      </c>
      <c r="O10" s="1133">
        <v>0</v>
      </c>
      <c r="P10" s="1133">
        <v>27.29</v>
      </c>
      <c r="Q10" s="1133">
        <v>54.58</v>
      </c>
      <c r="R10" s="1130"/>
      <c r="S10" s="1130"/>
      <c r="T10" s="1130"/>
      <c r="U10" s="1130"/>
      <c r="V10" s="1130"/>
      <c r="W10" s="1130"/>
      <c r="X10" s="1130"/>
      <c r="Y10" s="1130"/>
      <c r="Z10" s="1130"/>
      <c r="AA10" s="1130"/>
      <c r="AB10" s="1130"/>
      <c r="AC10" s="1130"/>
      <c r="AD10" s="1130"/>
      <c r="AE10" s="1130"/>
      <c r="AF10" s="1130"/>
      <c r="AG10" s="1130"/>
      <c r="AH10" s="1130"/>
      <c r="AI10" s="1130"/>
      <c r="AJ10" s="1130"/>
      <c r="AK10" s="1130"/>
      <c r="AL10" s="1130"/>
      <c r="AM10" s="1130"/>
      <c r="AN10" s="1130"/>
      <c r="AO10" s="1130"/>
      <c r="AP10" s="1130"/>
      <c r="AQ10" s="1130"/>
      <c r="AR10" s="1130"/>
      <c r="AS10" s="1130"/>
      <c r="AT10" s="1130"/>
      <c r="AU10" s="1130"/>
      <c r="AV10" s="1130"/>
      <c r="AW10" s="1130"/>
      <c r="AX10" s="1130"/>
      <c r="AY10" s="1130"/>
      <c r="AZ10" s="1130"/>
      <c r="BA10" s="1130"/>
      <c r="BB10" s="1130"/>
      <c r="BC10" s="1130"/>
      <c r="BD10" s="1130"/>
      <c r="BE10" s="1130"/>
      <c r="BF10" s="1130"/>
      <c r="BG10" s="1130"/>
      <c r="BH10" s="1130"/>
      <c r="BI10" s="1130"/>
      <c r="BJ10" s="1130"/>
      <c r="BK10" s="1130"/>
      <c r="BL10" s="1130"/>
      <c r="BM10" s="1130"/>
      <c r="BN10" s="1130"/>
      <c r="BO10" s="980"/>
      <c r="BP10" s="980"/>
    </row>
    <row r="11" spans="1:68" ht="15" customHeight="1">
      <c r="A11" s="1134" t="s">
        <v>479</v>
      </c>
      <c r="B11" s="1134" t="s">
        <v>486</v>
      </c>
      <c r="C11" s="1134" t="s">
        <v>457</v>
      </c>
      <c r="D11" s="1134" t="s">
        <v>479</v>
      </c>
      <c r="E11" s="1133">
        <v>30.95</v>
      </c>
      <c r="F11" s="1133">
        <v>0</v>
      </c>
      <c r="G11" s="1133">
        <v>0</v>
      </c>
      <c r="H11" s="1133">
        <v>0</v>
      </c>
      <c r="I11" s="1133">
        <v>0.01</v>
      </c>
      <c r="J11" s="1133">
        <v>0</v>
      </c>
      <c r="K11" s="1133">
        <v>0</v>
      </c>
      <c r="L11" s="1133">
        <v>0</v>
      </c>
      <c r="M11" s="1133">
        <v>0</v>
      </c>
      <c r="N11" s="1133">
        <v>0</v>
      </c>
      <c r="O11" s="1133">
        <v>0</v>
      </c>
      <c r="P11" s="1133">
        <v>30.96</v>
      </c>
      <c r="Q11" s="1133">
        <v>61.92</v>
      </c>
      <c r="R11" s="1130"/>
      <c r="S11" s="1130"/>
      <c r="T11" s="1130"/>
      <c r="U11" s="1130"/>
      <c r="V11" s="1130"/>
      <c r="W11" s="1130"/>
      <c r="X11" s="1130"/>
      <c r="Y11" s="1130"/>
      <c r="Z11" s="1130"/>
      <c r="AA11" s="1130"/>
      <c r="AB11" s="1130"/>
      <c r="AC11" s="1130"/>
      <c r="AD11" s="1130"/>
      <c r="AE11" s="1130"/>
      <c r="AF11" s="1130"/>
      <c r="AG11" s="1130"/>
      <c r="AH11" s="1130"/>
      <c r="AI11" s="1130"/>
      <c r="AJ11" s="1130"/>
      <c r="AK11" s="1130"/>
      <c r="AL11" s="1130"/>
      <c r="AM11" s="1130"/>
      <c r="AN11" s="1130"/>
      <c r="AO11" s="1130"/>
      <c r="AP11" s="1130"/>
      <c r="AQ11" s="1130"/>
      <c r="AR11" s="1130"/>
      <c r="AS11" s="1130"/>
      <c r="AT11" s="1130"/>
      <c r="AU11" s="1130"/>
      <c r="AV11" s="1130"/>
      <c r="AW11" s="1130"/>
      <c r="AX11" s="1130"/>
      <c r="AY11" s="1130"/>
      <c r="AZ11" s="1130"/>
      <c r="BA11" s="1130"/>
      <c r="BB11" s="1130"/>
      <c r="BC11" s="1130"/>
      <c r="BD11" s="1130"/>
      <c r="BE11" s="1130"/>
      <c r="BF11" s="1130"/>
      <c r="BG11" s="1130"/>
      <c r="BH11" s="1130"/>
      <c r="BI11" s="1130"/>
      <c r="BJ11" s="1130"/>
      <c r="BK11" s="1130"/>
      <c r="BL11" s="1130"/>
      <c r="BM11" s="1130"/>
      <c r="BN11" s="1130"/>
      <c r="BO11" s="980"/>
      <c r="BP11" s="980"/>
    </row>
    <row r="12" spans="1:68" ht="15" customHeight="1">
      <c r="A12" s="1134" t="s">
        <v>479</v>
      </c>
      <c r="B12" s="1134" t="s">
        <v>487</v>
      </c>
      <c r="C12" s="1134" t="s">
        <v>488</v>
      </c>
      <c r="D12" s="1134" t="s">
        <v>479</v>
      </c>
      <c r="E12" s="1133">
        <v>0</v>
      </c>
      <c r="F12" s="1133">
        <v>0</v>
      </c>
      <c r="G12" s="1133">
        <v>0</v>
      </c>
      <c r="H12" s="1133">
        <v>0</v>
      </c>
      <c r="I12" s="1133">
        <v>0</v>
      </c>
      <c r="J12" s="1133">
        <v>0</v>
      </c>
      <c r="K12" s="1133">
        <v>0</v>
      </c>
      <c r="L12" s="1133">
        <v>0</v>
      </c>
      <c r="M12" s="1133">
        <v>0</v>
      </c>
      <c r="N12" s="1133">
        <v>0</v>
      </c>
      <c r="O12" s="1133">
        <v>0</v>
      </c>
      <c r="P12" s="1133">
        <v>0</v>
      </c>
      <c r="Q12" s="1133">
        <v>0</v>
      </c>
      <c r="R12" s="1130"/>
      <c r="S12" s="1130"/>
      <c r="T12" s="1130"/>
      <c r="U12" s="1130"/>
      <c r="V12" s="1130"/>
      <c r="W12" s="1130"/>
      <c r="X12" s="1130"/>
      <c r="Y12" s="1130"/>
      <c r="Z12" s="1130"/>
      <c r="AA12" s="1130"/>
      <c r="AB12" s="1130"/>
      <c r="AC12" s="1130"/>
      <c r="AD12" s="1130"/>
      <c r="AE12" s="1130"/>
      <c r="AF12" s="1130"/>
      <c r="AG12" s="1130"/>
      <c r="AH12" s="1130"/>
      <c r="AI12" s="1130"/>
      <c r="AJ12" s="1130"/>
      <c r="AK12" s="1130"/>
      <c r="AL12" s="1130"/>
      <c r="AM12" s="1130"/>
      <c r="AN12" s="1130"/>
      <c r="AO12" s="1130"/>
      <c r="AP12" s="1130"/>
      <c r="AQ12" s="1130"/>
      <c r="AR12" s="1130"/>
      <c r="AS12" s="1130"/>
      <c r="AT12" s="1130"/>
      <c r="AU12" s="1130"/>
      <c r="AV12" s="1130"/>
      <c r="AW12" s="1130"/>
      <c r="AX12" s="1130"/>
      <c r="AY12" s="1130"/>
      <c r="AZ12" s="1130"/>
      <c r="BA12" s="1130"/>
      <c r="BB12" s="1130"/>
      <c r="BC12" s="1130"/>
      <c r="BD12" s="1130"/>
      <c r="BE12" s="1130"/>
      <c r="BF12" s="1130"/>
      <c r="BG12" s="1130"/>
      <c r="BH12" s="1130"/>
      <c r="BI12" s="1130"/>
      <c r="BJ12" s="1130"/>
      <c r="BK12" s="1130"/>
      <c r="BL12" s="1130"/>
      <c r="BM12" s="1130"/>
      <c r="BN12" s="1130"/>
      <c r="BO12" s="980"/>
      <c r="BP12" s="980"/>
    </row>
    <row r="13" spans="1:68" ht="15" customHeight="1">
      <c r="A13" s="1134" t="s">
        <v>479</v>
      </c>
      <c r="B13" s="1134" t="s">
        <v>489</v>
      </c>
      <c r="C13" s="1134" t="s">
        <v>490</v>
      </c>
      <c r="D13" s="1134" t="s">
        <v>479</v>
      </c>
      <c r="E13" s="1133">
        <v>0</v>
      </c>
      <c r="F13" s="1133">
        <v>0</v>
      </c>
      <c r="G13" s="1133">
        <v>0</v>
      </c>
      <c r="H13" s="1133">
        <v>0</v>
      </c>
      <c r="I13" s="1133">
        <v>0</v>
      </c>
      <c r="J13" s="1133">
        <v>0</v>
      </c>
      <c r="K13" s="1133">
        <v>0</v>
      </c>
      <c r="L13" s="1133">
        <v>0</v>
      </c>
      <c r="M13" s="1133">
        <v>0</v>
      </c>
      <c r="N13" s="1133">
        <v>0</v>
      </c>
      <c r="O13" s="1133">
        <v>0</v>
      </c>
      <c r="P13" s="1133">
        <v>0</v>
      </c>
      <c r="Q13" s="1133">
        <v>0</v>
      </c>
      <c r="R13" s="1130"/>
      <c r="S13" s="1130"/>
      <c r="T13" s="1130"/>
      <c r="U13" s="1130"/>
      <c r="V13" s="1130"/>
      <c r="W13" s="1130"/>
      <c r="X13" s="1130"/>
      <c r="Y13" s="1130"/>
      <c r="Z13" s="1130"/>
      <c r="AA13" s="1130"/>
      <c r="AB13" s="1130"/>
      <c r="AC13" s="1130"/>
      <c r="AD13" s="1130"/>
      <c r="AE13" s="1130"/>
      <c r="AF13" s="1130"/>
      <c r="AG13" s="1130"/>
      <c r="AH13" s="1130"/>
      <c r="AI13" s="1130"/>
      <c r="AJ13" s="1130"/>
      <c r="AK13" s="1130"/>
      <c r="AL13" s="1130"/>
      <c r="AM13" s="1130"/>
      <c r="AN13" s="1130"/>
      <c r="AO13" s="1130"/>
      <c r="AP13" s="1130"/>
      <c r="AQ13" s="1130"/>
      <c r="AR13" s="1130"/>
      <c r="AS13" s="1130"/>
      <c r="AT13" s="1130"/>
      <c r="AU13" s="1130"/>
      <c r="AV13" s="1130"/>
      <c r="AW13" s="1130"/>
      <c r="AX13" s="1130"/>
      <c r="AY13" s="1130"/>
      <c r="AZ13" s="1130"/>
      <c r="BA13" s="1130"/>
      <c r="BB13" s="1130"/>
      <c r="BC13" s="1130"/>
      <c r="BD13" s="1130"/>
      <c r="BE13" s="1130"/>
      <c r="BF13" s="1130"/>
      <c r="BG13" s="1130"/>
      <c r="BH13" s="1130"/>
      <c r="BI13" s="1130"/>
      <c r="BJ13" s="1130"/>
      <c r="BK13" s="1130"/>
      <c r="BL13" s="1130"/>
      <c r="BM13" s="1130"/>
      <c r="BN13" s="1130"/>
      <c r="BO13" s="980"/>
      <c r="BP13" s="980"/>
    </row>
    <row r="14" spans="1:68" ht="15" customHeight="1">
      <c r="A14" s="1134" t="s">
        <v>479</v>
      </c>
      <c r="B14" s="1134" t="s">
        <v>491</v>
      </c>
      <c r="C14" s="1134" t="s">
        <v>492</v>
      </c>
      <c r="D14" s="1134" t="s">
        <v>479</v>
      </c>
      <c r="E14" s="1133">
        <v>0</v>
      </c>
      <c r="F14" s="1133">
        <v>0</v>
      </c>
      <c r="G14" s="1133">
        <v>0</v>
      </c>
      <c r="H14" s="1133">
        <v>0</v>
      </c>
      <c r="I14" s="1133">
        <v>0</v>
      </c>
      <c r="J14" s="1133">
        <v>0</v>
      </c>
      <c r="K14" s="1133">
        <v>0</v>
      </c>
      <c r="L14" s="1133">
        <v>0</v>
      </c>
      <c r="M14" s="1133">
        <v>0</v>
      </c>
      <c r="N14" s="1133">
        <v>0</v>
      </c>
      <c r="O14" s="1133">
        <v>0</v>
      </c>
      <c r="P14" s="1133">
        <v>0</v>
      </c>
      <c r="Q14" s="1133">
        <v>0</v>
      </c>
      <c r="R14" s="1130"/>
      <c r="S14" s="1130"/>
      <c r="T14" s="1130"/>
      <c r="U14" s="1130"/>
      <c r="V14" s="1130"/>
      <c r="W14" s="1130"/>
      <c r="X14" s="1130"/>
      <c r="Y14" s="1130"/>
      <c r="Z14" s="1130"/>
      <c r="AA14" s="1130"/>
      <c r="AB14" s="1130"/>
      <c r="AC14" s="1130"/>
      <c r="AD14" s="1130"/>
      <c r="AE14" s="1130"/>
      <c r="AF14" s="1130"/>
      <c r="AG14" s="1130"/>
      <c r="AH14" s="1130"/>
      <c r="AI14" s="1130"/>
      <c r="AJ14" s="1130"/>
      <c r="AK14" s="1130"/>
      <c r="AL14" s="1130"/>
      <c r="AM14" s="1130"/>
      <c r="AN14" s="1130"/>
      <c r="AO14" s="1130"/>
      <c r="AP14" s="1130"/>
      <c r="AQ14" s="1130"/>
      <c r="AR14" s="1130"/>
      <c r="AS14" s="1130"/>
      <c r="AT14" s="1130"/>
      <c r="AU14" s="1130"/>
      <c r="AV14" s="1130"/>
      <c r="AW14" s="1130"/>
      <c r="AX14" s="1130"/>
      <c r="AY14" s="1130"/>
      <c r="AZ14" s="1130"/>
      <c r="BA14" s="1130"/>
      <c r="BB14" s="1130"/>
      <c r="BC14" s="1130"/>
      <c r="BD14" s="1130"/>
      <c r="BE14" s="1130"/>
      <c r="BF14" s="1130"/>
      <c r="BG14" s="1130"/>
      <c r="BH14" s="1130"/>
      <c r="BI14" s="1130"/>
      <c r="BJ14" s="1130"/>
      <c r="BK14" s="1130"/>
      <c r="BL14" s="1130"/>
      <c r="BM14" s="1130"/>
      <c r="BN14" s="1130"/>
      <c r="BO14" s="980"/>
      <c r="BP14" s="980"/>
    </row>
    <row r="15" spans="1:68" ht="15" customHeight="1">
      <c r="A15" s="1134" t="s">
        <v>479</v>
      </c>
      <c r="B15" s="1134" t="s">
        <v>493</v>
      </c>
      <c r="C15" s="1134" t="s">
        <v>494</v>
      </c>
      <c r="D15" s="1134" t="s">
        <v>479</v>
      </c>
      <c r="E15" s="1133">
        <v>0</v>
      </c>
      <c r="F15" s="1133">
        <v>0</v>
      </c>
      <c r="G15" s="1133">
        <v>0</v>
      </c>
      <c r="H15" s="1133">
        <v>0</v>
      </c>
      <c r="I15" s="1133">
        <v>0</v>
      </c>
      <c r="J15" s="1133">
        <v>0</v>
      </c>
      <c r="K15" s="1133">
        <v>0</v>
      </c>
      <c r="L15" s="1133">
        <v>0</v>
      </c>
      <c r="M15" s="1133">
        <v>0</v>
      </c>
      <c r="N15" s="1133">
        <v>0</v>
      </c>
      <c r="O15" s="1133">
        <v>0</v>
      </c>
      <c r="P15" s="1133">
        <v>0</v>
      </c>
      <c r="Q15" s="1133">
        <v>0</v>
      </c>
      <c r="R15" s="1130"/>
      <c r="S15" s="1130"/>
      <c r="T15" s="1130"/>
      <c r="U15" s="1130"/>
      <c r="V15" s="1130"/>
      <c r="W15" s="1130"/>
      <c r="X15" s="1130"/>
      <c r="Y15" s="1130"/>
      <c r="Z15" s="1130"/>
      <c r="AA15" s="1130"/>
      <c r="AB15" s="1130"/>
      <c r="AC15" s="1130"/>
      <c r="AD15" s="1130"/>
      <c r="AE15" s="1130"/>
      <c r="AF15" s="1130"/>
      <c r="AG15" s="1130"/>
      <c r="AH15" s="1130"/>
      <c r="AI15" s="1130"/>
      <c r="AJ15" s="1130"/>
      <c r="AK15" s="1130"/>
      <c r="AL15" s="1130"/>
      <c r="AM15" s="1130"/>
      <c r="AN15" s="1130"/>
      <c r="AO15" s="1130"/>
      <c r="AP15" s="1130"/>
      <c r="AQ15" s="1130"/>
      <c r="AR15" s="1130"/>
      <c r="AS15" s="1130"/>
      <c r="AT15" s="1130"/>
      <c r="AU15" s="1130"/>
      <c r="AV15" s="1130"/>
      <c r="AW15" s="1130"/>
      <c r="AX15" s="1130"/>
      <c r="AY15" s="1130"/>
      <c r="AZ15" s="1130"/>
      <c r="BA15" s="1130"/>
      <c r="BB15" s="1130"/>
      <c r="BC15" s="1130"/>
      <c r="BD15" s="1130"/>
      <c r="BE15" s="1130"/>
      <c r="BF15" s="1130"/>
      <c r="BG15" s="1130"/>
      <c r="BH15" s="1130"/>
      <c r="BI15" s="1130"/>
      <c r="BJ15" s="1130"/>
      <c r="BK15" s="1130"/>
      <c r="BL15" s="1130"/>
      <c r="BM15" s="1130"/>
      <c r="BN15" s="1130"/>
      <c r="BO15" s="980"/>
      <c r="BP15" s="980"/>
    </row>
    <row r="16" spans="1:68" ht="15" customHeight="1">
      <c r="A16" s="1134" t="s">
        <v>479</v>
      </c>
      <c r="B16" s="1134" t="s">
        <v>495</v>
      </c>
      <c r="C16" s="1134" t="s">
        <v>496</v>
      </c>
      <c r="D16" s="1134" t="s">
        <v>479</v>
      </c>
      <c r="E16" s="1133">
        <v>6.9109999999999996</v>
      </c>
      <c r="F16" s="1133">
        <v>0</v>
      </c>
      <c r="G16" s="1133">
        <v>0</v>
      </c>
      <c r="H16" s="1133">
        <v>0</v>
      </c>
      <c r="I16" s="1133">
        <v>0</v>
      </c>
      <c r="J16" s="1133">
        <v>0</v>
      </c>
      <c r="K16" s="1133">
        <v>0</v>
      </c>
      <c r="L16" s="1133">
        <v>0</v>
      </c>
      <c r="M16" s="1133">
        <v>0</v>
      </c>
      <c r="N16" s="1133">
        <v>0</v>
      </c>
      <c r="O16" s="1133">
        <v>0</v>
      </c>
      <c r="P16" s="1133">
        <v>6.9109999999999996</v>
      </c>
      <c r="Q16" s="1133">
        <v>13.821999999999999</v>
      </c>
      <c r="R16" s="1130"/>
      <c r="S16" s="1130"/>
      <c r="T16" s="1130"/>
      <c r="U16" s="1130"/>
      <c r="V16" s="1130"/>
      <c r="W16" s="1130"/>
      <c r="X16" s="1130"/>
      <c r="Y16" s="1130"/>
      <c r="Z16" s="1130"/>
      <c r="AA16" s="1130"/>
      <c r="AB16" s="1130"/>
      <c r="AC16" s="1130"/>
      <c r="AD16" s="1130"/>
      <c r="AE16" s="1130"/>
      <c r="AF16" s="1130"/>
      <c r="AG16" s="1130"/>
      <c r="AH16" s="1130"/>
      <c r="AI16" s="1130"/>
      <c r="AJ16" s="1130"/>
      <c r="AK16" s="1130"/>
      <c r="AL16" s="1130"/>
      <c r="AM16" s="1130"/>
      <c r="AN16" s="1130"/>
      <c r="AO16" s="1130"/>
      <c r="AP16" s="1130"/>
      <c r="AQ16" s="1130"/>
      <c r="AR16" s="1130"/>
      <c r="AS16" s="1130"/>
      <c r="AT16" s="1130"/>
      <c r="AU16" s="1130"/>
      <c r="AV16" s="1130"/>
      <c r="AW16" s="1130"/>
      <c r="AX16" s="1130"/>
      <c r="AY16" s="1130"/>
      <c r="AZ16" s="1130"/>
      <c r="BA16" s="1130"/>
      <c r="BB16" s="1130"/>
      <c r="BC16" s="1130"/>
      <c r="BD16" s="1130"/>
      <c r="BE16" s="1130"/>
      <c r="BF16" s="1130"/>
      <c r="BG16" s="1130"/>
      <c r="BH16" s="1130"/>
      <c r="BI16" s="1130"/>
      <c r="BJ16" s="1130"/>
      <c r="BK16" s="1130"/>
      <c r="BL16" s="1130"/>
      <c r="BM16" s="1130"/>
      <c r="BN16" s="1130"/>
      <c r="BO16" s="980"/>
      <c r="BP16" s="980"/>
    </row>
    <row r="17" spans="1:19" ht="15" customHeight="1">
      <c r="A17" s="1134" t="s">
        <v>479</v>
      </c>
      <c r="B17" s="1134" t="s">
        <v>497</v>
      </c>
      <c r="C17" s="1134" t="s">
        <v>498</v>
      </c>
      <c r="D17" s="1134" t="s">
        <v>479</v>
      </c>
      <c r="E17" s="1133">
        <v>0</v>
      </c>
      <c r="F17" s="1133">
        <v>0</v>
      </c>
      <c r="G17" s="1133">
        <v>0</v>
      </c>
      <c r="H17" s="1133">
        <v>0</v>
      </c>
      <c r="I17" s="1133">
        <v>0</v>
      </c>
      <c r="J17" s="1133">
        <v>0</v>
      </c>
      <c r="K17" s="1133">
        <v>0</v>
      </c>
      <c r="L17" s="1133">
        <v>0</v>
      </c>
      <c r="M17" s="1133">
        <v>0</v>
      </c>
      <c r="N17" s="1133">
        <v>0</v>
      </c>
      <c r="O17" s="1133">
        <v>0</v>
      </c>
      <c r="P17" s="1133">
        <v>0</v>
      </c>
      <c r="Q17" s="1133">
        <v>0</v>
      </c>
      <c r="R17" s="982"/>
      <c r="S17" s="982"/>
    </row>
    <row r="18" spans="1:19" ht="15" customHeight="1">
      <c r="A18" s="1134" t="s">
        <v>479</v>
      </c>
      <c r="B18" s="1134" t="s">
        <v>499</v>
      </c>
      <c r="C18" s="1134" t="s">
        <v>500</v>
      </c>
      <c r="D18" s="1134" t="s">
        <v>479</v>
      </c>
      <c r="E18" s="1133">
        <v>0</v>
      </c>
      <c r="F18" s="1133">
        <v>0</v>
      </c>
      <c r="G18" s="1133">
        <v>0</v>
      </c>
      <c r="H18" s="1133">
        <v>0</v>
      </c>
      <c r="I18" s="1133">
        <v>0</v>
      </c>
      <c r="J18" s="1133">
        <v>0</v>
      </c>
      <c r="K18" s="1133">
        <v>0</v>
      </c>
      <c r="L18" s="1133">
        <v>0</v>
      </c>
      <c r="M18" s="1133">
        <v>0</v>
      </c>
      <c r="N18" s="1133">
        <v>0</v>
      </c>
      <c r="O18" s="1133">
        <v>0</v>
      </c>
      <c r="P18" s="1133">
        <v>0</v>
      </c>
      <c r="Q18" s="1133">
        <v>0</v>
      </c>
      <c r="R18" s="982"/>
      <c r="S18" s="982"/>
    </row>
    <row r="19" spans="1:19" ht="15" customHeight="1">
      <c r="A19" s="1134" t="s">
        <v>479</v>
      </c>
      <c r="B19" s="1134" t="s">
        <v>501</v>
      </c>
      <c r="C19" s="1134" t="s">
        <v>502</v>
      </c>
      <c r="D19" s="1134" t="s">
        <v>479</v>
      </c>
      <c r="E19" s="1133">
        <v>0</v>
      </c>
      <c r="F19" s="1133">
        <v>0</v>
      </c>
      <c r="G19" s="1133">
        <v>0</v>
      </c>
      <c r="H19" s="1133">
        <v>0</v>
      </c>
      <c r="I19" s="1133">
        <v>0</v>
      </c>
      <c r="J19" s="1133">
        <v>0</v>
      </c>
      <c r="K19" s="1133">
        <v>0</v>
      </c>
      <c r="L19" s="1133">
        <v>0</v>
      </c>
      <c r="M19" s="1133">
        <v>0</v>
      </c>
      <c r="N19" s="1133">
        <v>0</v>
      </c>
      <c r="O19" s="1133">
        <v>0</v>
      </c>
      <c r="P19" s="1133">
        <v>0</v>
      </c>
      <c r="Q19" s="1133">
        <v>0</v>
      </c>
      <c r="R19" s="982"/>
      <c r="S19" s="982"/>
    </row>
    <row r="20" spans="1:19" ht="15" customHeight="1">
      <c r="A20" s="1134" t="s">
        <v>479</v>
      </c>
      <c r="B20" s="1134" t="s">
        <v>503</v>
      </c>
      <c r="C20" s="1134" t="s">
        <v>504</v>
      </c>
      <c r="D20" s="1134" t="s">
        <v>479</v>
      </c>
      <c r="E20" s="1133">
        <v>0</v>
      </c>
      <c r="F20" s="1133">
        <v>0</v>
      </c>
      <c r="G20" s="1133">
        <v>0</v>
      </c>
      <c r="H20" s="1133">
        <v>0</v>
      </c>
      <c r="I20" s="1133">
        <v>0</v>
      </c>
      <c r="J20" s="1133">
        <v>0</v>
      </c>
      <c r="K20" s="1133">
        <v>0</v>
      </c>
      <c r="L20" s="1133">
        <v>0</v>
      </c>
      <c r="M20" s="1133">
        <v>0</v>
      </c>
      <c r="N20" s="1133">
        <v>0</v>
      </c>
      <c r="O20" s="1133">
        <v>0</v>
      </c>
      <c r="P20" s="1133">
        <v>0</v>
      </c>
      <c r="Q20" s="1133">
        <v>0</v>
      </c>
      <c r="R20" s="982"/>
      <c r="S20" s="982"/>
    </row>
    <row r="21" spans="1:19" ht="15" customHeight="1">
      <c r="A21" s="1134" t="s">
        <v>479</v>
      </c>
      <c r="B21" s="1134" t="s">
        <v>505</v>
      </c>
      <c r="C21" s="1134" t="s">
        <v>506</v>
      </c>
      <c r="D21" s="1134" t="s">
        <v>479</v>
      </c>
      <c r="E21" s="1133">
        <v>0</v>
      </c>
      <c r="F21" s="1133">
        <v>0</v>
      </c>
      <c r="G21" s="1133">
        <v>0</v>
      </c>
      <c r="H21" s="1133">
        <v>0</v>
      </c>
      <c r="I21" s="1133">
        <v>0</v>
      </c>
      <c r="J21" s="1133">
        <v>0</v>
      </c>
      <c r="K21" s="1133">
        <v>0</v>
      </c>
      <c r="L21" s="1133">
        <v>0</v>
      </c>
      <c r="M21" s="1133">
        <v>0</v>
      </c>
      <c r="N21" s="1133">
        <v>0</v>
      </c>
      <c r="O21" s="1133">
        <v>0</v>
      </c>
      <c r="P21" s="1133">
        <v>0</v>
      </c>
      <c r="Q21" s="1133">
        <v>0</v>
      </c>
      <c r="R21" s="982"/>
      <c r="S21" s="982"/>
    </row>
    <row r="22" spans="1:19" ht="15" customHeight="1">
      <c r="A22" s="1134" t="s">
        <v>479</v>
      </c>
      <c r="B22" s="1134" t="s">
        <v>507</v>
      </c>
      <c r="C22" s="1134" t="s">
        <v>508</v>
      </c>
      <c r="D22" s="1134" t="s">
        <v>479</v>
      </c>
      <c r="E22" s="1133">
        <v>0</v>
      </c>
      <c r="F22" s="1133">
        <v>0</v>
      </c>
      <c r="G22" s="1133">
        <v>0</v>
      </c>
      <c r="H22" s="1133">
        <v>0</v>
      </c>
      <c r="I22" s="1133">
        <v>0</v>
      </c>
      <c r="J22" s="1133">
        <v>0</v>
      </c>
      <c r="K22" s="1133">
        <v>0</v>
      </c>
      <c r="L22" s="1133">
        <v>0</v>
      </c>
      <c r="M22" s="1133">
        <v>0</v>
      </c>
      <c r="N22" s="1133">
        <v>0</v>
      </c>
      <c r="O22" s="1133">
        <v>0</v>
      </c>
      <c r="P22" s="1133">
        <v>0</v>
      </c>
      <c r="Q22" s="1133">
        <v>0</v>
      </c>
      <c r="R22" s="982"/>
      <c r="S22" s="982"/>
    </row>
    <row r="23" spans="1:19" ht="15" customHeight="1">
      <c r="A23" s="1134" t="s">
        <v>479</v>
      </c>
      <c r="B23" s="1134" t="s">
        <v>509</v>
      </c>
      <c r="C23" s="1134" t="s">
        <v>510</v>
      </c>
      <c r="D23" s="1134" t="s">
        <v>479</v>
      </c>
      <c r="E23" s="1133">
        <v>74.87</v>
      </c>
      <c r="F23" s="1133">
        <v>0</v>
      </c>
      <c r="G23" s="1133">
        <v>0</v>
      </c>
      <c r="H23" s="1133">
        <v>0</v>
      </c>
      <c r="I23" s="1133">
        <v>1.6140000000000001</v>
      </c>
      <c r="J23" s="1133">
        <v>508.16399999999999</v>
      </c>
      <c r="K23" s="1133">
        <v>0</v>
      </c>
      <c r="L23" s="1133">
        <v>0</v>
      </c>
      <c r="M23" s="1133">
        <v>-389.85700000000003</v>
      </c>
      <c r="N23" s="1133">
        <v>0</v>
      </c>
      <c r="O23" s="1133">
        <v>-10.34</v>
      </c>
      <c r="P23" s="1133">
        <v>184.45099999999999</v>
      </c>
      <c r="Q23" s="1133">
        <v>368.90199999999999</v>
      </c>
      <c r="R23" s="982"/>
      <c r="S23" s="982"/>
    </row>
    <row r="24" spans="1:19" ht="15" customHeight="1">
      <c r="A24" s="1134" t="s">
        <v>479</v>
      </c>
      <c r="B24" s="1134" t="s">
        <v>511</v>
      </c>
      <c r="C24" s="1134" t="s">
        <v>512</v>
      </c>
      <c r="D24" s="1134" t="s">
        <v>479</v>
      </c>
      <c r="E24" s="1133">
        <v>0</v>
      </c>
      <c r="F24" s="1133">
        <v>0</v>
      </c>
      <c r="G24" s="1133">
        <v>0</v>
      </c>
      <c r="H24" s="1133">
        <v>0</v>
      </c>
      <c r="I24" s="1133">
        <v>0</v>
      </c>
      <c r="J24" s="1133">
        <v>0</v>
      </c>
      <c r="K24" s="1133">
        <v>0</v>
      </c>
      <c r="L24" s="1133">
        <v>0</v>
      </c>
      <c r="M24" s="1133">
        <v>0</v>
      </c>
      <c r="N24" s="1133">
        <v>0</v>
      </c>
      <c r="O24" s="1133">
        <v>0</v>
      </c>
      <c r="P24" s="1133">
        <v>0</v>
      </c>
      <c r="Q24" s="1133">
        <v>0</v>
      </c>
      <c r="R24" s="982"/>
      <c r="S24" s="982"/>
    </row>
    <row r="25" spans="1:19" ht="15" customHeight="1">
      <c r="A25" s="1134" t="s">
        <v>479</v>
      </c>
      <c r="B25" s="1134" t="s">
        <v>513</v>
      </c>
      <c r="C25" s="1134" t="s">
        <v>514</v>
      </c>
      <c r="D25" s="1134" t="s">
        <v>479</v>
      </c>
      <c r="E25" s="1133">
        <v>0</v>
      </c>
      <c r="F25" s="1133">
        <v>0</v>
      </c>
      <c r="G25" s="1133">
        <v>0</v>
      </c>
      <c r="H25" s="1133">
        <v>0</v>
      </c>
      <c r="I25" s="1133">
        <v>0</v>
      </c>
      <c r="J25" s="1133">
        <v>0</v>
      </c>
      <c r="K25" s="1133">
        <v>0</v>
      </c>
      <c r="L25" s="1133">
        <v>0</v>
      </c>
      <c r="M25" s="1133">
        <v>0</v>
      </c>
      <c r="N25" s="1133">
        <v>0</v>
      </c>
      <c r="O25" s="1133">
        <v>0</v>
      </c>
      <c r="P25" s="1133">
        <v>0</v>
      </c>
      <c r="Q25" s="1133">
        <v>0</v>
      </c>
      <c r="R25" s="982"/>
      <c r="S25" s="982"/>
    </row>
    <row r="26" spans="1:19" ht="15" customHeight="1">
      <c r="A26" s="1134" t="s">
        <v>479</v>
      </c>
      <c r="B26" s="1134" t="s">
        <v>515</v>
      </c>
      <c r="C26" s="1134" t="s">
        <v>516</v>
      </c>
      <c r="D26" s="1134" t="s">
        <v>479</v>
      </c>
      <c r="E26" s="1133">
        <v>0</v>
      </c>
      <c r="F26" s="1133">
        <v>0</v>
      </c>
      <c r="G26" s="1133">
        <v>0</v>
      </c>
      <c r="H26" s="1133">
        <v>0</v>
      </c>
      <c r="I26" s="1133">
        <v>0</v>
      </c>
      <c r="J26" s="1133">
        <v>0</v>
      </c>
      <c r="K26" s="1133">
        <v>0</v>
      </c>
      <c r="L26" s="1133">
        <v>0</v>
      </c>
      <c r="M26" s="1133">
        <v>0</v>
      </c>
      <c r="N26" s="1133">
        <v>0</v>
      </c>
      <c r="O26" s="1133">
        <v>0</v>
      </c>
      <c r="P26" s="1133">
        <v>0</v>
      </c>
      <c r="Q26" s="1133">
        <v>0</v>
      </c>
      <c r="R26" s="982"/>
      <c r="S26" s="982"/>
    </row>
    <row r="27" spans="1:19" ht="15" customHeight="1">
      <c r="A27" s="1134" t="s">
        <v>479</v>
      </c>
      <c r="B27" s="1134" t="s">
        <v>517</v>
      </c>
      <c r="C27" s="1134" t="s">
        <v>518</v>
      </c>
      <c r="D27" s="1134" t="s">
        <v>479</v>
      </c>
      <c r="E27" s="1133">
        <v>122.27800000000001</v>
      </c>
      <c r="F27" s="1133">
        <v>0</v>
      </c>
      <c r="G27" s="1133">
        <v>0</v>
      </c>
      <c r="H27" s="1133">
        <v>0</v>
      </c>
      <c r="I27" s="1133">
        <v>2.36</v>
      </c>
      <c r="J27" s="1133">
        <v>227.88</v>
      </c>
      <c r="K27" s="1133">
        <v>0</v>
      </c>
      <c r="L27" s="1133">
        <v>0</v>
      </c>
      <c r="M27" s="1133">
        <v>-84.561999999999998</v>
      </c>
      <c r="N27" s="1133">
        <v>0</v>
      </c>
      <c r="O27" s="1133">
        <v>0</v>
      </c>
      <c r="P27" s="1133">
        <v>267.95600000000002</v>
      </c>
      <c r="Q27" s="1133">
        <v>535.91200000000003</v>
      </c>
      <c r="R27" s="982"/>
      <c r="S27" s="982"/>
    </row>
    <row r="28" spans="1:19" ht="15" customHeight="1">
      <c r="A28" s="1134" t="s">
        <v>479</v>
      </c>
      <c r="B28" s="1134" t="s">
        <v>519</v>
      </c>
      <c r="C28" s="1134" t="s">
        <v>520</v>
      </c>
      <c r="D28" s="1134" t="s">
        <v>479</v>
      </c>
      <c r="E28" s="1133">
        <v>259.78699999999998</v>
      </c>
      <c r="F28" s="1133">
        <v>0</v>
      </c>
      <c r="G28" s="1133">
        <v>0</v>
      </c>
      <c r="H28" s="1133">
        <v>0</v>
      </c>
      <c r="I28" s="1133">
        <v>4.0999999999999996</v>
      </c>
      <c r="J28" s="1133">
        <v>214.441</v>
      </c>
      <c r="K28" s="1133">
        <v>0</v>
      </c>
      <c r="L28" s="1133">
        <v>0</v>
      </c>
      <c r="M28" s="1133">
        <v>-207.90600000000001</v>
      </c>
      <c r="N28" s="1133">
        <v>0</v>
      </c>
      <c r="O28" s="1133">
        <v>0</v>
      </c>
      <c r="P28" s="1133">
        <v>270.42200000000003</v>
      </c>
      <c r="Q28" s="1133">
        <v>540.84400000000005</v>
      </c>
      <c r="R28" s="982"/>
      <c r="S28" s="982"/>
    </row>
    <row r="29" spans="1:19" ht="15" customHeight="1">
      <c r="A29" s="1134" t="s">
        <v>479</v>
      </c>
      <c r="B29" s="1134" t="s">
        <v>521</v>
      </c>
      <c r="C29" s="1134" t="s">
        <v>522</v>
      </c>
      <c r="D29" s="1134" t="s">
        <v>479</v>
      </c>
      <c r="E29" s="1133">
        <v>33.094000000000001</v>
      </c>
      <c r="F29" s="1133">
        <v>0</v>
      </c>
      <c r="G29" s="1133">
        <v>0</v>
      </c>
      <c r="H29" s="1133">
        <v>0</v>
      </c>
      <c r="I29" s="1133">
        <v>0</v>
      </c>
      <c r="J29" s="1133">
        <v>36.523000000000003</v>
      </c>
      <c r="K29" s="1133">
        <v>0</v>
      </c>
      <c r="L29" s="1133">
        <v>0</v>
      </c>
      <c r="M29" s="1133">
        <v>-20.643000000000001</v>
      </c>
      <c r="N29" s="1133">
        <v>0</v>
      </c>
      <c r="O29" s="1133">
        <v>0</v>
      </c>
      <c r="P29" s="1133">
        <v>48.973999999999997</v>
      </c>
      <c r="Q29" s="1133">
        <v>97.947999999999993</v>
      </c>
      <c r="R29" s="982"/>
      <c r="S29" s="982"/>
    </row>
    <row r="30" spans="1:19" ht="15" customHeight="1">
      <c r="A30" s="1134" t="s">
        <v>479</v>
      </c>
      <c r="B30" s="1134" t="s">
        <v>523</v>
      </c>
      <c r="C30" s="1134" t="s">
        <v>524</v>
      </c>
      <c r="D30" s="1134" t="s">
        <v>479</v>
      </c>
      <c r="E30" s="1133">
        <v>0</v>
      </c>
      <c r="F30" s="1133">
        <v>0</v>
      </c>
      <c r="G30" s="1133">
        <v>0</v>
      </c>
      <c r="H30" s="1133">
        <v>0</v>
      </c>
      <c r="I30" s="1133">
        <v>0</v>
      </c>
      <c r="J30" s="1133">
        <v>0</v>
      </c>
      <c r="K30" s="1133">
        <v>0</v>
      </c>
      <c r="L30" s="1133">
        <v>0</v>
      </c>
      <c r="M30" s="1133">
        <v>0</v>
      </c>
      <c r="N30" s="1133">
        <v>0</v>
      </c>
      <c r="O30" s="1133">
        <v>0</v>
      </c>
      <c r="P30" s="1133">
        <v>0</v>
      </c>
      <c r="Q30" s="1133">
        <v>0</v>
      </c>
      <c r="R30" s="982"/>
      <c r="S30" s="982"/>
    </row>
    <row r="31" spans="1:19" ht="15" customHeight="1">
      <c r="A31" s="1134" t="s">
        <v>479</v>
      </c>
      <c r="B31" s="1134" t="s">
        <v>525</v>
      </c>
      <c r="C31" s="1134" t="s">
        <v>526</v>
      </c>
      <c r="D31" s="1134" t="s">
        <v>479</v>
      </c>
      <c r="E31" s="1133">
        <v>0</v>
      </c>
      <c r="F31" s="1133">
        <v>0</v>
      </c>
      <c r="G31" s="1133">
        <v>0</v>
      </c>
      <c r="H31" s="1133">
        <v>0</v>
      </c>
      <c r="I31" s="1133">
        <v>0</v>
      </c>
      <c r="J31" s="1133">
        <v>0</v>
      </c>
      <c r="K31" s="1133">
        <v>0</v>
      </c>
      <c r="L31" s="1133">
        <v>0</v>
      </c>
      <c r="M31" s="1133">
        <v>0</v>
      </c>
      <c r="N31" s="1133">
        <v>0</v>
      </c>
      <c r="O31" s="1133">
        <v>0</v>
      </c>
      <c r="P31" s="1133">
        <v>0</v>
      </c>
      <c r="Q31" s="1133">
        <v>0</v>
      </c>
      <c r="R31" s="982"/>
      <c r="S31" s="982"/>
    </row>
    <row r="32" spans="1:19" ht="15" customHeight="1">
      <c r="A32" s="1134" t="s">
        <v>479</v>
      </c>
      <c r="B32" s="1134" t="s">
        <v>527</v>
      </c>
      <c r="C32" s="1134" t="s">
        <v>528</v>
      </c>
      <c r="D32" s="1134" t="s">
        <v>479</v>
      </c>
      <c r="E32" s="1133">
        <v>0</v>
      </c>
      <c r="F32" s="1133">
        <v>0</v>
      </c>
      <c r="G32" s="1133">
        <v>0</v>
      </c>
      <c r="H32" s="1133">
        <v>0</v>
      </c>
      <c r="I32" s="1133">
        <v>0</v>
      </c>
      <c r="J32" s="1133">
        <v>0</v>
      </c>
      <c r="K32" s="1133">
        <v>0</v>
      </c>
      <c r="L32" s="1133">
        <v>0</v>
      </c>
      <c r="M32" s="1133">
        <v>0</v>
      </c>
      <c r="N32" s="1133">
        <v>0</v>
      </c>
      <c r="O32" s="1133">
        <v>0</v>
      </c>
      <c r="P32" s="1133">
        <v>0</v>
      </c>
      <c r="Q32" s="1133">
        <v>0</v>
      </c>
      <c r="R32" s="982"/>
      <c r="S32" s="982"/>
    </row>
    <row r="33" spans="1:19" ht="15" customHeight="1">
      <c r="A33" s="1134" t="s">
        <v>479</v>
      </c>
      <c r="B33" s="1134" t="s">
        <v>529</v>
      </c>
      <c r="C33" s="1134" t="s">
        <v>530</v>
      </c>
      <c r="D33" s="1134" t="s">
        <v>479</v>
      </c>
      <c r="E33" s="1133">
        <v>33.084000000000003</v>
      </c>
      <c r="F33" s="1133">
        <v>0</v>
      </c>
      <c r="G33" s="1133">
        <v>0</v>
      </c>
      <c r="H33" s="1133">
        <v>0</v>
      </c>
      <c r="I33" s="1133">
        <v>1.345</v>
      </c>
      <c r="J33" s="1133">
        <v>176.66800000000001</v>
      </c>
      <c r="K33" s="1133">
        <v>0</v>
      </c>
      <c r="L33" s="1133">
        <v>0</v>
      </c>
      <c r="M33" s="1133">
        <v>-165.41900000000001</v>
      </c>
      <c r="N33" s="1133">
        <v>0</v>
      </c>
      <c r="O33" s="1133">
        <v>0</v>
      </c>
      <c r="P33" s="1133">
        <v>45.677999999999997</v>
      </c>
      <c r="Q33" s="1133">
        <v>91.355999999999995</v>
      </c>
      <c r="R33" s="982"/>
      <c r="S33" s="982"/>
    </row>
    <row r="34" spans="1:19" ht="15" customHeight="1">
      <c r="A34" s="1134" t="s">
        <v>479</v>
      </c>
      <c r="B34" s="1134" t="s">
        <v>531</v>
      </c>
      <c r="C34" s="1134" t="s">
        <v>532</v>
      </c>
      <c r="D34" s="1134" t="s">
        <v>479</v>
      </c>
      <c r="E34" s="1133">
        <v>0</v>
      </c>
      <c r="F34" s="1133">
        <v>0</v>
      </c>
      <c r="G34" s="1133">
        <v>0</v>
      </c>
      <c r="H34" s="1133">
        <v>0</v>
      </c>
      <c r="I34" s="1133">
        <v>0</v>
      </c>
      <c r="J34" s="1133">
        <v>0</v>
      </c>
      <c r="K34" s="1133">
        <v>0</v>
      </c>
      <c r="L34" s="1133">
        <v>0</v>
      </c>
      <c r="M34" s="1133">
        <v>0</v>
      </c>
      <c r="N34" s="1133">
        <v>0</v>
      </c>
      <c r="O34" s="1133">
        <v>0</v>
      </c>
      <c r="P34" s="1133">
        <v>0</v>
      </c>
      <c r="Q34" s="1133">
        <v>0</v>
      </c>
      <c r="R34" s="982"/>
      <c r="S34" s="982"/>
    </row>
    <row r="35" spans="1:19" ht="15" customHeight="1">
      <c r="A35" s="1134" t="s">
        <v>479</v>
      </c>
      <c r="B35" s="1134" t="s">
        <v>533</v>
      </c>
      <c r="C35" s="1134" t="s">
        <v>534</v>
      </c>
      <c r="D35" s="1134" t="s">
        <v>479</v>
      </c>
      <c r="E35" s="1133">
        <v>0</v>
      </c>
      <c r="F35" s="1133">
        <v>0</v>
      </c>
      <c r="G35" s="1133">
        <v>0</v>
      </c>
      <c r="H35" s="1133">
        <v>0</v>
      </c>
      <c r="I35" s="1133">
        <v>0</v>
      </c>
      <c r="J35" s="1133">
        <v>0</v>
      </c>
      <c r="K35" s="1133">
        <v>0</v>
      </c>
      <c r="L35" s="1133">
        <v>0</v>
      </c>
      <c r="M35" s="1133">
        <v>0</v>
      </c>
      <c r="N35" s="1133">
        <v>0</v>
      </c>
      <c r="O35" s="1133">
        <v>0</v>
      </c>
      <c r="P35" s="1133">
        <v>0</v>
      </c>
      <c r="Q35" s="1133">
        <v>0</v>
      </c>
      <c r="R35" s="982"/>
      <c r="S35" s="982"/>
    </row>
    <row r="36" spans="1:19" ht="15" customHeight="1">
      <c r="A36" s="1134" t="s">
        <v>479</v>
      </c>
      <c r="B36" s="1134" t="s">
        <v>535</v>
      </c>
      <c r="C36" s="1134" t="s">
        <v>536</v>
      </c>
      <c r="D36" s="1134" t="s">
        <v>479</v>
      </c>
      <c r="E36" s="1133">
        <v>82.29</v>
      </c>
      <c r="F36" s="1133">
        <v>0</v>
      </c>
      <c r="G36" s="1133">
        <v>0</v>
      </c>
      <c r="H36" s="1133">
        <v>0</v>
      </c>
      <c r="I36" s="1133">
        <v>0</v>
      </c>
      <c r="J36" s="1133">
        <v>49.104999999999997</v>
      </c>
      <c r="K36" s="1133">
        <v>0</v>
      </c>
      <c r="L36" s="1133">
        <v>0</v>
      </c>
      <c r="M36" s="1133">
        <v>-40.393000000000001</v>
      </c>
      <c r="N36" s="1133">
        <v>0</v>
      </c>
      <c r="O36" s="1133">
        <v>0</v>
      </c>
      <c r="P36" s="1133">
        <v>91.001999999999995</v>
      </c>
      <c r="Q36" s="1133">
        <v>182.00399999999999</v>
      </c>
      <c r="R36" s="982"/>
      <c r="S36" s="982"/>
    </row>
    <row r="37" spans="1:19" ht="15" customHeight="1">
      <c r="A37" s="1134" t="s">
        <v>479</v>
      </c>
      <c r="B37" s="1134" t="s">
        <v>537</v>
      </c>
      <c r="C37" s="1134" t="s">
        <v>538</v>
      </c>
      <c r="D37" s="1134" t="s">
        <v>479</v>
      </c>
      <c r="E37" s="1133">
        <v>50.54</v>
      </c>
      <c r="F37" s="1133">
        <v>0</v>
      </c>
      <c r="G37" s="1133">
        <v>0</v>
      </c>
      <c r="H37" s="1133">
        <v>0</v>
      </c>
      <c r="I37" s="1133">
        <v>0</v>
      </c>
      <c r="J37" s="1133">
        <v>6.93</v>
      </c>
      <c r="K37" s="1133">
        <v>0</v>
      </c>
      <c r="L37" s="1133">
        <v>0</v>
      </c>
      <c r="M37" s="1133">
        <v>-1.98</v>
      </c>
      <c r="N37" s="1133">
        <v>0</v>
      </c>
      <c r="O37" s="1133">
        <v>0</v>
      </c>
      <c r="P37" s="1133">
        <v>55.49</v>
      </c>
      <c r="Q37" s="1133">
        <v>110.98</v>
      </c>
      <c r="R37" s="982"/>
      <c r="S37" s="982"/>
    </row>
    <row r="38" spans="1:19" ht="15" customHeight="1">
      <c r="A38" s="1134" t="s">
        <v>479</v>
      </c>
      <c r="B38" s="1134" t="s">
        <v>539</v>
      </c>
      <c r="C38" s="1134" t="s">
        <v>460</v>
      </c>
      <c r="D38" s="1134" t="s">
        <v>479</v>
      </c>
      <c r="E38" s="1133">
        <v>29.34</v>
      </c>
      <c r="F38" s="1133">
        <v>0</v>
      </c>
      <c r="G38" s="1133">
        <v>0</v>
      </c>
      <c r="H38" s="1133">
        <v>0</v>
      </c>
      <c r="I38" s="1133">
        <v>0</v>
      </c>
      <c r="J38" s="1133">
        <v>0</v>
      </c>
      <c r="K38" s="1133">
        <v>0</v>
      </c>
      <c r="L38" s="1133">
        <v>0</v>
      </c>
      <c r="M38" s="1133">
        <v>0</v>
      </c>
      <c r="N38" s="1133">
        <v>0</v>
      </c>
      <c r="O38" s="1133">
        <v>0</v>
      </c>
      <c r="P38" s="1133">
        <v>29.34</v>
      </c>
      <c r="Q38" s="1133">
        <v>58.68</v>
      </c>
      <c r="R38" s="982"/>
      <c r="S38" s="982"/>
    </row>
    <row r="39" spans="1:19" ht="15" customHeight="1">
      <c r="A39" s="1134" t="s">
        <v>479</v>
      </c>
      <c r="B39" s="1134" t="s">
        <v>540</v>
      </c>
      <c r="C39" s="1134" t="s">
        <v>388</v>
      </c>
      <c r="D39" s="1134" t="s">
        <v>479</v>
      </c>
      <c r="E39" s="1133">
        <v>0</v>
      </c>
      <c r="F39" s="1133">
        <v>0</v>
      </c>
      <c r="G39" s="1133">
        <v>0</v>
      </c>
      <c r="H39" s="1133">
        <v>0</v>
      </c>
      <c r="I39" s="1133">
        <v>0</v>
      </c>
      <c r="J39" s="1133">
        <v>0</v>
      </c>
      <c r="K39" s="1133">
        <v>0</v>
      </c>
      <c r="L39" s="1133">
        <v>0</v>
      </c>
      <c r="M39" s="1133">
        <v>0</v>
      </c>
      <c r="N39" s="1133">
        <v>0</v>
      </c>
      <c r="O39" s="1133">
        <v>0</v>
      </c>
      <c r="P39" s="1133">
        <v>0</v>
      </c>
      <c r="Q39" s="1133">
        <v>0</v>
      </c>
      <c r="R39" s="982"/>
      <c r="S39" s="982"/>
    </row>
    <row r="40" spans="1:19" ht="15" customHeight="1">
      <c r="A40" s="1134" t="s">
        <v>479</v>
      </c>
      <c r="B40" s="1134" t="s">
        <v>541</v>
      </c>
      <c r="C40" s="1134" t="s">
        <v>91</v>
      </c>
      <c r="D40" s="1134" t="s">
        <v>479</v>
      </c>
      <c r="E40" s="1133">
        <v>0</v>
      </c>
      <c r="F40" s="1133">
        <v>0</v>
      </c>
      <c r="G40" s="1133">
        <v>0</v>
      </c>
      <c r="H40" s="1133">
        <v>0</v>
      </c>
      <c r="I40" s="1133">
        <v>0</v>
      </c>
      <c r="J40" s="1133">
        <v>0</v>
      </c>
      <c r="K40" s="1133">
        <v>0</v>
      </c>
      <c r="L40" s="1133">
        <v>0</v>
      </c>
      <c r="M40" s="1133">
        <v>0</v>
      </c>
      <c r="N40" s="1133">
        <v>0</v>
      </c>
      <c r="O40" s="1133">
        <v>0</v>
      </c>
      <c r="P40" s="1133">
        <v>0</v>
      </c>
      <c r="Q40" s="1133">
        <v>0</v>
      </c>
      <c r="R40" s="982"/>
      <c r="S40" s="982"/>
    </row>
    <row r="41" spans="1:19" ht="15" customHeight="1">
      <c r="A41" s="1134" t="s">
        <v>479</v>
      </c>
      <c r="B41" s="1134" t="s">
        <v>542</v>
      </c>
      <c r="C41" s="1134" t="s">
        <v>436</v>
      </c>
      <c r="D41" s="1134" t="s">
        <v>479</v>
      </c>
      <c r="E41" s="1133">
        <v>189.66399999999999</v>
      </c>
      <c r="F41" s="1133">
        <v>0</v>
      </c>
      <c r="G41" s="1133">
        <v>0</v>
      </c>
      <c r="H41" s="1133">
        <v>236.08</v>
      </c>
      <c r="I41" s="1133">
        <v>0</v>
      </c>
      <c r="J41" s="1133">
        <v>230</v>
      </c>
      <c r="K41" s="1133">
        <v>-236.08</v>
      </c>
      <c r="L41" s="1133">
        <v>0</v>
      </c>
      <c r="M41" s="1133">
        <v>0</v>
      </c>
      <c r="N41" s="1133">
        <v>-156.88</v>
      </c>
      <c r="O41" s="1133">
        <v>0</v>
      </c>
      <c r="P41" s="1133">
        <v>262.78399999999999</v>
      </c>
      <c r="Q41" s="1133">
        <v>525.56799999999998</v>
      </c>
      <c r="R41" s="982"/>
      <c r="S41" s="982"/>
    </row>
    <row r="42" spans="1:19" ht="15" customHeight="1">
      <c r="A42" s="1134" t="s">
        <v>479</v>
      </c>
      <c r="B42" s="1134" t="s">
        <v>543</v>
      </c>
      <c r="C42" s="1134" t="s">
        <v>451</v>
      </c>
      <c r="D42" s="1134" t="s">
        <v>479</v>
      </c>
      <c r="E42" s="1133">
        <v>3463.663</v>
      </c>
      <c r="F42" s="1133">
        <v>0</v>
      </c>
      <c r="G42" s="1133">
        <v>0</v>
      </c>
      <c r="H42" s="1133">
        <v>0</v>
      </c>
      <c r="I42" s="1133">
        <v>0</v>
      </c>
      <c r="J42" s="1133">
        <v>106.59</v>
      </c>
      <c r="K42" s="1133">
        <v>0</v>
      </c>
      <c r="L42" s="1133">
        <v>0</v>
      </c>
      <c r="M42" s="1133">
        <v>0</v>
      </c>
      <c r="N42" s="1133">
        <v>0</v>
      </c>
      <c r="O42" s="1133">
        <v>0</v>
      </c>
      <c r="P42" s="1133">
        <v>3570.2530000000002</v>
      </c>
      <c r="Q42" s="1133">
        <v>7140.5060000000003</v>
      </c>
      <c r="R42" s="982"/>
      <c r="S42" s="982"/>
    </row>
    <row r="43" spans="1:19" ht="15" customHeight="1">
      <c r="A43" s="1134" t="s">
        <v>479</v>
      </c>
      <c r="B43" s="1134" t="s">
        <v>544</v>
      </c>
      <c r="C43" s="1134" t="s">
        <v>459</v>
      </c>
      <c r="D43" s="1134" t="s">
        <v>479</v>
      </c>
      <c r="E43" s="1133">
        <v>132.87100000000001</v>
      </c>
      <c r="F43" s="1133">
        <v>0</v>
      </c>
      <c r="G43" s="1133">
        <v>0</v>
      </c>
      <c r="H43" s="1133">
        <v>0</v>
      </c>
      <c r="I43" s="1133">
        <v>0</v>
      </c>
      <c r="J43" s="1133">
        <v>0</v>
      </c>
      <c r="K43" s="1133">
        <v>0</v>
      </c>
      <c r="L43" s="1133">
        <v>0</v>
      </c>
      <c r="M43" s="1133">
        <v>0</v>
      </c>
      <c r="N43" s="1133">
        <v>-2.5</v>
      </c>
      <c r="O43" s="1133">
        <v>0</v>
      </c>
      <c r="P43" s="1133">
        <v>130.37100000000001</v>
      </c>
      <c r="Q43" s="1133">
        <v>260.74200000000002</v>
      </c>
      <c r="R43" s="982"/>
      <c r="S43" s="982"/>
    </row>
    <row r="44" spans="1:19" ht="15" customHeight="1">
      <c r="A44" s="1134" t="s">
        <v>479</v>
      </c>
      <c r="B44" s="1134" t="s">
        <v>545</v>
      </c>
      <c r="C44" s="1134" t="s">
        <v>546</v>
      </c>
      <c r="D44" s="1134" t="s">
        <v>479</v>
      </c>
      <c r="E44" s="1133">
        <v>0</v>
      </c>
      <c r="F44" s="1133">
        <v>0</v>
      </c>
      <c r="G44" s="1133">
        <v>0</v>
      </c>
      <c r="H44" s="1133">
        <v>0</v>
      </c>
      <c r="I44" s="1133">
        <v>0</v>
      </c>
      <c r="J44" s="1133">
        <v>0</v>
      </c>
      <c r="K44" s="1133">
        <v>0</v>
      </c>
      <c r="L44" s="1133">
        <v>0</v>
      </c>
      <c r="M44" s="1133">
        <v>0</v>
      </c>
      <c r="N44" s="1133">
        <v>0</v>
      </c>
      <c r="O44" s="1133">
        <v>0</v>
      </c>
      <c r="P44" s="1133">
        <v>0</v>
      </c>
      <c r="Q44" s="1133">
        <v>0</v>
      </c>
      <c r="R44" s="982"/>
      <c r="S44" s="982"/>
    </row>
    <row r="45" spans="1:19" ht="15" customHeight="1">
      <c r="A45" s="1134" t="s">
        <v>479</v>
      </c>
      <c r="B45" s="1134" t="s">
        <v>547</v>
      </c>
      <c r="C45" s="1134" t="s">
        <v>548</v>
      </c>
      <c r="D45" s="1134" t="s">
        <v>479</v>
      </c>
      <c r="E45" s="1133">
        <v>83.1</v>
      </c>
      <c r="F45" s="1133">
        <v>0</v>
      </c>
      <c r="G45" s="1133">
        <v>0</v>
      </c>
      <c r="H45" s="1133">
        <v>0</v>
      </c>
      <c r="I45" s="1133">
        <v>0</v>
      </c>
      <c r="J45" s="1133">
        <v>0</v>
      </c>
      <c r="K45" s="1133">
        <v>0</v>
      </c>
      <c r="L45" s="1133">
        <v>0</v>
      </c>
      <c r="M45" s="1133">
        <v>0</v>
      </c>
      <c r="N45" s="1133">
        <v>0</v>
      </c>
      <c r="O45" s="1133">
        <v>0</v>
      </c>
      <c r="P45" s="1133">
        <v>83.1</v>
      </c>
      <c r="Q45" s="1133">
        <v>166.2</v>
      </c>
      <c r="R45" s="982"/>
      <c r="S45" s="982"/>
    </row>
    <row r="46" spans="1:19" ht="15" customHeight="1">
      <c r="A46" s="1134" t="s">
        <v>479</v>
      </c>
      <c r="B46" s="1134" t="s">
        <v>549</v>
      </c>
      <c r="C46" s="1134" t="s">
        <v>550</v>
      </c>
      <c r="D46" s="1134" t="s">
        <v>479</v>
      </c>
      <c r="E46" s="1133">
        <v>132.09</v>
      </c>
      <c r="F46" s="1133">
        <v>0</v>
      </c>
      <c r="G46" s="1133">
        <v>0</v>
      </c>
      <c r="H46" s="1133">
        <v>0</v>
      </c>
      <c r="I46" s="1133">
        <v>0</v>
      </c>
      <c r="J46" s="1133">
        <v>0</v>
      </c>
      <c r="K46" s="1133">
        <v>0</v>
      </c>
      <c r="L46" s="1133">
        <v>0</v>
      </c>
      <c r="M46" s="1133">
        <v>0</v>
      </c>
      <c r="N46" s="1133">
        <v>0</v>
      </c>
      <c r="O46" s="1133">
        <v>0</v>
      </c>
      <c r="P46" s="1133">
        <v>132.09</v>
      </c>
      <c r="Q46" s="1133">
        <v>264.18</v>
      </c>
      <c r="R46" s="982"/>
      <c r="S46" s="982"/>
    </row>
    <row r="47" spans="1:19" ht="15" customHeight="1">
      <c r="A47" s="1134" t="s">
        <v>479</v>
      </c>
      <c r="B47" s="1134" t="s">
        <v>551</v>
      </c>
      <c r="C47" s="1134" t="s">
        <v>552</v>
      </c>
      <c r="D47" s="1134" t="s">
        <v>479</v>
      </c>
      <c r="E47" s="1133">
        <v>0</v>
      </c>
      <c r="F47" s="1133">
        <v>0</v>
      </c>
      <c r="G47" s="1133">
        <v>0</v>
      </c>
      <c r="H47" s="1133">
        <v>0</v>
      </c>
      <c r="I47" s="1133">
        <v>0</v>
      </c>
      <c r="J47" s="1133">
        <v>0</v>
      </c>
      <c r="K47" s="1133">
        <v>0</v>
      </c>
      <c r="L47" s="1133">
        <v>0</v>
      </c>
      <c r="M47" s="1133">
        <v>0</v>
      </c>
      <c r="N47" s="1133">
        <v>0</v>
      </c>
      <c r="O47" s="1133">
        <v>0</v>
      </c>
      <c r="P47" s="1133">
        <v>0</v>
      </c>
      <c r="Q47" s="1133">
        <v>0</v>
      </c>
      <c r="R47" s="982"/>
      <c r="S47" s="982"/>
    </row>
    <row r="48" spans="1:19" ht="15" customHeight="1">
      <c r="A48" s="1134" t="s">
        <v>479</v>
      </c>
      <c r="B48" s="1134" t="s">
        <v>553</v>
      </c>
      <c r="C48" s="1134" t="s">
        <v>554</v>
      </c>
      <c r="D48" s="1134" t="s">
        <v>479</v>
      </c>
      <c r="E48" s="1133">
        <v>0</v>
      </c>
      <c r="F48" s="1133">
        <v>0</v>
      </c>
      <c r="G48" s="1133">
        <v>0</v>
      </c>
      <c r="H48" s="1133">
        <v>0</v>
      </c>
      <c r="I48" s="1133">
        <v>0</v>
      </c>
      <c r="J48" s="1133">
        <v>0</v>
      </c>
      <c r="K48" s="1133">
        <v>0</v>
      </c>
      <c r="L48" s="1133">
        <v>0</v>
      </c>
      <c r="M48" s="1133">
        <v>0</v>
      </c>
      <c r="N48" s="1133">
        <v>0</v>
      </c>
      <c r="O48" s="1133">
        <v>0</v>
      </c>
      <c r="P48" s="1133">
        <v>0</v>
      </c>
      <c r="Q48" s="1133">
        <v>0</v>
      </c>
      <c r="R48" s="982"/>
      <c r="S48" s="982"/>
    </row>
    <row r="49" spans="1:19" ht="15" customHeight="1">
      <c r="A49" s="1134" t="s">
        <v>479</v>
      </c>
      <c r="B49" s="1134" t="s">
        <v>555</v>
      </c>
      <c r="C49" s="1134" t="s">
        <v>556</v>
      </c>
      <c r="D49" s="1134" t="s">
        <v>479</v>
      </c>
      <c r="E49" s="1133">
        <v>0</v>
      </c>
      <c r="F49" s="1133">
        <v>0</v>
      </c>
      <c r="G49" s="1133">
        <v>0</v>
      </c>
      <c r="H49" s="1133">
        <v>0</v>
      </c>
      <c r="I49" s="1133">
        <v>0</v>
      </c>
      <c r="J49" s="1133">
        <v>0</v>
      </c>
      <c r="K49" s="1133">
        <v>0</v>
      </c>
      <c r="L49" s="1133">
        <v>0</v>
      </c>
      <c r="M49" s="1133">
        <v>0</v>
      </c>
      <c r="N49" s="1133">
        <v>0</v>
      </c>
      <c r="O49" s="1133">
        <v>0</v>
      </c>
      <c r="P49" s="1133">
        <v>0</v>
      </c>
      <c r="Q49" s="1133">
        <v>0</v>
      </c>
      <c r="R49" s="982"/>
      <c r="S49" s="982"/>
    </row>
    <row r="50" spans="1:19" ht="15" customHeight="1">
      <c r="A50" s="1134" t="s">
        <v>479</v>
      </c>
      <c r="B50" s="1134" t="s">
        <v>557</v>
      </c>
      <c r="C50" s="1134" t="s">
        <v>558</v>
      </c>
      <c r="D50" s="1134" t="s">
        <v>479</v>
      </c>
      <c r="E50" s="1133">
        <v>0</v>
      </c>
      <c r="F50" s="1133">
        <v>0</v>
      </c>
      <c r="G50" s="1133">
        <v>0</v>
      </c>
      <c r="H50" s="1133">
        <v>0</v>
      </c>
      <c r="I50" s="1133">
        <v>0</v>
      </c>
      <c r="J50" s="1133">
        <v>0</v>
      </c>
      <c r="K50" s="1133">
        <v>0</v>
      </c>
      <c r="L50" s="1133">
        <v>0</v>
      </c>
      <c r="M50" s="1133">
        <v>0</v>
      </c>
      <c r="N50" s="1133">
        <v>0</v>
      </c>
      <c r="O50" s="1133">
        <v>0</v>
      </c>
      <c r="P50" s="1133">
        <v>0</v>
      </c>
      <c r="Q50" s="1133">
        <v>0</v>
      </c>
      <c r="R50" s="982"/>
      <c r="S50" s="982"/>
    </row>
    <row r="51" spans="1:19" ht="15" customHeight="1">
      <c r="A51" s="1134" t="s">
        <v>479</v>
      </c>
      <c r="B51" s="1134" t="s">
        <v>559</v>
      </c>
      <c r="C51" s="1134" t="s">
        <v>560</v>
      </c>
      <c r="D51" s="1134" t="s">
        <v>479</v>
      </c>
      <c r="E51" s="1133">
        <v>0</v>
      </c>
      <c r="F51" s="1133">
        <v>0</v>
      </c>
      <c r="G51" s="1133">
        <v>0</v>
      </c>
      <c r="H51" s="1133">
        <v>0</v>
      </c>
      <c r="I51" s="1133">
        <v>0</v>
      </c>
      <c r="J51" s="1133">
        <v>0</v>
      </c>
      <c r="K51" s="1133">
        <v>0</v>
      </c>
      <c r="L51" s="1133">
        <v>0</v>
      </c>
      <c r="M51" s="1133">
        <v>0</v>
      </c>
      <c r="N51" s="1133">
        <v>0</v>
      </c>
      <c r="O51" s="1133">
        <v>0</v>
      </c>
      <c r="P51" s="1133">
        <v>0</v>
      </c>
      <c r="Q51" s="1133">
        <v>0</v>
      </c>
      <c r="R51" s="982"/>
      <c r="S51" s="982"/>
    </row>
    <row r="52" spans="1:19" ht="15" customHeight="1">
      <c r="A52" s="1134" t="s">
        <v>479</v>
      </c>
      <c r="B52" s="1134" t="s">
        <v>561</v>
      </c>
      <c r="C52" s="1134" t="s">
        <v>562</v>
      </c>
      <c r="D52" s="1134" t="s">
        <v>479</v>
      </c>
      <c r="E52" s="1133">
        <v>0</v>
      </c>
      <c r="F52" s="1133">
        <v>0</v>
      </c>
      <c r="G52" s="1133">
        <v>0</v>
      </c>
      <c r="H52" s="1133">
        <v>0</v>
      </c>
      <c r="I52" s="1133">
        <v>0</v>
      </c>
      <c r="J52" s="1133">
        <v>0</v>
      </c>
      <c r="K52" s="1133">
        <v>0</v>
      </c>
      <c r="L52" s="1133">
        <v>0</v>
      </c>
      <c r="M52" s="1133">
        <v>0</v>
      </c>
      <c r="N52" s="1133">
        <v>0</v>
      </c>
      <c r="O52" s="1133">
        <v>0</v>
      </c>
      <c r="P52" s="1133">
        <v>0</v>
      </c>
      <c r="Q52" s="1133">
        <v>0</v>
      </c>
      <c r="R52" s="982"/>
      <c r="S52" s="982"/>
    </row>
    <row r="53" spans="1:19" ht="15" customHeight="1">
      <c r="A53" s="1134" t="s">
        <v>479</v>
      </c>
      <c r="B53" s="1134" t="s">
        <v>563</v>
      </c>
      <c r="C53" s="1134" t="s">
        <v>564</v>
      </c>
      <c r="D53" s="1134" t="s">
        <v>479</v>
      </c>
      <c r="E53" s="1133">
        <v>0</v>
      </c>
      <c r="F53" s="1133">
        <v>0</v>
      </c>
      <c r="G53" s="1133">
        <v>0</v>
      </c>
      <c r="H53" s="1133">
        <v>0</v>
      </c>
      <c r="I53" s="1133">
        <v>0</v>
      </c>
      <c r="J53" s="1133">
        <v>0</v>
      </c>
      <c r="K53" s="1133">
        <v>0</v>
      </c>
      <c r="L53" s="1133">
        <v>0</v>
      </c>
      <c r="M53" s="1133">
        <v>0</v>
      </c>
      <c r="N53" s="1133">
        <v>0</v>
      </c>
      <c r="O53" s="1133">
        <v>0</v>
      </c>
      <c r="P53" s="1133">
        <v>0</v>
      </c>
      <c r="Q53" s="1133">
        <v>0</v>
      </c>
      <c r="R53" s="982"/>
      <c r="S53" s="982"/>
    </row>
    <row r="54" spans="1:19" ht="15" customHeight="1">
      <c r="A54" s="1134" t="s">
        <v>479</v>
      </c>
      <c r="B54" s="1134" t="s">
        <v>565</v>
      </c>
      <c r="C54" s="1134" t="s">
        <v>566</v>
      </c>
      <c r="D54" s="1134" t="s">
        <v>479</v>
      </c>
      <c r="E54" s="1133">
        <v>0</v>
      </c>
      <c r="F54" s="1133">
        <v>0</v>
      </c>
      <c r="G54" s="1133">
        <v>0</v>
      </c>
      <c r="H54" s="1133">
        <v>0</v>
      </c>
      <c r="I54" s="1133">
        <v>0</v>
      </c>
      <c r="J54" s="1133">
        <v>0</v>
      </c>
      <c r="K54" s="1133">
        <v>0</v>
      </c>
      <c r="L54" s="1133">
        <v>0</v>
      </c>
      <c r="M54" s="1133">
        <v>0</v>
      </c>
      <c r="N54" s="1133">
        <v>0</v>
      </c>
      <c r="O54" s="1133">
        <v>0</v>
      </c>
      <c r="P54" s="1133">
        <v>0</v>
      </c>
      <c r="Q54" s="1133">
        <v>0</v>
      </c>
      <c r="R54" s="982"/>
      <c r="S54" s="982"/>
    </row>
    <row r="55" spans="1:19" ht="15" customHeight="1">
      <c r="A55" s="1134" t="s">
        <v>479</v>
      </c>
      <c r="B55" s="1134" t="s">
        <v>567</v>
      </c>
      <c r="C55" s="1134" t="s">
        <v>568</v>
      </c>
      <c r="D55" s="1134" t="s">
        <v>479</v>
      </c>
      <c r="E55" s="1133">
        <v>0</v>
      </c>
      <c r="F55" s="1133">
        <v>0</v>
      </c>
      <c r="G55" s="1133">
        <v>0</v>
      </c>
      <c r="H55" s="1133">
        <v>0</v>
      </c>
      <c r="I55" s="1133">
        <v>0</v>
      </c>
      <c r="J55" s="1133">
        <v>0</v>
      </c>
      <c r="K55" s="1133">
        <v>0</v>
      </c>
      <c r="L55" s="1133">
        <v>0</v>
      </c>
      <c r="M55" s="1133">
        <v>0</v>
      </c>
      <c r="N55" s="1133">
        <v>0</v>
      </c>
      <c r="O55" s="1133">
        <v>0</v>
      </c>
      <c r="P55" s="1133">
        <v>0</v>
      </c>
      <c r="Q55" s="1133">
        <v>0</v>
      </c>
      <c r="R55" s="982"/>
      <c r="S55" s="982"/>
    </row>
    <row r="56" spans="1:19" ht="15" customHeight="1">
      <c r="A56" s="1134" t="s">
        <v>479</v>
      </c>
      <c r="B56" s="1134" t="s">
        <v>569</v>
      </c>
      <c r="C56" s="1134" t="s">
        <v>570</v>
      </c>
      <c r="D56" s="1134" t="s">
        <v>479</v>
      </c>
      <c r="E56" s="1133">
        <v>0</v>
      </c>
      <c r="F56" s="1133">
        <v>0</v>
      </c>
      <c r="G56" s="1133">
        <v>0</v>
      </c>
      <c r="H56" s="1133">
        <v>0</v>
      </c>
      <c r="I56" s="1133">
        <v>0</v>
      </c>
      <c r="J56" s="1133">
        <v>0</v>
      </c>
      <c r="K56" s="1133">
        <v>0</v>
      </c>
      <c r="L56" s="1133">
        <v>0</v>
      </c>
      <c r="M56" s="1133">
        <v>0</v>
      </c>
      <c r="N56" s="1133">
        <v>0</v>
      </c>
      <c r="O56" s="1133">
        <v>0</v>
      </c>
      <c r="P56" s="1133">
        <v>0</v>
      </c>
      <c r="Q56" s="1133">
        <v>0</v>
      </c>
      <c r="R56" s="982"/>
      <c r="S56" s="982"/>
    </row>
    <row r="57" spans="1:19" ht="15" customHeight="1">
      <c r="A57" s="1134" t="s">
        <v>479</v>
      </c>
      <c r="B57" s="1134" t="s">
        <v>571</v>
      </c>
      <c r="C57" s="1134" t="s">
        <v>572</v>
      </c>
      <c r="D57" s="1134" t="s">
        <v>479</v>
      </c>
      <c r="E57" s="1133">
        <v>0</v>
      </c>
      <c r="F57" s="1133">
        <v>0</v>
      </c>
      <c r="G57" s="1133">
        <v>0</v>
      </c>
      <c r="H57" s="1133">
        <v>0</v>
      </c>
      <c r="I57" s="1133">
        <v>0</v>
      </c>
      <c r="J57" s="1133">
        <v>0</v>
      </c>
      <c r="K57" s="1133">
        <v>0</v>
      </c>
      <c r="L57" s="1133">
        <v>0</v>
      </c>
      <c r="M57" s="1133">
        <v>0</v>
      </c>
      <c r="N57" s="1133">
        <v>0</v>
      </c>
      <c r="O57" s="1133">
        <v>0</v>
      </c>
      <c r="P57" s="1133">
        <v>0</v>
      </c>
      <c r="Q57" s="1133">
        <v>0</v>
      </c>
      <c r="R57" s="982"/>
      <c r="S57" s="982"/>
    </row>
    <row r="58" spans="1:19" ht="15" customHeight="1">
      <c r="A58" s="1134" t="s">
        <v>479</v>
      </c>
      <c r="B58" s="1134" t="s">
        <v>573</v>
      </c>
      <c r="C58" s="1134" t="s">
        <v>574</v>
      </c>
      <c r="D58" s="1134" t="s">
        <v>479</v>
      </c>
      <c r="E58" s="1133">
        <v>0</v>
      </c>
      <c r="F58" s="1133">
        <v>0</v>
      </c>
      <c r="G58" s="1133">
        <v>0</v>
      </c>
      <c r="H58" s="1133">
        <v>0</v>
      </c>
      <c r="I58" s="1133">
        <v>0</v>
      </c>
      <c r="J58" s="1133">
        <v>0</v>
      </c>
      <c r="K58" s="1133">
        <v>0</v>
      </c>
      <c r="L58" s="1133">
        <v>0</v>
      </c>
      <c r="M58" s="1133">
        <v>0</v>
      </c>
      <c r="N58" s="1133">
        <v>0</v>
      </c>
      <c r="O58" s="1133">
        <v>0</v>
      </c>
      <c r="P58" s="1133">
        <v>0</v>
      </c>
      <c r="Q58" s="1133">
        <v>0</v>
      </c>
      <c r="R58" s="982"/>
      <c r="S58" s="982"/>
    </row>
    <row r="59" spans="1:19" ht="15" customHeight="1">
      <c r="A59" s="1134" t="s">
        <v>479</v>
      </c>
      <c r="B59" s="1134" t="s">
        <v>575</v>
      </c>
      <c r="C59" s="1134" t="s">
        <v>576</v>
      </c>
      <c r="D59" s="1134" t="s">
        <v>479</v>
      </c>
      <c r="E59" s="1133">
        <v>0</v>
      </c>
      <c r="F59" s="1133">
        <v>0</v>
      </c>
      <c r="G59" s="1133">
        <v>0</v>
      </c>
      <c r="H59" s="1133">
        <v>0</v>
      </c>
      <c r="I59" s="1133">
        <v>0</v>
      </c>
      <c r="J59" s="1133">
        <v>0</v>
      </c>
      <c r="K59" s="1133">
        <v>0</v>
      </c>
      <c r="L59" s="1133">
        <v>0</v>
      </c>
      <c r="M59" s="1133">
        <v>0</v>
      </c>
      <c r="N59" s="1133">
        <v>0</v>
      </c>
      <c r="O59" s="1133">
        <v>0</v>
      </c>
      <c r="P59" s="1133">
        <v>0</v>
      </c>
      <c r="Q59" s="1133">
        <v>0</v>
      </c>
      <c r="R59" s="982"/>
      <c r="S59" s="982"/>
    </row>
    <row r="60" spans="1:19" ht="15" customHeight="1">
      <c r="A60" s="1134" t="s">
        <v>479</v>
      </c>
      <c r="B60" s="1134" t="s">
        <v>577</v>
      </c>
      <c r="C60" s="1134" t="s">
        <v>578</v>
      </c>
      <c r="D60" s="1134" t="s">
        <v>479</v>
      </c>
      <c r="E60" s="1133">
        <v>0</v>
      </c>
      <c r="F60" s="1133">
        <v>0</v>
      </c>
      <c r="G60" s="1133">
        <v>0</v>
      </c>
      <c r="H60" s="1133">
        <v>0</v>
      </c>
      <c r="I60" s="1133">
        <v>0</v>
      </c>
      <c r="J60" s="1133">
        <v>0</v>
      </c>
      <c r="K60" s="1133">
        <v>0</v>
      </c>
      <c r="L60" s="1133">
        <v>0</v>
      </c>
      <c r="M60" s="1133">
        <v>0</v>
      </c>
      <c r="N60" s="1133">
        <v>0</v>
      </c>
      <c r="O60" s="1133">
        <v>0</v>
      </c>
      <c r="P60" s="1133">
        <v>0</v>
      </c>
      <c r="Q60" s="1133">
        <v>0</v>
      </c>
      <c r="R60" s="982"/>
      <c r="S60" s="982"/>
    </row>
    <row r="61" spans="1:19" ht="15" customHeight="1">
      <c r="A61" s="1134" t="s">
        <v>479</v>
      </c>
      <c r="B61" s="1134" t="s">
        <v>579</v>
      </c>
      <c r="C61" s="1134" t="s">
        <v>580</v>
      </c>
      <c r="D61" s="1134" t="s">
        <v>479</v>
      </c>
      <c r="E61" s="1133">
        <v>0</v>
      </c>
      <c r="F61" s="1133">
        <v>0</v>
      </c>
      <c r="G61" s="1133">
        <v>0</v>
      </c>
      <c r="H61" s="1133">
        <v>0</v>
      </c>
      <c r="I61" s="1133">
        <v>0</v>
      </c>
      <c r="J61" s="1133">
        <v>0</v>
      </c>
      <c r="K61" s="1133">
        <v>0</v>
      </c>
      <c r="L61" s="1133">
        <v>0</v>
      </c>
      <c r="M61" s="1133">
        <v>0</v>
      </c>
      <c r="N61" s="1133">
        <v>0</v>
      </c>
      <c r="O61" s="1133">
        <v>0</v>
      </c>
      <c r="P61" s="1133">
        <v>0</v>
      </c>
      <c r="Q61" s="1133">
        <v>0</v>
      </c>
      <c r="R61" s="982"/>
      <c r="S61" s="982"/>
    </row>
    <row r="62" spans="1:19" ht="15" customHeight="1">
      <c r="A62" s="1134" t="s">
        <v>479</v>
      </c>
      <c r="B62" s="1134" t="s">
        <v>581</v>
      </c>
      <c r="C62" s="1134" t="s">
        <v>582</v>
      </c>
      <c r="D62" s="1134" t="s">
        <v>479</v>
      </c>
      <c r="E62" s="1133">
        <v>0</v>
      </c>
      <c r="F62" s="1133">
        <v>0</v>
      </c>
      <c r="G62" s="1133">
        <v>0</v>
      </c>
      <c r="H62" s="1133">
        <v>0</v>
      </c>
      <c r="I62" s="1133">
        <v>0</v>
      </c>
      <c r="J62" s="1133">
        <v>0</v>
      </c>
      <c r="K62" s="1133">
        <v>0</v>
      </c>
      <c r="L62" s="1133">
        <v>0</v>
      </c>
      <c r="M62" s="1133">
        <v>0</v>
      </c>
      <c r="N62" s="1133">
        <v>0</v>
      </c>
      <c r="O62" s="1133">
        <v>0</v>
      </c>
      <c r="P62" s="1133">
        <v>0</v>
      </c>
      <c r="Q62" s="1133">
        <v>0</v>
      </c>
      <c r="R62" s="982"/>
      <c r="S62" s="982"/>
    </row>
    <row r="63" spans="1:19" ht="15" customHeight="1">
      <c r="A63" s="1134" t="s">
        <v>479</v>
      </c>
      <c r="B63" s="1134" t="s">
        <v>583</v>
      </c>
      <c r="C63" s="1134" t="s">
        <v>584</v>
      </c>
      <c r="D63" s="1134" t="s">
        <v>479</v>
      </c>
      <c r="E63" s="1133">
        <v>0</v>
      </c>
      <c r="F63" s="1133">
        <v>0</v>
      </c>
      <c r="G63" s="1133">
        <v>0</v>
      </c>
      <c r="H63" s="1133">
        <v>0</v>
      </c>
      <c r="I63" s="1133">
        <v>0</v>
      </c>
      <c r="J63" s="1133">
        <v>0</v>
      </c>
      <c r="K63" s="1133">
        <v>0</v>
      </c>
      <c r="L63" s="1133">
        <v>0</v>
      </c>
      <c r="M63" s="1133">
        <v>0</v>
      </c>
      <c r="N63" s="1133">
        <v>0</v>
      </c>
      <c r="O63" s="1133">
        <v>0</v>
      </c>
      <c r="P63" s="1133">
        <v>0</v>
      </c>
      <c r="Q63" s="1133">
        <v>0</v>
      </c>
      <c r="R63" s="982"/>
      <c r="S63" s="982"/>
    </row>
    <row r="64" spans="1:19" ht="15" customHeight="1">
      <c r="A64" s="1134" t="s">
        <v>479</v>
      </c>
      <c r="B64" s="1134" t="s">
        <v>585</v>
      </c>
      <c r="C64" s="1134" t="s">
        <v>586</v>
      </c>
      <c r="D64" s="1134" t="s">
        <v>479</v>
      </c>
      <c r="E64" s="1133">
        <v>0</v>
      </c>
      <c r="F64" s="1133">
        <v>0</v>
      </c>
      <c r="G64" s="1133">
        <v>0</v>
      </c>
      <c r="H64" s="1133">
        <v>0</v>
      </c>
      <c r="I64" s="1133">
        <v>0</v>
      </c>
      <c r="J64" s="1133">
        <v>0</v>
      </c>
      <c r="K64" s="1133">
        <v>0</v>
      </c>
      <c r="L64" s="1133">
        <v>0</v>
      </c>
      <c r="M64" s="1133">
        <v>0</v>
      </c>
      <c r="N64" s="1133">
        <v>0</v>
      </c>
      <c r="O64" s="1133">
        <v>0</v>
      </c>
      <c r="P64" s="1133">
        <v>0</v>
      </c>
      <c r="Q64" s="1133">
        <v>0</v>
      </c>
      <c r="R64" s="982"/>
      <c r="S64" s="982"/>
    </row>
    <row r="65" spans="1:19" ht="15" customHeight="1">
      <c r="A65" s="1134" t="s">
        <v>479</v>
      </c>
      <c r="B65" s="1134" t="s">
        <v>587</v>
      </c>
      <c r="C65" s="1134" t="s">
        <v>588</v>
      </c>
      <c r="D65" s="1134" t="s">
        <v>479</v>
      </c>
      <c r="E65" s="1133">
        <v>0</v>
      </c>
      <c r="F65" s="1133">
        <v>0</v>
      </c>
      <c r="G65" s="1133">
        <v>0</v>
      </c>
      <c r="H65" s="1133">
        <v>0</v>
      </c>
      <c r="I65" s="1133">
        <v>0</v>
      </c>
      <c r="J65" s="1133">
        <v>0</v>
      </c>
      <c r="K65" s="1133">
        <v>0</v>
      </c>
      <c r="L65" s="1133">
        <v>0</v>
      </c>
      <c r="M65" s="1133">
        <v>0</v>
      </c>
      <c r="N65" s="1133">
        <v>0</v>
      </c>
      <c r="O65" s="1133">
        <v>0</v>
      </c>
      <c r="P65" s="1133">
        <v>0</v>
      </c>
      <c r="Q65" s="1133">
        <v>0</v>
      </c>
      <c r="R65" s="982"/>
      <c r="S65" s="982"/>
    </row>
    <row r="66" spans="1:19" ht="15" customHeight="1">
      <c r="A66" s="1134" t="s">
        <v>479</v>
      </c>
      <c r="B66" s="1134" t="s">
        <v>589</v>
      </c>
      <c r="C66" s="1134" t="s">
        <v>590</v>
      </c>
      <c r="D66" s="1134" t="s">
        <v>479</v>
      </c>
      <c r="E66" s="1133">
        <v>0</v>
      </c>
      <c r="F66" s="1133">
        <v>0</v>
      </c>
      <c r="G66" s="1133">
        <v>0</v>
      </c>
      <c r="H66" s="1133">
        <v>0</v>
      </c>
      <c r="I66" s="1133">
        <v>0</v>
      </c>
      <c r="J66" s="1133">
        <v>0</v>
      </c>
      <c r="K66" s="1133">
        <v>0</v>
      </c>
      <c r="L66" s="1133">
        <v>0</v>
      </c>
      <c r="M66" s="1133">
        <v>0</v>
      </c>
      <c r="N66" s="1133">
        <v>0</v>
      </c>
      <c r="O66" s="1133">
        <v>0</v>
      </c>
      <c r="P66" s="1133">
        <v>0</v>
      </c>
      <c r="Q66" s="1133">
        <v>0</v>
      </c>
      <c r="R66" s="982"/>
      <c r="S66" s="982"/>
    </row>
    <row r="67" spans="1:19" ht="15" customHeight="1">
      <c r="A67" s="1134" t="s">
        <v>479</v>
      </c>
      <c r="B67" s="1134" t="s">
        <v>591</v>
      </c>
      <c r="C67" s="1134" t="s">
        <v>592</v>
      </c>
      <c r="D67" s="1134" t="s">
        <v>479</v>
      </c>
      <c r="E67" s="1133">
        <v>0</v>
      </c>
      <c r="F67" s="1133">
        <v>0</v>
      </c>
      <c r="G67" s="1133">
        <v>0</v>
      </c>
      <c r="H67" s="1133">
        <v>0</v>
      </c>
      <c r="I67" s="1133">
        <v>0</v>
      </c>
      <c r="J67" s="1133">
        <v>0</v>
      </c>
      <c r="K67" s="1133">
        <v>0</v>
      </c>
      <c r="L67" s="1133">
        <v>0</v>
      </c>
      <c r="M67" s="1133">
        <v>0</v>
      </c>
      <c r="N67" s="1133">
        <v>0</v>
      </c>
      <c r="O67" s="1133">
        <v>0</v>
      </c>
      <c r="P67" s="1133">
        <v>0</v>
      </c>
      <c r="Q67" s="1133">
        <v>0</v>
      </c>
      <c r="R67" s="982"/>
      <c r="S67" s="982"/>
    </row>
    <row r="68" spans="1:19" ht="15" customHeight="1">
      <c r="A68" s="1134" t="s">
        <v>479</v>
      </c>
      <c r="B68" s="1134" t="s">
        <v>593</v>
      </c>
      <c r="C68" s="1134" t="s">
        <v>594</v>
      </c>
      <c r="D68" s="1134" t="s">
        <v>479</v>
      </c>
      <c r="E68" s="1133">
        <v>0</v>
      </c>
      <c r="F68" s="1133">
        <v>0</v>
      </c>
      <c r="G68" s="1133">
        <v>0</v>
      </c>
      <c r="H68" s="1133">
        <v>0</v>
      </c>
      <c r="I68" s="1133">
        <v>0</v>
      </c>
      <c r="J68" s="1133">
        <v>0</v>
      </c>
      <c r="K68" s="1133">
        <v>0</v>
      </c>
      <c r="L68" s="1133">
        <v>0</v>
      </c>
      <c r="M68" s="1133">
        <v>0</v>
      </c>
      <c r="N68" s="1133">
        <v>0</v>
      </c>
      <c r="O68" s="1133">
        <v>0</v>
      </c>
      <c r="P68" s="1133">
        <v>0</v>
      </c>
      <c r="Q68" s="1133">
        <v>0</v>
      </c>
      <c r="R68" s="982"/>
      <c r="S68" s="982"/>
    </row>
    <row r="69" spans="1:19" ht="15" customHeight="1">
      <c r="A69" s="1134" t="s">
        <v>479</v>
      </c>
      <c r="B69" s="1134" t="s">
        <v>595</v>
      </c>
      <c r="C69" s="1134" t="s">
        <v>596</v>
      </c>
      <c r="D69" s="1134" t="s">
        <v>479</v>
      </c>
      <c r="E69" s="1133">
        <v>0</v>
      </c>
      <c r="F69" s="1133">
        <v>0</v>
      </c>
      <c r="G69" s="1133">
        <v>0</v>
      </c>
      <c r="H69" s="1133">
        <v>0</v>
      </c>
      <c r="I69" s="1133">
        <v>0</v>
      </c>
      <c r="J69" s="1133">
        <v>0</v>
      </c>
      <c r="K69" s="1133">
        <v>0</v>
      </c>
      <c r="L69" s="1133">
        <v>0</v>
      </c>
      <c r="M69" s="1133">
        <v>0</v>
      </c>
      <c r="N69" s="1133">
        <v>0</v>
      </c>
      <c r="O69" s="1133">
        <v>0</v>
      </c>
      <c r="P69" s="1133">
        <v>0</v>
      </c>
      <c r="Q69" s="1133">
        <v>0</v>
      </c>
      <c r="R69" s="982"/>
      <c r="S69" s="982"/>
    </row>
    <row r="70" spans="1:19" ht="15" customHeight="1">
      <c r="A70" s="1134" t="s">
        <v>479</v>
      </c>
      <c r="B70" s="1134" t="s">
        <v>597</v>
      </c>
      <c r="C70" s="1134" t="s">
        <v>598</v>
      </c>
      <c r="D70" s="1134" t="s">
        <v>479</v>
      </c>
      <c r="E70" s="1133">
        <v>0</v>
      </c>
      <c r="F70" s="1133">
        <v>0</v>
      </c>
      <c r="G70" s="1133">
        <v>0</v>
      </c>
      <c r="H70" s="1133">
        <v>0</v>
      </c>
      <c r="I70" s="1133">
        <v>0</v>
      </c>
      <c r="J70" s="1133">
        <v>0</v>
      </c>
      <c r="K70" s="1133">
        <v>0</v>
      </c>
      <c r="L70" s="1133">
        <v>0</v>
      </c>
      <c r="M70" s="1133">
        <v>0</v>
      </c>
      <c r="N70" s="1133">
        <v>0</v>
      </c>
      <c r="O70" s="1133">
        <v>0</v>
      </c>
      <c r="P70" s="1133">
        <v>0</v>
      </c>
      <c r="Q70" s="1133">
        <v>0</v>
      </c>
      <c r="R70" s="982"/>
      <c r="S70" s="982"/>
    </row>
    <row r="71" spans="1:19" ht="15" customHeight="1">
      <c r="A71" s="1134" t="s">
        <v>479</v>
      </c>
      <c r="B71" s="1134" t="s">
        <v>599</v>
      </c>
      <c r="C71" s="1134" t="s">
        <v>600</v>
      </c>
      <c r="D71" s="1134" t="s">
        <v>479</v>
      </c>
      <c r="E71" s="1133">
        <v>0</v>
      </c>
      <c r="F71" s="1133">
        <v>0</v>
      </c>
      <c r="G71" s="1133">
        <v>0</v>
      </c>
      <c r="H71" s="1133">
        <v>0</v>
      </c>
      <c r="I71" s="1133">
        <v>0</v>
      </c>
      <c r="J71" s="1133">
        <v>0</v>
      </c>
      <c r="K71" s="1133">
        <v>0</v>
      </c>
      <c r="L71" s="1133">
        <v>0</v>
      </c>
      <c r="M71" s="1133">
        <v>0</v>
      </c>
      <c r="N71" s="1133">
        <v>0</v>
      </c>
      <c r="O71" s="1133">
        <v>0</v>
      </c>
      <c r="P71" s="1133">
        <v>0</v>
      </c>
      <c r="Q71" s="1133">
        <v>0</v>
      </c>
      <c r="R71" s="982"/>
      <c r="S71" s="982"/>
    </row>
    <row r="72" spans="1:19" ht="15" customHeight="1">
      <c r="A72" s="1134" t="s">
        <v>479</v>
      </c>
      <c r="B72" s="1134" t="s">
        <v>601</v>
      </c>
      <c r="C72" s="1134" t="s">
        <v>602</v>
      </c>
      <c r="D72" s="1134" t="s">
        <v>479</v>
      </c>
      <c r="E72" s="1133">
        <v>0</v>
      </c>
      <c r="F72" s="1133">
        <v>0</v>
      </c>
      <c r="G72" s="1133">
        <v>0</v>
      </c>
      <c r="H72" s="1133">
        <v>0</v>
      </c>
      <c r="I72" s="1133">
        <v>0</v>
      </c>
      <c r="J72" s="1133">
        <v>0</v>
      </c>
      <c r="K72" s="1133">
        <v>0</v>
      </c>
      <c r="L72" s="1133">
        <v>0</v>
      </c>
      <c r="M72" s="1133">
        <v>0</v>
      </c>
      <c r="N72" s="1133">
        <v>0</v>
      </c>
      <c r="O72" s="1133">
        <v>0</v>
      </c>
      <c r="P72" s="1133">
        <v>0</v>
      </c>
      <c r="Q72" s="1133">
        <v>0</v>
      </c>
      <c r="R72" s="982"/>
      <c r="S72" s="982"/>
    </row>
    <row r="73" spans="1:19" ht="15" customHeight="1">
      <c r="A73" s="1134" t="s">
        <v>479</v>
      </c>
      <c r="B73" s="1134" t="s">
        <v>603</v>
      </c>
      <c r="C73" s="1134" t="s">
        <v>604</v>
      </c>
      <c r="D73" s="1134" t="s">
        <v>479</v>
      </c>
      <c r="E73" s="1133">
        <v>0</v>
      </c>
      <c r="F73" s="1133">
        <v>0</v>
      </c>
      <c r="G73" s="1133">
        <v>0</v>
      </c>
      <c r="H73" s="1133">
        <v>0</v>
      </c>
      <c r="I73" s="1133">
        <v>0</v>
      </c>
      <c r="J73" s="1133">
        <v>0</v>
      </c>
      <c r="K73" s="1133">
        <v>0</v>
      </c>
      <c r="L73" s="1133">
        <v>0</v>
      </c>
      <c r="M73" s="1133">
        <v>0</v>
      </c>
      <c r="N73" s="1133">
        <v>0</v>
      </c>
      <c r="O73" s="1133">
        <v>0</v>
      </c>
      <c r="P73" s="1133">
        <v>0</v>
      </c>
      <c r="Q73" s="1133">
        <v>0</v>
      </c>
      <c r="R73" s="982"/>
      <c r="S73" s="982"/>
    </row>
    <row r="74" spans="1:19" ht="15" customHeight="1">
      <c r="A74" s="1134" t="s">
        <v>479</v>
      </c>
      <c r="B74" s="1134" t="s">
        <v>605</v>
      </c>
      <c r="C74" s="1134" t="s">
        <v>606</v>
      </c>
      <c r="D74" s="1134" t="s">
        <v>479</v>
      </c>
      <c r="E74" s="1133">
        <v>0</v>
      </c>
      <c r="F74" s="1133">
        <v>0</v>
      </c>
      <c r="G74" s="1133">
        <v>0</v>
      </c>
      <c r="H74" s="1133">
        <v>0</v>
      </c>
      <c r="I74" s="1133">
        <v>0</v>
      </c>
      <c r="J74" s="1133">
        <v>0</v>
      </c>
      <c r="K74" s="1133">
        <v>0</v>
      </c>
      <c r="L74" s="1133">
        <v>0</v>
      </c>
      <c r="M74" s="1133">
        <v>0</v>
      </c>
      <c r="N74" s="1133">
        <v>0</v>
      </c>
      <c r="O74" s="1133">
        <v>0</v>
      </c>
      <c r="P74" s="1133">
        <v>0</v>
      </c>
      <c r="Q74" s="1133">
        <v>0</v>
      </c>
      <c r="R74" s="982"/>
      <c r="S74" s="982"/>
    </row>
    <row r="75" spans="1:19" ht="15" customHeight="1">
      <c r="A75" s="1134" t="s">
        <v>479</v>
      </c>
      <c r="B75" s="1134" t="s">
        <v>607</v>
      </c>
      <c r="C75" s="1134" t="s">
        <v>608</v>
      </c>
      <c r="D75" s="1134" t="s">
        <v>479</v>
      </c>
      <c r="E75" s="1133">
        <v>0</v>
      </c>
      <c r="F75" s="1133">
        <v>0</v>
      </c>
      <c r="G75" s="1133">
        <v>0</v>
      </c>
      <c r="H75" s="1133">
        <v>0</v>
      </c>
      <c r="I75" s="1133">
        <v>0</v>
      </c>
      <c r="J75" s="1133">
        <v>0</v>
      </c>
      <c r="K75" s="1133">
        <v>0</v>
      </c>
      <c r="L75" s="1133">
        <v>0</v>
      </c>
      <c r="M75" s="1133">
        <v>0</v>
      </c>
      <c r="N75" s="1133">
        <v>0</v>
      </c>
      <c r="O75" s="1133">
        <v>0</v>
      </c>
      <c r="P75" s="1133">
        <v>0</v>
      </c>
      <c r="Q75" s="1133">
        <v>0</v>
      </c>
      <c r="R75" s="982"/>
      <c r="S75" s="982"/>
    </row>
    <row r="76" spans="1:19" ht="15" customHeight="1">
      <c r="A76" s="1134" t="s">
        <v>479</v>
      </c>
      <c r="B76" s="1134" t="s">
        <v>609</v>
      </c>
      <c r="C76" s="1134" t="s">
        <v>610</v>
      </c>
      <c r="D76" s="1134" t="s">
        <v>479</v>
      </c>
      <c r="E76" s="1133">
        <v>0</v>
      </c>
      <c r="F76" s="1133">
        <v>0</v>
      </c>
      <c r="G76" s="1133">
        <v>0</v>
      </c>
      <c r="H76" s="1133">
        <v>0</v>
      </c>
      <c r="I76" s="1133">
        <v>0</v>
      </c>
      <c r="J76" s="1133">
        <v>0</v>
      </c>
      <c r="K76" s="1133">
        <v>0</v>
      </c>
      <c r="L76" s="1133">
        <v>0</v>
      </c>
      <c r="M76" s="1133">
        <v>0</v>
      </c>
      <c r="N76" s="1133">
        <v>0</v>
      </c>
      <c r="O76" s="1133">
        <v>0</v>
      </c>
      <c r="P76" s="1133">
        <v>0</v>
      </c>
      <c r="Q76" s="1133">
        <v>0</v>
      </c>
      <c r="R76" s="982"/>
      <c r="S76" s="982"/>
    </row>
    <row r="77" spans="1:19" ht="15" customHeight="1">
      <c r="A77" s="1134" t="s">
        <v>479</v>
      </c>
      <c r="B77" s="1134" t="s">
        <v>611</v>
      </c>
      <c r="C77" s="1134" t="s">
        <v>612</v>
      </c>
      <c r="D77" s="1134" t="s">
        <v>479</v>
      </c>
      <c r="E77" s="1133">
        <v>0</v>
      </c>
      <c r="F77" s="1133">
        <v>0</v>
      </c>
      <c r="G77" s="1133">
        <v>0</v>
      </c>
      <c r="H77" s="1133">
        <v>0</v>
      </c>
      <c r="I77" s="1133">
        <v>0</v>
      </c>
      <c r="J77" s="1133">
        <v>0</v>
      </c>
      <c r="K77" s="1133">
        <v>0</v>
      </c>
      <c r="L77" s="1133">
        <v>0</v>
      </c>
      <c r="M77" s="1133">
        <v>0</v>
      </c>
      <c r="N77" s="1133">
        <v>0</v>
      </c>
      <c r="O77" s="1133">
        <v>0</v>
      </c>
      <c r="P77" s="1133">
        <v>0</v>
      </c>
      <c r="Q77" s="1133">
        <v>0</v>
      </c>
      <c r="R77" s="982"/>
      <c r="S77" s="982"/>
    </row>
    <row r="78" spans="1:19" ht="15" customHeight="1">
      <c r="A78" s="1134" t="s">
        <v>479</v>
      </c>
      <c r="B78" s="1134" t="s">
        <v>613</v>
      </c>
      <c r="C78" s="1134" t="s">
        <v>614</v>
      </c>
      <c r="D78" s="1134" t="s">
        <v>479</v>
      </c>
      <c r="E78" s="1133">
        <v>0</v>
      </c>
      <c r="F78" s="1133">
        <v>0</v>
      </c>
      <c r="G78" s="1133">
        <v>0</v>
      </c>
      <c r="H78" s="1133">
        <v>0</v>
      </c>
      <c r="I78" s="1133">
        <v>0</v>
      </c>
      <c r="J78" s="1133">
        <v>0</v>
      </c>
      <c r="K78" s="1133">
        <v>0</v>
      </c>
      <c r="L78" s="1133">
        <v>0</v>
      </c>
      <c r="M78" s="1133">
        <v>0</v>
      </c>
      <c r="N78" s="1133">
        <v>0</v>
      </c>
      <c r="O78" s="1133">
        <v>0</v>
      </c>
      <c r="P78" s="1133">
        <v>0</v>
      </c>
      <c r="Q78" s="1133">
        <v>0</v>
      </c>
      <c r="R78" s="982"/>
      <c r="S78" s="982"/>
    </row>
    <row r="79" spans="1:19" ht="15" customHeight="1">
      <c r="A79" s="1134" t="s">
        <v>479</v>
      </c>
      <c r="B79" s="1134" t="s">
        <v>615</v>
      </c>
      <c r="C79" s="1134" t="s">
        <v>616</v>
      </c>
      <c r="D79" s="1134" t="s">
        <v>479</v>
      </c>
      <c r="E79" s="1133">
        <v>0</v>
      </c>
      <c r="F79" s="1133">
        <v>0</v>
      </c>
      <c r="G79" s="1133">
        <v>0</v>
      </c>
      <c r="H79" s="1133">
        <v>0</v>
      </c>
      <c r="I79" s="1133">
        <v>0</v>
      </c>
      <c r="J79" s="1133">
        <v>0</v>
      </c>
      <c r="K79" s="1133">
        <v>0</v>
      </c>
      <c r="L79" s="1133">
        <v>0</v>
      </c>
      <c r="M79" s="1133">
        <v>0</v>
      </c>
      <c r="N79" s="1133">
        <v>0</v>
      </c>
      <c r="O79" s="1133">
        <v>0</v>
      </c>
      <c r="P79" s="1133">
        <v>0</v>
      </c>
      <c r="Q79" s="1133">
        <v>0</v>
      </c>
      <c r="R79" s="982"/>
      <c r="S79" s="982"/>
    </row>
    <row r="80" spans="1:19" ht="15" customHeight="1">
      <c r="A80" s="1134" t="s">
        <v>479</v>
      </c>
      <c r="B80" s="1134" t="s">
        <v>617</v>
      </c>
      <c r="C80" s="1134" t="s">
        <v>618</v>
      </c>
      <c r="D80" s="1134" t="s">
        <v>479</v>
      </c>
      <c r="E80" s="1133">
        <v>0</v>
      </c>
      <c r="F80" s="1133">
        <v>0</v>
      </c>
      <c r="G80" s="1133">
        <v>0</v>
      </c>
      <c r="H80" s="1133">
        <v>0</v>
      </c>
      <c r="I80" s="1133">
        <v>0</v>
      </c>
      <c r="J80" s="1133">
        <v>0</v>
      </c>
      <c r="K80" s="1133">
        <v>0</v>
      </c>
      <c r="L80" s="1133">
        <v>0</v>
      </c>
      <c r="M80" s="1133">
        <v>0</v>
      </c>
      <c r="N80" s="1133">
        <v>0</v>
      </c>
      <c r="O80" s="1133">
        <v>0</v>
      </c>
      <c r="P80" s="1133">
        <v>0</v>
      </c>
      <c r="Q80" s="1133">
        <v>0</v>
      </c>
      <c r="R80" s="982"/>
      <c r="S80" s="982"/>
    </row>
    <row r="81" spans="1:19" ht="15" customHeight="1">
      <c r="A81" s="1134" t="s">
        <v>479</v>
      </c>
      <c r="B81" s="1134" t="s">
        <v>619</v>
      </c>
      <c r="C81" s="1134" t="s">
        <v>620</v>
      </c>
      <c r="D81" s="1134" t="s">
        <v>479</v>
      </c>
      <c r="E81" s="1133">
        <v>0</v>
      </c>
      <c r="F81" s="1133">
        <v>0</v>
      </c>
      <c r="G81" s="1133">
        <v>0</v>
      </c>
      <c r="H81" s="1133">
        <v>0</v>
      </c>
      <c r="I81" s="1133">
        <v>0</v>
      </c>
      <c r="J81" s="1133">
        <v>0</v>
      </c>
      <c r="K81" s="1133">
        <v>0</v>
      </c>
      <c r="L81" s="1133">
        <v>0</v>
      </c>
      <c r="M81" s="1133">
        <v>0</v>
      </c>
      <c r="N81" s="1133">
        <v>0</v>
      </c>
      <c r="O81" s="1133">
        <v>0</v>
      </c>
      <c r="P81" s="1133">
        <v>0</v>
      </c>
      <c r="Q81" s="1133">
        <v>0</v>
      </c>
      <c r="R81" s="982"/>
      <c r="S81" s="982"/>
    </row>
    <row r="82" spans="1:19" ht="15" customHeight="1">
      <c r="A82" s="1134" t="s">
        <v>479</v>
      </c>
      <c r="B82" s="1134" t="s">
        <v>621</v>
      </c>
      <c r="C82" s="1134" t="s">
        <v>622</v>
      </c>
      <c r="D82" s="1134" t="s">
        <v>479</v>
      </c>
      <c r="E82" s="1133">
        <v>0</v>
      </c>
      <c r="F82" s="1133">
        <v>0</v>
      </c>
      <c r="G82" s="1133">
        <v>0</v>
      </c>
      <c r="H82" s="1133">
        <v>0</v>
      </c>
      <c r="I82" s="1133">
        <v>0</v>
      </c>
      <c r="J82" s="1133">
        <v>0</v>
      </c>
      <c r="K82" s="1133">
        <v>0</v>
      </c>
      <c r="L82" s="1133">
        <v>0</v>
      </c>
      <c r="M82" s="1133">
        <v>0</v>
      </c>
      <c r="N82" s="1133">
        <v>0</v>
      </c>
      <c r="O82" s="1133">
        <v>0</v>
      </c>
      <c r="P82" s="1133">
        <v>0</v>
      </c>
      <c r="Q82" s="1133">
        <v>0</v>
      </c>
      <c r="R82" s="982"/>
      <c r="S82" s="982"/>
    </row>
    <row r="83" spans="1:19" ht="15" customHeight="1">
      <c r="A83" s="1134" t="s">
        <v>479</v>
      </c>
      <c r="B83" s="1134" t="s">
        <v>623</v>
      </c>
      <c r="C83" s="1134" t="s">
        <v>624</v>
      </c>
      <c r="D83" s="1134" t="s">
        <v>479</v>
      </c>
      <c r="E83" s="1133">
        <v>0</v>
      </c>
      <c r="F83" s="1133">
        <v>0</v>
      </c>
      <c r="G83" s="1133">
        <v>0</v>
      </c>
      <c r="H83" s="1133">
        <v>0</v>
      </c>
      <c r="I83" s="1133">
        <v>0</v>
      </c>
      <c r="J83" s="1133">
        <v>0</v>
      </c>
      <c r="K83" s="1133">
        <v>0</v>
      </c>
      <c r="L83" s="1133">
        <v>0</v>
      </c>
      <c r="M83" s="1133">
        <v>0</v>
      </c>
      <c r="N83" s="1133">
        <v>0</v>
      </c>
      <c r="O83" s="1133">
        <v>0</v>
      </c>
      <c r="P83" s="1133">
        <v>0</v>
      </c>
      <c r="Q83" s="1133">
        <v>0</v>
      </c>
      <c r="R83" s="982"/>
      <c r="S83" s="982"/>
    </row>
    <row r="84" spans="1:19" ht="15" customHeight="1">
      <c r="A84" s="1134" t="s">
        <v>479</v>
      </c>
      <c r="B84" s="1134" t="s">
        <v>625</v>
      </c>
      <c r="C84" s="1134" t="s">
        <v>626</v>
      </c>
      <c r="D84" s="1134" t="s">
        <v>479</v>
      </c>
      <c r="E84" s="1133">
        <v>0</v>
      </c>
      <c r="F84" s="1133">
        <v>0</v>
      </c>
      <c r="G84" s="1133">
        <v>0</v>
      </c>
      <c r="H84" s="1133">
        <v>0</v>
      </c>
      <c r="I84" s="1133">
        <v>0</v>
      </c>
      <c r="J84" s="1133">
        <v>0</v>
      </c>
      <c r="K84" s="1133">
        <v>0</v>
      </c>
      <c r="L84" s="1133">
        <v>0</v>
      </c>
      <c r="M84" s="1133">
        <v>0</v>
      </c>
      <c r="N84" s="1133">
        <v>0</v>
      </c>
      <c r="O84" s="1133">
        <v>0</v>
      </c>
      <c r="P84" s="1133">
        <v>0</v>
      </c>
      <c r="Q84" s="1133">
        <v>0</v>
      </c>
      <c r="R84" s="982"/>
      <c r="S84" s="982"/>
    </row>
    <row r="85" spans="1:19" ht="15" customHeight="1">
      <c r="A85" s="1134" t="s">
        <v>479</v>
      </c>
      <c r="B85" s="1134" t="s">
        <v>627</v>
      </c>
      <c r="C85" s="1134" t="s">
        <v>628</v>
      </c>
      <c r="D85" s="1134" t="s">
        <v>479</v>
      </c>
      <c r="E85" s="1133">
        <v>0</v>
      </c>
      <c r="F85" s="1133">
        <v>0</v>
      </c>
      <c r="G85" s="1133">
        <v>0</v>
      </c>
      <c r="H85" s="1133">
        <v>0</v>
      </c>
      <c r="I85" s="1133">
        <v>0</v>
      </c>
      <c r="J85" s="1133">
        <v>0</v>
      </c>
      <c r="K85" s="1133">
        <v>0</v>
      </c>
      <c r="L85" s="1133">
        <v>0</v>
      </c>
      <c r="M85" s="1133">
        <v>0</v>
      </c>
      <c r="N85" s="1133">
        <v>0</v>
      </c>
      <c r="O85" s="1133">
        <v>0</v>
      </c>
      <c r="P85" s="1133">
        <v>0</v>
      </c>
      <c r="Q85" s="1133">
        <v>0</v>
      </c>
      <c r="R85" s="982"/>
      <c r="S85" s="982"/>
    </row>
    <row r="86" spans="1:19" ht="15" customHeight="1">
      <c r="A86" s="1134" t="s">
        <v>479</v>
      </c>
      <c r="B86" s="1134" t="s">
        <v>629</v>
      </c>
      <c r="C86" s="1134" t="s">
        <v>630</v>
      </c>
      <c r="D86" s="1134" t="s">
        <v>479</v>
      </c>
      <c r="E86" s="1133">
        <v>0</v>
      </c>
      <c r="F86" s="1133">
        <v>0</v>
      </c>
      <c r="G86" s="1133">
        <v>0</v>
      </c>
      <c r="H86" s="1133">
        <v>0</v>
      </c>
      <c r="I86" s="1133">
        <v>0</v>
      </c>
      <c r="J86" s="1133">
        <v>0</v>
      </c>
      <c r="K86" s="1133">
        <v>0</v>
      </c>
      <c r="L86" s="1133">
        <v>0</v>
      </c>
      <c r="M86" s="1133">
        <v>0</v>
      </c>
      <c r="N86" s="1133">
        <v>0</v>
      </c>
      <c r="O86" s="1133">
        <v>0</v>
      </c>
      <c r="P86" s="1133">
        <v>0</v>
      </c>
      <c r="Q86" s="1133">
        <v>0</v>
      </c>
      <c r="R86" s="982"/>
      <c r="S86" s="982"/>
    </row>
    <row r="87" spans="1:19" ht="15" customHeight="1">
      <c r="A87" s="1134" t="s">
        <v>479</v>
      </c>
      <c r="B87" s="1134" t="s">
        <v>631</v>
      </c>
      <c r="C87" s="1134" t="s">
        <v>632</v>
      </c>
      <c r="D87" s="1134" t="s">
        <v>479</v>
      </c>
      <c r="E87" s="1133">
        <v>0</v>
      </c>
      <c r="F87" s="1133">
        <v>0</v>
      </c>
      <c r="G87" s="1133">
        <v>0</v>
      </c>
      <c r="H87" s="1133">
        <v>0</v>
      </c>
      <c r="I87" s="1133">
        <v>0</v>
      </c>
      <c r="J87" s="1133">
        <v>0</v>
      </c>
      <c r="K87" s="1133">
        <v>0</v>
      </c>
      <c r="L87" s="1133">
        <v>0</v>
      </c>
      <c r="M87" s="1133">
        <v>0</v>
      </c>
      <c r="N87" s="1133">
        <v>0</v>
      </c>
      <c r="O87" s="1133">
        <v>0</v>
      </c>
      <c r="P87" s="1133">
        <v>0</v>
      </c>
      <c r="Q87" s="1133">
        <v>0</v>
      </c>
      <c r="R87" s="982"/>
      <c r="S87" s="982"/>
    </row>
    <row r="88" spans="1:19" ht="15" customHeight="1">
      <c r="A88" s="1134" t="s">
        <v>479</v>
      </c>
      <c r="B88" s="1134" t="s">
        <v>633</v>
      </c>
      <c r="C88" s="1134" t="s">
        <v>634</v>
      </c>
      <c r="D88" s="1134" t="s">
        <v>479</v>
      </c>
      <c r="E88" s="1133">
        <v>0</v>
      </c>
      <c r="F88" s="1133">
        <v>0</v>
      </c>
      <c r="G88" s="1133">
        <v>0</v>
      </c>
      <c r="H88" s="1133">
        <v>0</v>
      </c>
      <c r="I88" s="1133">
        <v>0</v>
      </c>
      <c r="J88" s="1133">
        <v>0</v>
      </c>
      <c r="K88" s="1133">
        <v>0</v>
      </c>
      <c r="L88" s="1133">
        <v>0</v>
      </c>
      <c r="M88" s="1133">
        <v>0</v>
      </c>
      <c r="N88" s="1133">
        <v>0</v>
      </c>
      <c r="O88" s="1133">
        <v>0</v>
      </c>
      <c r="P88" s="1133">
        <v>0</v>
      </c>
      <c r="Q88" s="1133">
        <v>0</v>
      </c>
      <c r="R88" s="982"/>
      <c r="S88" s="982"/>
    </row>
    <row r="89" spans="1:19" ht="15" customHeight="1">
      <c r="A89" s="1134" t="s">
        <v>479</v>
      </c>
      <c r="B89" s="1134" t="s">
        <v>635</v>
      </c>
      <c r="C89" s="1134" t="s">
        <v>456</v>
      </c>
      <c r="D89" s="1134" t="s">
        <v>479</v>
      </c>
      <c r="E89" s="1133">
        <v>52.646000000000001</v>
      </c>
      <c r="F89" s="1133">
        <v>0</v>
      </c>
      <c r="G89" s="1133">
        <v>0</v>
      </c>
      <c r="H89" s="1133">
        <v>0</v>
      </c>
      <c r="I89" s="1133">
        <v>0</v>
      </c>
      <c r="J89" s="1133">
        <v>0</v>
      </c>
      <c r="K89" s="1133">
        <v>0</v>
      </c>
      <c r="L89" s="1133">
        <v>-15</v>
      </c>
      <c r="M89" s="1133">
        <v>0</v>
      </c>
      <c r="N89" s="1133">
        <v>0</v>
      </c>
      <c r="O89" s="1133">
        <v>0</v>
      </c>
      <c r="P89" s="1133">
        <v>37.646000000000001</v>
      </c>
      <c r="Q89" s="1133">
        <v>75.292000000000002</v>
      </c>
      <c r="R89" s="982"/>
      <c r="S89" s="982"/>
    </row>
    <row r="90" spans="1:19" ht="15" customHeight="1">
      <c r="A90" s="1134" t="s">
        <v>479</v>
      </c>
      <c r="B90" s="1134" t="s">
        <v>636</v>
      </c>
      <c r="C90" s="1134" t="s">
        <v>344</v>
      </c>
      <c r="D90" s="1134" t="s">
        <v>479</v>
      </c>
      <c r="E90" s="1133">
        <v>316.55</v>
      </c>
      <c r="F90" s="1133">
        <v>0</v>
      </c>
      <c r="G90" s="1133">
        <v>0</v>
      </c>
      <c r="H90" s="1133">
        <v>0</v>
      </c>
      <c r="I90" s="1133">
        <v>0</v>
      </c>
      <c r="J90" s="1133">
        <v>0</v>
      </c>
      <c r="K90" s="1133">
        <v>0</v>
      </c>
      <c r="L90" s="1133">
        <v>0</v>
      </c>
      <c r="M90" s="1133">
        <v>0</v>
      </c>
      <c r="N90" s="1133">
        <v>-2</v>
      </c>
      <c r="O90" s="1133">
        <v>0</v>
      </c>
      <c r="P90" s="1133">
        <v>314.55</v>
      </c>
      <c r="Q90" s="1133">
        <v>629.1</v>
      </c>
      <c r="R90" s="982"/>
      <c r="S90" s="982"/>
    </row>
    <row r="91" spans="1:19" ht="15" customHeight="1">
      <c r="A91" s="1134" t="s">
        <v>479</v>
      </c>
      <c r="B91" s="1134" t="s">
        <v>637</v>
      </c>
      <c r="C91" s="1134" t="s">
        <v>638</v>
      </c>
      <c r="D91" s="1134" t="s">
        <v>479</v>
      </c>
      <c r="E91" s="1133">
        <v>0</v>
      </c>
      <c r="F91" s="1133">
        <v>0</v>
      </c>
      <c r="G91" s="1133">
        <v>0</v>
      </c>
      <c r="H91" s="1133">
        <v>0</v>
      </c>
      <c r="I91" s="1133">
        <v>0</v>
      </c>
      <c r="J91" s="1133">
        <v>0</v>
      </c>
      <c r="K91" s="1133">
        <v>0</v>
      </c>
      <c r="L91" s="1133">
        <v>0</v>
      </c>
      <c r="M91" s="1133">
        <v>0</v>
      </c>
      <c r="N91" s="1133">
        <v>0</v>
      </c>
      <c r="O91" s="1133">
        <v>0</v>
      </c>
      <c r="P91" s="1133">
        <v>0</v>
      </c>
      <c r="Q91" s="1133">
        <v>0</v>
      </c>
      <c r="R91" s="982"/>
      <c r="S91" s="982"/>
    </row>
    <row r="92" spans="1:19" ht="15" customHeight="1">
      <c r="A92" s="1134" t="s">
        <v>479</v>
      </c>
      <c r="B92" s="1134" t="s">
        <v>639</v>
      </c>
      <c r="C92" s="1134" t="s">
        <v>640</v>
      </c>
      <c r="D92" s="1134" t="s">
        <v>479</v>
      </c>
      <c r="E92" s="1133">
        <v>0</v>
      </c>
      <c r="F92" s="1133">
        <v>0</v>
      </c>
      <c r="G92" s="1133">
        <v>0</v>
      </c>
      <c r="H92" s="1133">
        <v>0</v>
      </c>
      <c r="I92" s="1133">
        <v>0</v>
      </c>
      <c r="J92" s="1133">
        <v>0</v>
      </c>
      <c r="K92" s="1133">
        <v>0</v>
      </c>
      <c r="L92" s="1133">
        <v>0</v>
      </c>
      <c r="M92" s="1133">
        <v>0</v>
      </c>
      <c r="N92" s="1133">
        <v>0</v>
      </c>
      <c r="O92" s="1133">
        <v>0</v>
      </c>
      <c r="P92" s="1133">
        <v>0</v>
      </c>
      <c r="Q92" s="1133">
        <v>0</v>
      </c>
      <c r="R92" s="982"/>
      <c r="S92" s="982"/>
    </row>
    <row r="93" spans="1:19" ht="15" customHeight="1">
      <c r="A93" s="1134" t="s">
        <v>479</v>
      </c>
      <c r="B93" s="1134" t="s">
        <v>641</v>
      </c>
      <c r="C93" s="1134" t="s">
        <v>385</v>
      </c>
      <c r="D93" s="1134" t="s">
        <v>479</v>
      </c>
      <c r="E93" s="1133">
        <v>0</v>
      </c>
      <c r="F93" s="1133">
        <v>0</v>
      </c>
      <c r="G93" s="1133">
        <v>0</v>
      </c>
      <c r="H93" s="1133">
        <v>0</v>
      </c>
      <c r="I93" s="1133">
        <v>0</v>
      </c>
      <c r="J93" s="1133">
        <v>0</v>
      </c>
      <c r="K93" s="1133">
        <v>0</v>
      </c>
      <c r="L93" s="1133">
        <v>0</v>
      </c>
      <c r="M93" s="1133">
        <v>0</v>
      </c>
      <c r="N93" s="1133">
        <v>0</v>
      </c>
      <c r="O93" s="1133">
        <v>0</v>
      </c>
      <c r="P93" s="1133">
        <v>0</v>
      </c>
      <c r="Q93" s="1133">
        <v>0</v>
      </c>
      <c r="R93" s="982"/>
      <c r="S93" s="982"/>
    </row>
    <row r="94" spans="1:19" ht="15" customHeight="1">
      <c r="A94" s="1134" t="s">
        <v>479</v>
      </c>
      <c r="B94" s="1134" t="s">
        <v>642</v>
      </c>
      <c r="C94" s="1134" t="s">
        <v>643</v>
      </c>
      <c r="D94" s="1134" t="s">
        <v>479</v>
      </c>
      <c r="E94" s="1133">
        <v>0</v>
      </c>
      <c r="F94" s="1133">
        <v>0</v>
      </c>
      <c r="G94" s="1133">
        <v>0</v>
      </c>
      <c r="H94" s="1133">
        <v>0</v>
      </c>
      <c r="I94" s="1133">
        <v>0</v>
      </c>
      <c r="J94" s="1133">
        <v>0</v>
      </c>
      <c r="K94" s="1133">
        <v>0</v>
      </c>
      <c r="L94" s="1133">
        <v>0</v>
      </c>
      <c r="M94" s="1133">
        <v>0</v>
      </c>
      <c r="N94" s="1133">
        <v>0</v>
      </c>
      <c r="O94" s="1133">
        <v>0</v>
      </c>
      <c r="P94" s="1133">
        <v>0</v>
      </c>
      <c r="Q94" s="1133">
        <v>0</v>
      </c>
      <c r="R94" s="982"/>
      <c r="S94" s="982"/>
    </row>
    <row r="95" spans="1:19" ht="15" customHeight="1">
      <c r="A95" s="1134" t="s">
        <v>479</v>
      </c>
      <c r="B95" s="1134" t="s">
        <v>644</v>
      </c>
      <c r="C95" s="1134" t="s">
        <v>645</v>
      </c>
      <c r="D95" s="1134" t="s">
        <v>479</v>
      </c>
      <c r="E95" s="1133">
        <v>0</v>
      </c>
      <c r="F95" s="1133">
        <v>0</v>
      </c>
      <c r="G95" s="1133">
        <v>0</v>
      </c>
      <c r="H95" s="1133">
        <v>0</v>
      </c>
      <c r="I95" s="1133">
        <v>0</v>
      </c>
      <c r="J95" s="1133">
        <v>0</v>
      </c>
      <c r="K95" s="1133">
        <v>0</v>
      </c>
      <c r="L95" s="1133">
        <v>0</v>
      </c>
      <c r="M95" s="1133">
        <v>0</v>
      </c>
      <c r="N95" s="1133">
        <v>0</v>
      </c>
      <c r="O95" s="1133">
        <v>0</v>
      </c>
      <c r="P95" s="1133">
        <v>0</v>
      </c>
      <c r="Q95" s="1133">
        <v>0</v>
      </c>
      <c r="R95" s="982"/>
      <c r="S95" s="982"/>
    </row>
    <row r="96" spans="1:19" ht="15" customHeight="1">
      <c r="A96" s="1134" t="s">
        <v>479</v>
      </c>
      <c r="B96" s="1134" t="s">
        <v>646</v>
      </c>
      <c r="C96" s="1134" t="s">
        <v>380</v>
      </c>
      <c r="D96" s="1134" t="s">
        <v>479</v>
      </c>
      <c r="E96" s="1133">
        <v>549.66899999999998</v>
      </c>
      <c r="F96" s="1133">
        <v>652.67999999999995</v>
      </c>
      <c r="G96" s="1133">
        <v>0</v>
      </c>
      <c r="H96" s="1133">
        <v>0</v>
      </c>
      <c r="I96" s="1133">
        <v>0</v>
      </c>
      <c r="J96" s="1133">
        <v>0</v>
      </c>
      <c r="K96" s="1133">
        <v>0</v>
      </c>
      <c r="L96" s="1133">
        <v>0</v>
      </c>
      <c r="M96" s="1133">
        <v>-5.3</v>
      </c>
      <c r="N96" s="1133">
        <v>-514.66999999999996</v>
      </c>
      <c r="O96" s="1133">
        <v>0</v>
      </c>
      <c r="P96" s="1133">
        <v>682.37900000000002</v>
      </c>
      <c r="Q96" s="1133">
        <v>1364.758</v>
      </c>
      <c r="R96" s="982"/>
      <c r="S96" s="982"/>
    </row>
    <row r="97" spans="1:19" ht="15" customHeight="1">
      <c r="A97" s="1134" t="s">
        <v>479</v>
      </c>
      <c r="B97" s="1134" t="s">
        <v>647</v>
      </c>
      <c r="C97" s="1134" t="s">
        <v>387</v>
      </c>
      <c r="D97" s="1134" t="s">
        <v>479</v>
      </c>
      <c r="E97" s="1133">
        <v>0</v>
      </c>
      <c r="F97" s="1133">
        <v>0</v>
      </c>
      <c r="G97" s="1133">
        <v>0</v>
      </c>
      <c r="H97" s="1133">
        <v>0</v>
      </c>
      <c r="I97" s="1133">
        <v>0</v>
      </c>
      <c r="J97" s="1133">
        <v>0</v>
      </c>
      <c r="K97" s="1133">
        <v>0</v>
      </c>
      <c r="L97" s="1133">
        <v>0</v>
      </c>
      <c r="M97" s="1133">
        <v>0</v>
      </c>
      <c r="N97" s="1133">
        <v>0</v>
      </c>
      <c r="O97" s="1133">
        <v>0</v>
      </c>
      <c r="P97" s="1133">
        <v>0</v>
      </c>
      <c r="Q97" s="1133">
        <v>0</v>
      </c>
      <c r="R97" s="982"/>
      <c r="S97" s="982"/>
    </row>
    <row r="98" spans="1:19" ht="15" customHeight="1">
      <c r="A98" s="1134" t="s">
        <v>479</v>
      </c>
      <c r="B98" s="1134" t="s">
        <v>648</v>
      </c>
      <c r="C98" s="1134" t="s">
        <v>389</v>
      </c>
      <c r="D98" s="1134" t="s">
        <v>479</v>
      </c>
      <c r="E98" s="1133">
        <v>12.35</v>
      </c>
      <c r="F98" s="1133">
        <v>0</v>
      </c>
      <c r="G98" s="1133">
        <v>0</v>
      </c>
      <c r="H98" s="1133">
        <v>33.409999999999997</v>
      </c>
      <c r="I98" s="1133">
        <v>0</v>
      </c>
      <c r="J98" s="1133">
        <v>33.409999999999997</v>
      </c>
      <c r="K98" s="1133">
        <v>-33.409999999999997</v>
      </c>
      <c r="L98" s="1133">
        <v>0</v>
      </c>
      <c r="M98" s="1133">
        <v>0</v>
      </c>
      <c r="N98" s="1133">
        <v>-20</v>
      </c>
      <c r="O98" s="1133">
        <v>0</v>
      </c>
      <c r="P98" s="1133">
        <v>25.76</v>
      </c>
      <c r="Q98" s="1133">
        <v>51.52</v>
      </c>
      <c r="R98" s="982"/>
      <c r="S98" s="982"/>
    </row>
    <row r="99" spans="1:19" ht="15" customHeight="1">
      <c r="A99" s="1134" t="s">
        <v>479</v>
      </c>
      <c r="B99" s="1134" t="s">
        <v>649</v>
      </c>
      <c r="C99" s="1134" t="s">
        <v>391</v>
      </c>
      <c r="D99" s="1134" t="s">
        <v>479</v>
      </c>
      <c r="E99" s="1133">
        <v>0</v>
      </c>
      <c r="F99" s="1133">
        <v>0</v>
      </c>
      <c r="G99" s="1133">
        <v>0</v>
      </c>
      <c r="H99" s="1133">
        <v>16.88</v>
      </c>
      <c r="I99" s="1133">
        <v>0</v>
      </c>
      <c r="J99" s="1133">
        <v>16.88</v>
      </c>
      <c r="K99" s="1133">
        <v>-16.88</v>
      </c>
      <c r="L99" s="1133">
        <v>0</v>
      </c>
      <c r="M99" s="1133">
        <v>0</v>
      </c>
      <c r="N99" s="1133">
        <v>-9.5299999999999994</v>
      </c>
      <c r="O99" s="1133">
        <v>0</v>
      </c>
      <c r="P99" s="1133">
        <v>7.35</v>
      </c>
      <c r="Q99" s="1133">
        <v>14.7</v>
      </c>
      <c r="R99" s="982"/>
      <c r="S99" s="982"/>
    </row>
    <row r="100" spans="1:19" ht="15" customHeight="1">
      <c r="A100" s="1134" t="s">
        <v>479</v>
      </c>
      <c r="B100" s="1134" t="s">
        <v>650</v>
      </c>
      <c r="C100" s="1134" t="s">
        <v>386</v>
      </c>
      <c r="D100" s="1134" t="s">
        <v>479</v>
      </c>
      <c r="E100" s="1133">
        <v>0</v>
      </c>
      <c r="F100" s="1133">
        <v>0</v>
      </c>
      <c r="G100" s="1133">
        <v>0</v>
      </c>
      <c r="H100" s="1133">
        <v>0</v>
      </c>
      <c r="I100" s="1133">
        <v>0</v>
      </c>
      <c r="J100" s="1133">
        <v>0</v>
      </c>
      <c r="K100" s="1133">
        <v>0</v>
      </c>
      <c r="L100" s="1133">
        <v>0</v>
      </c>
      <c r="M100" s="1133">
        <v>0</v>
      </c>
      <c r="N100" s="1133">
        <v>0</v>
      </c>
      <c r="O100" s="1133">
        <v>0</v>
      </c>
      <c r="P100" s="1133">
        <v>0</v>
      </c>
      <c r="Q100" s="1133">
        <v>0</v>
      </c>
      <c r="R100" s="982"/>
      <c r="S100" s="982"/>
    </row>
    <row r="101" spans="1:19" ht="15" customHeight="1">
      <c r="A101" s="1134" t="s">
        <v>479</v>
      </c>
      <c r="B101" s="1134" t="s">
        <v>651</v>
      </c>
      <c r="C101" s="1134" t="s">
        <v>652</v>
      </c>
      <c r="D101" s="1134" t="s">
        <v>479</v>
      </c>
      <c r="E101" s="1133">
        <v>0</v>
      </c>
      <c r="F101" s="1133">
        <v>0</v>
      </c>
      <c r="G101" s="1133">
        <v>0</v>
      </c>
      <c r="H101" s="1133">
        <v>0</v>
      </c>
      <c r="I101" s="1133">
        <v>0</v>
      </c>
      <c r="J101" s="1133">
        <v>0</v>
      </c>
      <c r="K101" s="1133">
        <v>0</v>
      </c>
      <c r="L101" s="1133">
        <v>0</v>
      </c>
      <c r="M101" s="1133">
        <v>0</v>
      </c>
      <c r="N101" s="1133">
        <v>0</v>
      </c>
      <c r="O101" s="1133">
        <v>0</v>
      </c>
      <c r="P101" s="1133">
        <v>0</v>
      </c>
      <c r="Q101" s="1133">
        <v>0</v>
      </c>
      <c r="R101" s="982"/>
      <c r="S101" s="982"/>
    </row>
    <row r="102" spans="1:19" ht="15" customHeight="1">
      <c r="A102" s="1134" t="s">
        <v>479</v>
      </c>
      <c r="B102" s="1134" t="s">
        <v>653</v>
      </c>
      <c r="C102" s="1134" t="s">
        <v>343</v>
      </c>
      <c r="D102" s="1134" t="s">
        <v>479</v>
      </c>
      <c r="E102" s="1133">
        <v>33.024999999999999</v>
      </c>
      <c r="F102" s="1133">
        <v>0</v>
      </c>
      <c r="G102" s="1133">
        <v>0</v>
      </c>
      <c r="H102" s="1133">
        <v>0</v>
      </c>
      <c r="I102" s="1133">
        <v>5.3</v>
      </c>
      <c r="J102" s="1133">
        <v>0</v>
      </c>
      <c r="K102" s="1133">
        <v>0</v>
      </c>
      <c r="L102" s="1133">
        <v>0</v>
      </c>
      <c r="M102" s="1133">
        <v>0</v>
      </c>
      <c r="N102" s="1133">
        <v>-11</v>
      </c>
      <c r="O102" s="1133">
        <v>0</v>
      </c>
      <c r="P102" s="1133">
        <v>27.324999999999999</v>
      </c>
      <c r="Q102" s="1133">
        <v>54.65</v>
      </c>
      <c r="R102" s="982"/>
      <c r="S102" s="982"/>
    </row>
    <row r="103" spans="1:19" ht="15" customHeight="1">
      <c r="A103" s="1134" t="s">
        <v>479</v>
      </c>
      <c r="B103" s="1134" t="s">
        <v>654</v>
      </c>
      <c r="C103" s="1134" t="s">
        <v>655</v>
      </c>
      <c r="D103" s="1134" t="s">
        <v>479</v>
      </c>
      <c r="E103" s="1133">
        <v>0</v>
      </c>
      <c r="F103" s="1133">
        <v>0</v>
      </c>
      <c r="G103" s="1133">
        <v>0</v>
      </c>
      <c r="H103" s="1133">
        <v>0</v>
      </c>
      <c r="I103" s="1133">
        <v>0</v>
      </c>
      <c r="J103" s="1133">
        <v>0</v>
      </c>
      <c r="K103" s="1133">
        <v>0</v>
      </c>
      <c r="L103" s="1133">
        <v>0</v>
      </c>
      <c r="M103" s="1133">
        <v>0</v>
      </c>
      <c r="N103" s="1133">
        <v>0</v>
      </c>
      <c r="O103" s="1133">
        <v>0</v>
      </c>
      <c r="P103" s="1133">
        <v>0</v>
      </c>
      <c r="Q103" s="1133">
        <v>0</v>
      </c>
      <c r="R103" s="982"/>
      <c r="S103" s="982"/>
    </row>
    <row r="104" spans="1:19" ht="15" customHeight="1">
      <c r="A104" s="1134" t="s">
        <v>479</v>
      </c>
      <c r="B104" s="1134" t="s">
        <v>656</v>
      </c>
      <c r="C104" s="1134" t="s">
        <v>382</v>
      </c>
      <c r="D104" s="1134" t="s">
        <v>479</v>
      </c>
      <c r="E104" s="1133">
        <v>0</v>
      </c>
      <c r="F104" s="1133">
        <v>0</v>
      </c>
      <c r="G104" s="1133">
        <v>0</v>
      </c>
      <c r="H104" s="1133">
        <v>0</v>
      </c>
      <c r="I104" s="1133">
        <v>0</v>
      </c>
      <c r="J104" s="1133">
        <v>0</v>
      </c>
      <c r="K104" s="1133">
        <v>0</v>
      </c>
      <c r="L104" s="1133">
        <v>0</v>
      </c>
      <c r="M104" s="1133">
        <v>0</v>
      </c>
      <c r="N104" s="1133">
        <v>0</v>
      </c>
      <c r="O104" s="1133">
        <v>0</v>
      </c>
      <c r="P104" s="1133">
        <v>0</v>
      </c>
      <c r="Q104" s="1133">
        <v>0</v>
      </c>
      <c r="R104" s="982"/>
      <c r="S104" s="982"/>
    </row>
    <row r="105" spans="1:19" ht="15" customHeight="1">
      <c r="A105" s="1134" t="s">
        <v>479</v>
      </c>
      <c r="B105" s="1134" t="s">
        <v>657</v>
      </c>
      <c r="C105" s="1134" t="s">
        <v>658</v>
      </c>
      <c r="D105" s="1134" t="s">
        <v>479</v>
      </c>
      <c r="E105" s="1133">
        <v>0</v>
      </c>
      <c r="F105" s="1133">
        <v>0</v>
      </c>
      <c r="G105" s="1133">
        <v>0</v>
      </c>
      <c r="H105" s="1133">
        <v>0</v>
      </c>
      <c r="I105" s="1133">
        <v>0</v>
      </c>
      <c r="J105" s="1133">
        <v>0</v>
      </c>
      <c r="K105" s="1133">
        <v>0</v>
      </c>
      <c r="L105" s="1133">
        <v>0</v>
      </c>
      <c r="M105" s="1133">
        <v>0</v>
      </c>
      <c r="N105" s="1133">
        <v>0</v>
      </c>
      <c r="O105" s="1133">
        <v>0</v>
      </c>
      <c r="P105" s="1133">
        <v>0</v>
      </c>
      <c r="Q105" s="1133">
        <v>0</v>
      </c>
      <c r="R105" s="982"/>
      <c r="S105" s="982"/>
    </row>
    <row r="106" spans="1:19" ht="15" customHeight="1">
      <c r="A106" s="1134" t="s">
        <v>479</v>
      </c>
      <c r="B106" s="1134" t="s">
        <v>659</v>
      </c>
      <c r="C106" s="1134" t="s">
        <v>660</v>
      </c>
      <c r="D106" s="1134" t="s">
        <v>479</v>
      </c>
      <c r="E106" s="1133">
        <v>0</v>
      </c>
      <c r="F106" s="1133">
        <v>0</v>
      </c>
      <c r="G106" s="1133">
        <v>0</v>
      </c>
      <c r="H106" s="1133">
        <v>0</v>
      </c>
      <c r="I106" s="1133">
        <v>0</v>
      </c>
      <c r="J106" s="1133">
        <v>0</v>
      </c>
      <c r="K106" s="1133">
        <v>0</v>
      </c>
      <c r="L106" s="1133">
        <v>0</v>
      </c>
      <c r="M106" s="1133">
        <v>0</v>
      </c>
      <c r="N106" s="1133">
        <v>0</v>
      </c>
      <c r="O106" s="1133">
        <v>0</v>
      </c>
      <c r="P106" s="1133">
        <v>0</v>
      </c>
      <c r="Q106" s="1133">
        <v>0</v>
      </c>
      <c r="R106" s="982"/>
      <c r="S106" s="982"/>
    </row>
    <row r="107" spans="1:19" ht="15" customHeight="1">
      <c r="A107" s="1134" t="s">
        <v>479</v>
      </c>
      <c r="B107" s="1134" t="s">
        <v>661</v>
      </c>
      <c r="C107" s="1134" t="s">
        <v>662</v>
      </c>
      <c r="D107" s="1134" t="s">
        <v>479</v>
      </c>
      <c r="E107" s="1133">
        <v>0</v>
      </c>
      <c r="F107" s="1133">
        <v>0</v>
      </c>
      <c r="G107" s="1133">
        <v>0</v>
      </c>
      <c r="H107" s="1133">
        <v>0</v>
      </c>
      <c r="I107" s="1133">
        <v>0</v>
      </c>
      <c r="J107" s="1133">
        <v>0</v>
      </c>
      <c r="K107" s="1133">
        <v>0</v>
      </c>
      <c r="L107" s="1133">
        <v>0</v>
      </c>
      <c r="M107" s="1133">
        <v>0</v>
      </c>
      <c r="N107" s="1133">
        <v>0</v>
      </c>
      <c r="O107" s="1133">
        <v>0</v>
      </c>
      <c r="P107" s="1133">
        <v>0</v>
      </c>
      <c r="Q107" s="1133">
        <v>0</v>
      </c>
      <c r="R107" s="982"/>
      <c r="S107" s="982"/>
    </row>
    <row r="108" spans="1:19" ht="15" customHeight="1">
      <c r="A108" s="1134" t="s">
        <v>479</v>
      </c>
      <c r="B108" s="1134" t="s">
        <v>663</v>
      </c>
      <c r="C108" s="1134" t="s">
        <v>374</v>
      </c>
      <c r="D108" s="1134" t="s">
        <v>479</v>
      </c>
      <c r="E108" s="1133">
        <v>690.95</v>
      </c>
      <c r="F108" s="1133">
        <v>0</v>
      </c>
      <c r="G108" s="1133">
        <v>0</v>
      </c>
      <c r="H108" s="1133">
        <v>0</v>
      </c>
      <c r="I108" s="1133">
        <v>0</v>
      </c>
      <c r="J108" s="1133">
        <v>0</v>
      </c>
      <c r="K108" s="1133">
        <v>0</v>
      </c>
      <c r="L108" s="1133">
        <v>0</v>
      </c>
      <c r="M108" s="1133">
        <v>0</v>
      </c>
      <c r="N108" s="1133">
        <v>-143</v>
      </c>
      <c r="O108" s="1133">
        <v>0</v>
      </c>
      <c r="P108" s="1133">
        <v>547.95000000000005</v>
      </c>
      <c r="Q108" s="1133">
        <v>1095.9000000000001</v>
      </c>
      <c r="R108" s="982"/>
      <c r="S108" s="982"/>
    </row>
    <row r="109" spans="1:19" ht="15" customHeight="1">
      <c r="A109" s="1134" t="s">
        <v>479</v>
      </c>
      <c r="B109" s="1134" t="s">
        <v>664</v>
      </c>
      <c r="C109" s="1134" t="s">
        <v>665</v>
      </c>
      <c r="D109" s="1134" t="s">
        <v>479</v>
      </c>
      <c r="E109" s="1133">
        <v>0</v>
      </c>
      <c r="F109" s="1133">
        <v>0</v>
      </c>
      <c r="G109" s="1133">
        <v>0</v>
      </c>
      <c r="H109" s="1133">
        <v>0</v>
      </c>
      <c r="I109" s="1133">
        <v>0</v>
      </c>
      <c r="J109" s="1133">
        <v>0</v>
      </c>
      <c r="K109" s="1133">
        <v>0</v>
      </c>
      <c r="L109" s="1133">
        <v>0</v>
      </c>
      <c r="M109" s="1133">
        <v>0</v>
      </c>
      <c r="N109" s="1133">
        <v>0</v>
      </c>
      <c r="O109" s="1133">
        <v>0</v>
      </c>
      <c r="P109" s="1133">
        <v>0</v>
      </c>
      <c r="Q109" s="1133">
        <v>0</v>
      </c>
      <c r="R109" s="982"/>
      <c r="S109" s="982"/>
    </row>
    <row r="110" spans="1:19" ht="15" customHeight="1">
      <c r="A110" s="1134" t="s">
        <v>479</v>
      </c>
      <c r="B110" s="1134" t="s">
        <v>666</v>
      </c>
      <c r="C110" s="1134" t="s">
        <v>377</v>
      </c>
      <c r="D110" s="1134" t="s">
        <v>479</v>
      </c>
      <c r="E110" s="1133">
        <v>207</v>
      </c>
      <c r="F110" s="1133">
        <v>0</v>
      </c>
      <c r="G110" s="1133">
        <v>0</v>
      </c>
      <c r="H110" s="1133">
        <v>0</v>
      </c>
      <c r="I110" s="1133">
        <v>0</v>
      </c>
      <c r="J110" s="1133">
        <v>0</v>
      </c>
      <c r="K110" s="1133">
        <v>0</v>
      </c>
      <c r="L110" s="1133">
        <v>0</v>
      </c>
      <c r="M110" s="1133">
        <v>0</v>
      </c>
      <c r="N110" s="1133">
        <v>-32</v>
      </c>
      <c r="O110" s="1133">
        <v>0</v>
      </c>
      <c r="P110" s="1133">
        <v>175</v>
      </c>
      <c r="Q110" s="1133">
        <v>350</v>
      </c>
      <c r="R110" s="982"/>
      <c r="S110" s="982"/>
    </row>
    <row r="111" spans="1:19" ht="15" customHeight="1">
      <c r="A111" s="1134" t="s">
        <v>479</v>
      </c>
      <c r="B111" s="1134" t="s">
        <v>667</v>
      </c>
      <c r="C111" s="1134" t="s">
        <v>668</v>
      </c>
      <c r="D111" s="1134" t="s">
        <v>479</v>
      </c>
      <c r="E111" s="1133">
        <v>0</v>
      </c>
      <c r="F111" s="1133">
        <v>0</v>
      </c>
      <c r="G111" s="1133">
        <v>0</v>
      </c>
      <c r="H111" s="1133">
        <v>0</v>
      </c>
      <c r="I111" s="1133">
        <v>0</v>
      </c>
      <c r="J111" s="1133">
        <v>0</v>
      </c>
      <c r="K111" s="1133">
        <v>0</v>
      </c>
      <c r="L111" s="1133">
        <v>0</v>
      </c>
      <c r="M111" s="1133">
        <v>0</v>
      </c>
      <c r="N111" s="1133">
        <v>0</v>
      </c>
      <c r="O111" s="1133">
        <v>0</v>
      </c>
      <c r="P111" s="1133">
        <v>0</v>
      </c>
      <c r="Q111" s="1133">
        <v>0</v>
      </c>
      <c r="R111" s="982"/>
      <c r="S111" s="982"/>
    </row>
    <row r="112" spans="1:19" ht="15" customHeight="1">
      <c r="A112" s="1134" t="s">
        <v>479</v>
      </c>
      <c r="B112" s="1134" t="s">
        <v>669</v>
      </c>
      <c r="C112" s="1134" t="s">
        <v>670</v>
      </c>
      <c r="D112" s="1134" t="s">
        <v>479</v>
      </c>
      <c r="E112" s="1133">
        <v>3.01</v>
      </c>
      <c r="F112" s="1133">
        <v>0</v>
      </c>
      <c r="G112" s="1133">
        <v>0</v>
      </c>
      <c r="H112" s="1133">
        <v>0</v>
      </c>
      <c r="I112" s="1133">
        <v>0</v>
      </c>
      <c r="J112" s="1133">
        <v>0</v>
      </c>
      <c r="K112" s="1133">
        <v>0</v>
      </c>
      <c r="L112" s="1133">
        <v>0</v>
      </c>
      <c r="M112" s="1133">
        <v>0</v>
      </c>
      <c r="N112" s="1133">
        <v>0</v>
      </c>
      <c r="O112" s="1133">
        <v>0</v>
      </c>
      <c r="P112" s="1133">
        <v>3.01</v>
      </c>
      <c r="Q112" s="1133">
        <v>6.02</v>
      </c>
      <c r="R112" s="982"/>
      <c r="S112" s="982"/>
    </row>
    <row r="113" spans="1:19" ht="15" customHeight="1">
      <c r="A113" s="1134" t="s">
        <v>479</v>
      </c>
      <c r="B113" s="1134" t="s">
        <v>671</v>
      </c>
      <c r="C113" s="1134" t="s">
        <v>672</v>
      </c>
      <c r="D113" s="1134" t="s">
        <v>479</v>
      </c>
      <c r="E113" s="1133">
        <v>2.79</v>
      </c>
      <c r="F113" s="1133">
        <v>0</v>
      </c>
      <c r="G113" s="1133">
        <v>0</v>
      </c>
      <c r="H113" s="1133">
        <v>0</v>
      </c>
      <c r="I113" s="1133">
        <v>0</v>
      </c>
      <c r="J113" s="1133">
        <v>0</v>
      </c>
      <c r="K113" s="1133">
        <v>0</v>
      </c>
      <c r="L113" s="1133">
        <v>0</v>
      </c>
      <c r="M113" s="1133">
        <v>0</v>
      </c>
      <c r="N113" s="1133">
        <v>0</v>
      </c>
      <c r="O113" s="1133">
        <v>0</v>
      </c>
      <c r="P113" s="1133">
        <v>2.79</v>
      </c>
      <c r="Q113" s="1133">
        <v>5.58</v>
      </c>
      <c r="R113" s="982"/>
      <c r="S113" s="982"/>
    </row>
    <row r="114" spans="1:19" ht="15" customHeight="1">
      <c r="A114" s="1134" t="s">
        <v>479</v>
      </c>
      <c r="B114" s="1134" t="s">
        <v>673</v>
      </c>
      <c r="C114" s="1134" t="s">
        <v>674</v>
      </c>
      <c r="D114" s="1134" t="s">
        <v>479</v>
      </c>
      <c r="E114" s="1133">
        <v>0</v>
      </c>
      <c r="F114" s="1133">
        <v>0</v>
      </c>
      <c r="G114" s="1133">
        <v>0</v>
      </c>
      <c r="H114" s="1133">
        <v>0</v>
      </c>
      <c r="I114" s="1133">
        <v>0</v>
      </c>
      <c r="J114" s="1133">
        <v>0</v>
      </c>
      <c r="K114" s="1133">
        <v>0</v>
      </c>
      <c r="L114" s="1133">
        <v>0</v>
      </c>
      <c r="M114" s="1133">
        <v>0</v>
      </c>
      <c r="N114" s="1133">
        <v>0</v>
      </c>
      <c r="O114" s="1133">
        <v>0</v>
      </c>
      <c r="P114" s="1133">
        <v>0</v>
      </c>
      <c r="Q114" s="1133">
        <v>0</v>
      </c>
      <c r="R114" s="982"/>
      <c r="S114" s="982"/>
    </row>
    <row r="115" spans="1:19" ht="15" customHeight="1">
      <c r="A115" s="1134" t="s">
        <v>479</v>
      </c>
      <c r="B115" s="1134" t="s">
        <v>675</v>
      </c>
      <c r="C115" s="1134" t="s">
        <v>676</v>
      </c>
      <c r="D115" s="1134" t="s">
        <v>479</v>
      </c>
      <c r="E115" s="1133">
        <v>0</v>
      </c>
      <c r="F115" s="1133">
        <v>0</v>
      </c>
      <c r="G115" s="1133">
        <v>0</v>
      </c>
      <c r="H115" s="1133">
        <v>0</v>
      </c>
      <c r="I115" s="1133">
        <v>0</v>
      </c>
      <c r="J115" s="1133">
        <v>0</v>
      </c>
      <c r="K115" s="1133">
        <v>0</v>
      </c>
      <c r="L115" s="1133">
        <v>0</v>
      </c>
      <c r="M115" s="1133">
        <v>0</v>
      </c>
      <c r="N115" s="1133">
        <v>0</v>
      </c>
      <c r="O115" s="1133">
        <v>0</v>
      </c>
      <c r="P115" s="1133">
        <v>0</v>
      </c>
      <c r="Q115" s="1133">
        <v>0</v>
      </c>
      <c r="R115" s="982"/>
      <c r="S115" s="982"/>
    </row>
    <row r="116" spans="1:19" ht="15" customHeight="1">
      <c r="A116" s="1134" t="s">
        <v>479</v>
      </c>
      <c r="B116" s="1134" t="s">
        <v>677</v>
      </c>
      <c r="C116" s="1134" t="s">
        <v>678</v>
      </c>
      <c r="D116" s="1134" t="s">
        <v>479</v>
      </c>
      <c r="E116" s="1133">
        <v>0</v>
      </c>
      <c r="F116" s="1133">
        <v>0</v>
      </c>
      <c r="G116" s="1133">
        <v>0</v>
      </c>
      <c r="H116" s="1133">
        <v>0</v>
      </c>
      <c r="I116" s="1133">
        <v>0</v>
      </c>
      <c r="J116" s="1133">
        <v>0</v>
      </c>
      <c r="K116" s="1133">
        <v>0</v>
      </c>
      <c r="L116" s="1133">
        <v>0</v>
      </c>
      <c r="M116" s="1133">
        <v>0</v>
      </c>
      <c r="N116" s="1133">
        <v>0</v>
      </c>
      <c r="O116" s="1133">
        <v>0</v>
      </c>
      <c r="P116" s="1133">
        <v>0</v>
      </c>
      <c r="Q116" s="1133">
        <v>0</v>
      </c>
      <c r="R116" s="982"/>
      <c r="S116" s="982"/>
    </row>
    <row r="117" spans="1:19" ht="15" customHeight="1">
      <c r="A117" s="1134" t="s">
        <v>479</v>
      </c>
      <c r="B117" s="1134" t="s">
        <v>679</v>
      </c>
      <c r="C117" s="1134" t="s">
        <v>680</v>
      </c>
      <c r="D117" s="1134" t="s">
        <v>479</v>
      </c>
      <c r="E117" s="1133">
        <v>0</v>
      </c>
      <c r="F117" s="1133">
        <v>0</v>
      </c>
      <c r="G117" s="1133">
        <v>0</v>
      </c>
      <c r="H117" s="1133">
        <v>0</v>
      </c>
      <c r="I117" s="1133">
        <v>0</v>
      </c>
      <c r="J117" s="1133">
        <v>0</v>
      </c>
      <c r="K117" s="1133">
        <v>0</v>
      </c>
      <c r="L117" s="1133">
        <v>0</v>
      </c>
      <c r="M117" s="1133">
        <v>0</v>
      </c>
      <c r="N117" s="1133">
        <v>0</v>
      </c>
      <c r="O117" s="1133">
        <v>0</v>
      </c>
      <c r="P117" s="1133">
        <v>0</v>
      </c>
      <c r="Q117" s="1133">
        <v>0</v>
      </c>
      <c r="R117" s="982"/>
      <c r="S117" s="982"/>
    </row>
    <row r="118" spans="1:19" ht="15" customHeight="1">
      <c r="A118" s="1134" t="s">
        <v>479</v>
      </c>
      <c r="B118" s="1134" t="s">
        <v>681</v>
      </c>
      <c r="C118" s="1134" t="s">
        <v>682</v>
      </c>
      <c r="D118" s="1134" t="s">
        <v>479</v>
      </c>
      <c r="E118" s="1133">
        <v>19.309999999999999</v>
      </c>
      <c r="F118" s="1133">
        <v>0</v>
      </c>
      <c r="G118" s="1133">
        <v>0</v>
      </c>
      <c r="H118" s="1133">
        <v>0</v>
      </c>
      <c r="I118" s="1133">
        <v>0</v>
      </c>
      <c r="J118" s="1133">
        <v>0</v>
      </c>
      <c r="K118" s="1133">
        <v>0</v>
      </c>
      <c r="L118" s="1133">
        <v>0</v>
      </c>
      <c r="M118" s="1133">
        <v>0</v>
      </c>
      <c r="N118" s="1133">
        <v>-19.309999999999999</v>
      </c>
      <c r="O118" s="1133">
        <v>0</v>
      </c>
      <c r="P118" s="1133">
        <v>0</v>
      </c>
      <c r="Q118" s="1133">
        <v>0</v>
      </c>
      <c r="R118" s="982"/>
      <c r="S118" s="982"/>
    </row>
    <row r="119" spans="1:19" ht="15" customHeight="1">
      <c r="A119" s="1134" t="s">
        <v>479</v>
      </c>
      <c r="B119" s="1134" t="s">
        <v>683</v>
      </c>
      <c r="C119" s="1134" t="s">
        <v>684</v>
      </c>
      <c r="D119" s="1134" t="s">
        <v>479</v>
      </c>
      <c r="E119" s="1133">
        <v>0</v>
      </c>
      <c r="F119" s="1133">
        <v>0</v>
      </c>
      <c r="G119" s="1133">
        <v>0</v>
      </c>
      <c r="H119" s="1133">
        <v>0</v>
      </c>
      <c r="I119" s="1133">
        <v>0</v>
      </c>
      <c r="J119" s="1133">
        <v>0</v>
      </c>
      <c r="K119" s="1133">
        <v>0</v>
      </c>
      <c r="L119" s="1133">
        <v>0</v>
      </c>
      <c r="M119" s="1133">
        <v>0</v>
      </c>
      <c r="N119" s="1133">
        <v>0</v>
      </c>
      <c r="O119" s="1133">
        <v>0</v>
      </c>
      <c r="P119" s="1133">
        <v>0</v>
      </c>
      <c r="Q119" s="1133">
        <v>0</v>
      </c>
      <c r="R119" s="982"/>
      <c r="S119" s="982"/>
    </row>
    <row r="120" spans="1:19" ht="15" customHeight="1">
      <c r="A120" s="1134" t="s">
        <v>479</v>
      </c>
      <c r="B120" s="1134" t="s">
        <v>685</v>
      </c>
      <c r="C120" s="1134" t="s">
        <v>686</v>
      </c>
      <c r="D120" s="1134" t="s">
        <v>479</v>
      </c>
      <c r="E120" s="1133">
        <v>0</v>
      </c>
      <c r="F120" s="1133">
        <v>0</v>
      </c>
      <c r="G120" s="1133">
        <v>0</v>
      </c>
      <c r="H120" s="1133">
        <v>0</v>
      </c>
      <c r="I120" s="1133">
        <v>0</v>
      </c>
      <c r="J120" s="1133">
        <v>0</v>
      </c>
      <c r="K120" s="1133">
        <v>0</v>
      </c>
      <c r="L120" s="1133">
        <v>0</v>
      </c>
      <c r="M120" s="1133">
        <v>0</v>
      </c>
      <c r="N120" s="1133">
        <v>0</v>
      </c>
      <c r="O120" s="1133">
        <v>0</v>
      </c>
      <c r="P120" s="1133">
        <v>0</v>
      </c>
      <c r="Q120" s="1133">
        <v>0</v>
      </c>
      <c r="R120" s="982"/>
      <c r="S120" s="982"/>
    </row>
    <row r="121" spans="1:19" ht="15" customHeight="1">
      <c r="A121" s="1134" t="s">
        <v>479</v>
      </c>
      <c r="B121" s="1134" t="s">
        <v>687</v>
      </c>
      <c r="C121" s="1134" t="s">
        <v>384</v>
      </c>
      <c r="D121" s="1134" t="s">
        <v>479</v>
      </c>
      <c r="E121" s="1133">
        <v>33.61</v>
      </c>
      <c r="F121" s="1133">
        <v>0</v>
      </c>
      <c r="G121" s="1133">
        <v>0</v>
      </c>
      <c r="H121" s="1133">
        <v>0</v>
      </c>
      <c r="I121" s="1133">
        <v>24.536999999999999</v>
      </c>
      <c r="J121" s="1133">
        <v>0</v>
      </c>
      <c r="K121" s="1133">
        <v>0</v>
      </c>
      <c r="L121" s="1133">
        <v>0</v>
      </c>
      <c r="M121" s="1133">
        <v>0</v>
      </c>
      <c r="N121" s="1133">
        <v>-22</v>
      </c>
      <c r="O121" s="1133">
        <v>0</v>
      </c>
      <c r="P121" s="1133">
        <v>36.146999999999998</v>
      </c>
      <c r="Q121" s="1133">
        <v>72.293999999999997</v>
      </c>
      <c r="R121" s="982"/>
      <c r="S121" s="982"/>
    </row>
    <row r="122" spans="1:19" ht="15" customHeight="1">
      <c r="A122" s="1134" t="s">
        <v>479</v>
      </c>
      <c r="B122" s="1134" t="s">
        <v>688</v>
      </c>
      <c r="C122" s="1134" t="s">
        <v>689</v>
      </c>
      <c r="D122" s="1134" t="s">
        <v>479</v>
      </c>
      <c r="E122" s="1133">
        <v>0</v>
      </c>
      <c r="F122" s="1133">
        <v>0</v>
      </c>
      <c r="G122" s="1133">
        <v>0</v>
      </c>
      <c r="H122" s="1133">
        <v>0</v>
      </c>
      <c r="I122" s="1133">
        <v>0</v>
      </c>
      <c r="J122" s="1133">
        <v>0</v>
      </c>
      <c r="K122" s="1133">
        <v>0</v>
      </c>
      <c r="L122" s="1133">
        <v>0</v>
      </c>
      <c r="M122" s="1133">
        <v>0</v>
      </c>
      <c r="N122" s="1133">
        <v>0</v>
      </c>
      <c r="O122" s="1133">
        <v>0</v>
      </c>
      <c r="P122" s="1133">
        <v>0</v>
      </c>
      <c r="Q122" s="1133">
        <v>0</v>
      </c>
      <c r="R122" s="982"/>
      <c r="S122" s="982"/>
    </row>
    <row r="123" spans="1:19" ht="15.75" customHeight="1">
      <c r="A123" s="1134" t="s">
        <v>479</v>
      </c>
      <c r="B123" s="1134" t="s">
        <v>690</v>
      </c>
      <c r="C123" s="1134" t="s">
        <v>691</v>
      </c>
      <c r="D123" s="1134" t="s">
        <v>479</v>
      </c>
      <c r="E123" s="1133">
        <v>0</v>
      </c>
      <c r="F123" s="1133">
        <v>0</v>
      </c>
      <c r="G123" s="1133">
        <v>0</v>
      </c>
      <c r="H123" s="1133">
        <v>0</v>
      </c>
      <c r="I123" s="1133">
        <v>0</v>
      </c>
      <c r="J123" s="1133">
        <v>0</v>
      </c>
      <c r="K123" s="1133">
        <v>0</v>
      </c>
      <c r="L123" s="1133">
        <v>0</v>
      </c>
      <c r="M123" s="1133">
        <v>0</v>
      </c>
      <c r="N123" s="1133">
        <v>0</v>
      </c>
      <c r="O123" s="1133">
        <v>0</v>
      </c>
      <c r="P123" s="1133">
        <v>0</v>
      </c>
      <c r="Q123" s="1133">
        <v>0</v>
      </c>
      <c r="R123" s="982"/>
      <c r="S123" s="982"/>
    </row>
    <row r="124" spans="1:19" ht="15.75" customHeight="1">
      <c r="A124" s="980"/>
      <c r="B124" s="980"/>
      <c r="C124" s="980"/>
      <c r="D124" s="981"/>
      <c r="E124" s="981"/>
      <c r="F124" s="981"/>
      <c r="G124" s="981"/>
      <c r="H124" s="981"/>
      <c r="I124" s="981"/>
      <c r="J124" s="981"/>
      <c r="K124" s="981"/>
      <c r="L124" s="981"/>
      <c r="M124" s="981"/>
      <c r="N124" s="981"/>
      <c r="O124" s="981"/>
      <c r="P124" s="981"/>
      <c r="Q124" s="981"/>
      <c r="R124" s="980"/>
    </row>
    <row r="125" spans="1:19" ht="15" customHeight="1">
      <c r="A125" s="1130"/>
      <c r="B125" s="1130"/>
      <c r="C125" s="1130"/>
      <c r="D125" s="1136" t="s">
        <v>149</v>
      </c>
      <c r="E125" s="1136">
        <v>6869.1120000000001</v>
      </c>
      <c r="F125" s="1136">
        <v>652.67999999999995</v>
      </c>
      <c r="G125" s="1136">
        <v>301.07</v>
      </c>
      <c r="H125" s="1136">
        <v>286.37</v>
      </c>
      <c r="I125" s="1136">
        <v>39.265999999999998</v>
      </c>
      <c r="J125" s="1136">
        <v>1607.701</v>
      </c>
      <c r="K125" s="1136">
        <v>-286.37</v>
      </c>
      <c r="L125" s="1136">
        <v>-15</v>
      </c>
      <c r="M125" s="1136">
        <v>-916.06</v>
      </c>
      <c r="N125" s="1136">
        <v>-1226.8900000000001</v>
      </c>
      <c r="O125" s="1136">
        <v>-10.34</v>
      </c>
      <c r="P125" s="1136">
        <v>7301.5389999999998</v>
      </c>
      <c r="Q125" s="1130"/>
      <c r="R125" s="981"/>
      <c r="S125" s="98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F5597"/>
  </sheetPr>
  <dimension ref="A1:X20"/>
  <sheetViews>
    <sheetView zoomScaleNormal="100" workbookViewId="0">
      <selection sqref="A1:L19"/>
    </sheetView>
  </sheetViews>
  <sheetFormatPr defaultColWidth="8.85546875" defaultRowHeight="15" customHeight="1"/>
  <cols>
    <col min="4" max="4" width="44" customWidth="1"/>
    <col min="5" max="5" width="10.140625" customWidth="1"/>
    <col min="6" max="8" width="11.28515625" customWidth="1"/>
    <col min="9" max="9" width="16" customWidth="1"/>
    <col min="10" max="10" width="11.85546875" customWidth="1"/>
    <col min="11" max="11" width="10.140625" customWidth="1"/>
    <col min="12" max="12" width="14.85546875" customWidth="1"/>
  </cols>
  <sheetData>
    <row r="1" spans="1:24" ht="18.75" customHeight="1">
      <c r="A1" s="1137" t="s">
        <v>692</v>
      </c>
      <c r="B1" s="1138"/>
      <c r="C1" s="1138"/>
      <c r="D1" s="1138"/>
      <c r="E1" s="1138"/>
      <c r="F1" s="1138"/>
      <c r="G1" s="1138"/>
      <c r="H1" s="1138"/>
      <c r="I1" s="1138"/>
      <c r="J1" s="1138"/>
      <c r="K1" s="1138"/>
      <c r="L1" s="1138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</row>
    <row r="2" spans="1:24" ht="15.75" customHeight="1">
      <c r="A2" s="1105" t="s">
        <v>693</v>
      </c>
      <c r="B2" s="1104"/>
      <c r="C2" s="1104"/>
      <c r="D2" s="1104"/>
      <c r="E2" s="1104"/>
      <c r="F2" s="1104"/>
      <c r="G2" s="1104"/>
      <c r="H2" s="1104"/>
      <c r="I2" s="1104"/>
      <c r="J2" s="1104"/>
      <c r="K2" s="1104"/>
      <c r="L2" s="1104"/>
    </row>
    <row r="4" spans="1:24" ht="15" customHeight="1">
      <c r="A4" s="1106" t="s">
        <v>694</v>
      </c>
      <c r="B4" s="1106" t="s">
        <v>695</v>
      </c>
      <c r="C4" s="1104"/>
      <c r="D4" s="1104"/>
      <c r="E4" s="1104"/>
      <c r="F4" s="1104"/>
      <c r="G4" s="1104"/>
      <c r="H4" s="1104"/>
      <c r="I4" s="1104"/>
      <c r="J4" s="1104"/>
      <c r="K4" s="1104"/>
      <c r="L4" s="1104"/>
    </row>
    <row r="5" spans="1:24" ht="15" customHeight="1">
      <c r="A5" s="1106" t="s">
        <v>696</v>
      </c>
      <c r="B5" s="1106" t="s">
        <v>697</v>
      </c>
      <c r="C5" s="1104"/>
      <c r="D5" s="1104"/>
      <c r="E5" s="1104"/>
      <c r="F5" s="1104"/>
      <c r="G5" s="1104"/>
      <c r="H5" s="1104"/>
      <c r="I5" s="1104"/>
      <c r="J5" s="1104"/>
      <c r="K5" s="1104"/>
      <c r="L5" s="1104"/>
    </row>
    <row r="6" spans="1:24" ht="15" customHeight="1">
      <c r="A6" s="1106" t="s">
        <v>698</v>
      </c>
      <c r="B6" s="1106" t="s">
        <v>699</v>
      </c>
      <c r="C6" s="1104"/>
      <c r="D6" s="1104"/>
      <c r="E6" s="1104"/>
      <c r="F6" s="1104"/>
      <c r="G6" s="1104"/>
      <c r="H6" s="1104"/>
      <c r="I6" s="1104"/>
      <c r="J6" s="1104"/>
      <c r="K6" s="1104"/>
      <c r="L6" s="1104"/>
    </row>
    <row r="8" spans="1:24" ht="15" customHeight="1">
      <c r="F8" s="775"/>
    </row>
    <row r="10" spans="1:24" ht="15.75" customHeight="1">
      <c r="A10" s="1107" t="s">
        <v>700</v>
      </c>
      <c r="B10" s="1107" t="s">
        <v>701</v>
      </c>
      <c r="C10" s="1109" t="s">
        <v>702</v>
      </c>
      <c r="D10" s="1109" t="s">
        <v>703</v>
      </c>
      <c r="E10" s="1109" t="s">
        <v>704</v>
      </c>
      <c r="F10" s="1109" t="s">
        <v>705</v>
      </c>
      <c r="G10" s="1109" t="s">
        <v>706</v>
      </c>
      <c r="H10" s="1109" t="s">
        <v>707</v>
      </c>
      <c r="I10" s="1109" t="s">
        <v>708</v>
      </c>
      <c r="J10" s="1109" t="s">
        <v>709</v>
      </c>
      <c r="K10" s="1109" t="s">
        <v>710</v>
      </c>
      <c r="L10" s="1109" t="s">
        <v>711</v>
      </c>
    </row>
    <row r="11" spans="1:24" ht="15" customHeight="1">
      <c r="A11" s="1108" t="s">
        <v>712</v>
      </c>
      <c r="B11" s="1108" t="s">
        <v>713</v>
      </c>
      <c r="C11" s="1108" t="s">
        <v>714</v>
      </c>
      <c r="D11" s="1108" t="s">
        <v>715</v>
      </c>
      <c r="E11" s="1110">
        <v>2.36</v>
      </c>
      <c r="F11" s="1110">
        <v>84.561999999999998</v>
      </c>
      <c r="G11" s="1111">
        <v>4963.8</v>
      </c>
      <c r="H11" s="1110">
        <v>84.561999999999998</v>
      </c>
      <c r="I11" s="1111" t="s">
        <v>716</v>
      </c>
      <c r="J11" s="1111">
        <v>32278.73</v>
      </c>
      <c r="K11" s="1110">
        <v>2.36</v>
      </c>
      <c r="L11" s="1111">
        <v>76230.97</v>
      </c>
    </row>
    <row r="12" spans="1:24" ht="15" customHeight="1">
      <c r="A12" s="1108" t="s">
        <v>712</v>
      </c>
      <c r="B12" s="1108" t="s">
        <v>713</v>
      </c>
      <c r="C12" s="1108" t="s">
        <v>714</v>
      </c>
      <c r="D12" s="1108" t="s">
        <v>717</v>
      </c>
      <c r="E12" s="1110">
        <v>0</v>
      </c>
      <c r="F12" s="1110">
        <v>20.643000000000001</v>
      </c>
      <c r="G12" s="1111">
        <v>1</v>
      </c>
      <c r="H12" s="1110">
        <v>20.643000000000001</v>
      </c>
      <c r="I12" s="1111" t="s">
        <v>718</v>
      </c>
      <c r="J12" s="1111">
        <v>32744.31</v>
      </c>
      <c r="K12" s="1110">
        <v>0</v>
      </c>
      <c r="L12" s="1111">
        <v>0</v>
      </c>
    </row>
    <row r="13" spans="1:24" ht="15" customHeight="1">
      <c r="A13" s="1108" t="s">
        <v>712</v>
      </c>
      <c r="B13" s="1108" t="s">
        <v>713</v>
      </c>
      <c r="C13" s="1108" t="s">
        <v>714</v>
      </c>
      <c r="D13" s="1108" t="s">
        <v>719</v>
      </c>
      <c r="E13" s="1110">
        <v>1.345</v>
      </c>
      <c r="F13" s="1110">
        <v>165.41900000000001</v>
      </c>
      <c r="G13" s="1111">
        <v>3114.42</v>
      </c>
      <c r="H13" s="1110">
        <v>165.41900000000001</v>
      </c>
      <c r="I13" s="1111" t="s">
        <v>720</v>
      </c>
      <c r="J13" s="1111">
        <v>35031.83</v>
      </c>
      <c r="K13" s="1110">
        <v>1.345</v>
      </c>
      <c r="L13" s="1111">
        <v>41549.94</v>
      </c>
    </row>
    <row r="14" spans="1:24" ht="15" customHeight="1">
      <c r="A14" s="1108" t="s">
        <v>712</v>
      </c>
      <c r="B14" s="1108" t="s">
        <v>713</v>
      </c>
      <c r="C14" s="1108" t="s">
        <v>714</v>
      </c>
      <c r="D14" s="1108" t="s">
        <v>721</v>
      </c>
      <c r="E14" s="1110">
        <v>1.6140000000000001</v>
      </c>
      <c r="F14" s="1110">
        <v>389.85700000000003</v>
      </c>
      <c r="G14" s="1111">
        <v>3138.56</v>
      </c>
      <c r="H14" s="1110">
        <v>389.85700000000003</v>
      </c>
      <c r="I14" s="1111" t="s">
        <v>722</v>
      </c>
      <c r="J14" s="1111">
        <v>34693.160000000003</v>
      </c>
      <c r="K14" s="1110">
        <v>1.6140000000000001</v>
      </c>
      <c r="L14" s="1111">
        <v>52129.07</v>
      </c>
    </row>
    <row r="15" spans="1:24" ht="15" customHeight="1">
      <c r="A15" s="1112" t="s">
        <v>712</v>
      </c>
      <c r="B15" s="1112" t="s">
        <v>713</v>
      </c>
      <c r="C15" s="1112" t="s">
        <v>714</v>
      </c>
      <c r="D15" s="1112" t="s">
        <v>723</v>
      </c>
      <c r="E15" s="1113">
        <v>4.0999999999999996</v>
      </c>
      <c r="F15" s="1113">
        <v>207.90600000000001</v>
      </c>
      <c r="G15" s="1114">
        <v>0.76</v>
      </c>
      <c r="H15" s="1113">
        <v>207.90600000000001</v>
      </c>
      <c r="I15" s="1114">
        <v>0</v>
      </c>
      <c r="J15" s="1114">
        <v>0.05</v>
      </c>
      <c r="K15" s="1113">
        <v>4.0999999999999996</v>
      </c>
      <c r="L15" s="1114">
        <v>0</v>
      </c>
    </row>
    <row r="16" spans="1:24" ht="15" customHeight="1">
      <c r="A16" s="1104" t="s">
        <v>712</v>
      </c>
      <c r="B16" s="1104" t="s">
        <v>713</v>
      </c>
      <c r="C16" s="1104" t="s">
        <v>714</v>
      </c>
      <c r="D16" s="1115" t="s">
        <v>724</v>
      </c>
      <c r="E16" s="1116">
        <v>0</v>
      </c>
      <c r="F16" s="1116">
        <v>40.393000000000001</v>
      </c>
      <c r="G16" s="1117">
        <v>1</v>
      </c>
      <c r="H16" s="1116">
        <v>40.393000000000001</v>
      </c>
      <c r="I16" s="1117">
        <v>0</v>
      </c>
      <c r="J16" s="1117">
        <v>0.05</v>
      </c>
      <c r="K16" s="1116">
        <v>0</v>
      </c>
      <c r="L16" s="1117">
        <v>0</v>
      </c>
    </row>
    <row r="17" spans="1:12" ht="15.75" customHeight="1">
      <c r="A17" s="1096" t="s">
        <v>712</v>
      </c>
      <c r="B17" s="1096" t="s">
        <v>713</v>
      </c>
      <c r="C17" s="1096" t="s">
        <v>714</v>
      </c>
      <c r="D17" s="1096" t="s">
        <v>725</v>
      </c>
      <c r="E17" s="1097">
        <v>0</v>
      </c>
      <c r="F17" s="1097">
        <v>1.98</v>
      </c>
      <c r="G17" s="1098">
        <v>1</v>
      </c>
      <c r="H17" s="1097">
        <v>1.98</v>
      </c>
      <c r="I17" s="1098">
        <v>0</v>
      </c>
      <c r="J17" s="1098">
        <v>0.51</v>
      </c>
      <c r="K17" s="1097">
        <v>0</v>
      </c>
      <c r="L17" s="1098">
        <v>0</v>
      </c>
    </row>
    <row r="18" spans="1:12" ht="15" customHeight="1">
      <c r="A18" s="1096" t="s">
        <v>726</v>
      </c>
      <c r="B18" s="1096"/>
      <c r="C18" s="1096"/>
      <c r="D18" s="1096"/>
      <c r="E18" s="1097">
        <v>9.4190000000000005</v>
      </c>
      <c r="F18" s="1097">
        <v>910.76</v>
      </c>
      <c r="G18" s="1098">
        <v>11220.55</v>
      </c>
      <c r="H18" s="1097">
        <v>910.76</v>
      </c>
      <c r="I18" s="1098" t="s">
        <v>727</v>
      </c>
      <c r="J18" s="1098" t="s">
        <v>728</v>
      </c>
      <c r="K18" s="1097">
        <v>9.4190000000000005</v>
      </c>
      <c r="L18" s="1098" t="s">
        <v>729</v>
      </c>
    </row>
    <row r="19" spans="1:12" ht="15.75" customHeight="1">
      <c r="A19" s="980"/>
      <c r="B19" s="980"/>
      <c r="C19" s="980"/>
      <c r="D19" s="983" t="s">
        <v>730</v>
      </c>
      <c r="E19" s="1099">
        <v>9.4190000000000005</v>
      </c>
      <c r="F19" s="1099">
        <v>910.76</v>
      </c>
      <c r="G19" s="1100">
        <v>11220.55</v>
      </c>
      <c r="H19" s="1099">
        <v>910.76</v>
      </c>
      <c r="I19" s="1100" t="s">
        <v>727</v>
      </c>
      <c r="J19" s="1100" t="s">
        <v>728</v>
      </c>
      <c r="K19" s="1099">
        <v>9.4190000000000005</v>
      </c>
      <c r="L19" s="1100" t="s">
        <v>729</v>
      </c>
    </row>
    <row r="20" spans="1:12" ht="15.75" customHeight="1">
      <c r="D20" s="773"/>
      <c r="E20" s="1101"/>
      <c r="F20" s="1101"/>
      <c r="G20" s="1102"/>
      <c r="H20" s="1101"/>
      <c r="I20" s="1102"/>
      <c r="J20" s="1102"/>
      <c r="K20" s="1101"/>
      <c r="L20" s="110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60"/>
  <sheetViews>
    <sheetView zoomScaleNormal="100" workbookViewId="0">
      <selection activeCell="Q16" sqref="Q16"/>
    </sheetView>
  </sheetViews>
  <sheetFormatPr defaultColWidth="8.7109375" defaultRowHeight="15" customHeight="1"/>
  <cols>
    <col min="1" max="1" width="12.140625" customWidth="1"/>
    <col min="2" max="2" width="12" customWidth="1"/>
    <col min="3" max="3" width="11.7109375" customWidth="1"/>
    <col min="4" max="4" width="8.42578125" customWidth="1"/>
    <col min="5" max="5" width="14.7109375" customWidth="1"/>
    <col min="6" max="6" width="8.5703125" customWidth="1"/>
    <col min="7" max="7" width="14.7109375" customWidth="1"/>
    <col min="9" max="9" width="11.5703125" customWidth="1"/>
    <col min="10" max="10" width="12" customWidth="1"/>
    <col min="11" max="11" width="11.7109375" customWidth="1"/>
    <col min="12" max="12" width="8.42578125" customWidth="1"/>
    <col min="13" max="13" width="13" customWidth="1"/>
    <col min="14" max="14" width="8.5703125" customWidth="1"/>
    <col min="15" max="15" width="13.85546875" customWidth="1"/>
    <col min="17" max="17" width="17.85546875" customWidth="1"/>
    <col min="18" max="18" width="12" customWidth="1"/>
  </cols>
  <sheetData>
    <row r="1" spans="1:17" ht="24" customHeight="1">
      <c r="A1" s="1432" t="s">
        <v>731</v>
      </c>
      <c r="B1" s="1432"/>
      <c r="C1" s="1432"/>
      <c r="D1" s="1432"/>
      <c r="E1" s="1432"/>
      <c r="F1" s="1432"/>
      <c r="G1" s="1432"/>
      <c r="I1" s="1432" t="s">
        <v>732</v>
      </c>
      <c r="J1" s="1432"/>
      <c r="K1" s="1432"/>
      <c r="L1" s="1432"/>
      <c r="M1" s="1432"/>
      <c r="N1" s="1432"/>
      <c r="O1" s="1432"/>
    </row>
    <row r="2" spans="1:17" ht="18.75" customHeight="1">
      <c r="A2" s="776" t="s">
        <v>26</v>
      </c>
      <c r="B2" s="313" t="s">
        <v>86</v>
      </c>
      <c r="C2" s="313" t="s">
        <v>733</v>
      </c>
      <c r="D2" s="313" t="s">
        <v>734</v>
      </c>
      <c r="E2" s="313" t="s">
        <v>248</v>
      </c>
      <c r="F2" s="313" t="s">
        <v>735</v>
      </c>
      <c r="G2" s="314" t="s">
        <v>736</v>
      </c>
      <c r="I2" s="776" t="s">
        <v>26</v>
      </c>
      <c r="J2" s="313" t="s">
        <v>86</v>
      </c>
      <c r="K2" s="313" t="s">
        <v>733</v>
      </c>
      <c r="L2" s="313" t="s">
        <v>734</v>
      </c>
      <c r="M2" s="313" t="s">
        <v>248</v>
      </c>
      <c r="N2" s="313" t="s">
        <v>735</v>
      </c>
      <c r="O2" s="314" t="s">
        <v>736</v>
      </c>
      <c r="P2" s="777" t="s">
        <v>731</v>
      </c>
      <c r="Q2" s="778">
        <f ca="1">B11</f>
        <v>280.05</v>
      </c>
    </row>
    <row r="3" spans="1:17" ht="18.75" customHeight="1">
      <c r="A3" s="779">
        <f t="array" ref="A3">IFERROR(_xlfn._xlws.FILTER(A30:A60, F30:F60 = A1), "")</f>
        <v>45931</v>
      </c>
      <c r="B3" s="780">
        <v>280.05</v>
      </c>
      <c r="C3" s="781">
        <f t="array" aca="1" ref="C3" ca="1">IFERROR(_xlfn._xlws.FILTER(B30:B60, F30:F60 = A1), "")</f>
        <v>0</v>
      </c>
      <c r="D3" s="780">
        <f t="array" aca="1" ref="D3" ca="1">IFERROR(_xlfn._xlws.FILTER(E30:E60, F30:F60 = A1), "")</f>
        <v>0</v>
      </c>
      <c r="E3" s="782">
        <f t="array" aca="1" ref="E3" ca="1">IFERROR(_xlfn._xlws.FILTER(D30:D60, F30:F60 = A1), "")</f>
        <v>0</v>
      </c>
      <c r="F3" s="783">
        <f t="array" aca="1" ref="F3" ca="1">IFERROR(_xlfn._xlws.FILTER(C30:C60, F30:F60 = A1), "")</f>
        <v>0</v>
      </c>
      <c r="G3" s="784">
        <f t="shared" ref="G3:G10" ca="1" si="0">IFERROR(B3+C3+D3+E3,0)</f>
        <v>280.05</v>
      </c>
      <c r="I3" s="779">
        <f t="array" ref="I3">IFERROR(_xlfn._xlws.FILTER(A30:A60, F30:F60 = I1), "")</f>
        <v>45932</v>
      </c>
      <c r="J3" s="780">
        <v>252.18</v>
      </c>
      <c r="K3" s="780">
        <f t="array" aca="1" ref="K3" ca="1">IFERROR(_xlfn._xlws.FILTER(B30:B60, F30:F60 = I1), "")</f>
        <v>0</v>
      </c>
      <c r="L3" s="780">
        <f t="array" aca="1" ref="L3" ca="1">IFERROR(_xlfn._xlws.FILTER(E30:E60, F30:F60 = I1), "")</f>
        <v>0</v>
      </c>
      <c r="M3" s="782">
        <f t="array" aca="1" ref="M3" ca="1">IFERROR(_xlfn._xlws.FILTER(D30:D60, F30:F60 = I1), "")</f>
        <v>0</v>
      </c>
      <c r="N3" s="783">
        <f t="array" aca="1" ref="N3" ca="1">IFERROR(_xlfn._xlws.FILTER(C30:C60, F30:F60 = I1), "")</f>
        <v>0</v>
      </c>
      <c r="O3" s="784">
        <f t="shared" ref="O3:O10" ca="1" si="1">IFERROR(J3+K3+L3+M3,0)</f>
        <v>252.18</v>
      </c>
      <c r="P3" s="777" t="s">
        <v>732</v>
      </c>
      <c r="Q3" s="778">
        <f ca="1">J11</f>
        <v>252.18</v>
      </c>
    </row>
    <row r="4" spans="1:17" ht="18.75" customHeight="1">
      <c r="A4" s="779"/>
      <c r="B4" s="780">
        <f t="shared" ref="B4:B10" ca="1" si="2">G3</f>
        <v>280.05</v>
      </c>
      <c r="C4" s="780"/>
      <c r="D4" s="780"/>
      <c r="E4" s="782"/>
      <c r="F4" s="783"/>
      <c r="G4" s="784">
        <f t="shared" ca="1" si="0"/>
        <v>280.05</v>
      </c>
      <c r="I4" s="779"/>
      <c r="J4" s="780">
        <f t="shared" ref="J4:J10" ca="1" si="3">O3</f>
        <v>252.18</v>
      </c>
      <c r="K4" s="780"/>
      <c r="L4" s="780"/>
      <c r="M4" s="782"/>
      <c r="N4" s="783"/>
      <c r="O4" s="784">
        <f t="shared" ca="1" si="1"/>
        <v>252.18</v>
      </c>
      <c r="P4" s="777" t="s">
        <v>737</v>
      </c>
      <c r="Q4" s="778">
        <f ca="1">B24</f>
        <v>1537.77</v>
      </c>
    </row>
    <row r="5" spans="1:17" ht="18.75" customHeight="1">
      <c r="A5" s="779"/>
      <c r="B5" s="780">
        <f t="shared" ca="1" si="2"/>
        <v>280.05</v>
      </c>
      <c r="C5" s="780"/>
      <c r="D5" s="780"/>
      <c r="E5" s="782"/>
      <c r="F5" s="783"/>
      <c r="G5" s="784">
        <f t="shared" ca="1" si="0"/>
        <v>280.05</v>
      </c>
      <c r="I5" s="779"/>
      <c r="J5" s="780">
        <f t="shared" ca="1" si="3"/>
        <v>252.18</v>
      </c>
      <c r="K5" s="780"/>
      <c r="L5" s="780"/>
      <c r="M5" s="782"/>
      <c r="N5" s="783"/>
      <c r="O5" s="784">
        <f t="shared" ca="1" si="1"/>
        <v>252.18</v>
      </c>
      <c r="P5" s="777" t="s">
        <v>738</v>
      </c>
      <c r="Q5" s="778">
        <f ca="1">J24</f>
        <v>217</v>
      </c>
    </row>
    <row r="6" spans="1:17" ht="15.75" customHeight="1">
      <c r="A6" s="779"/>
      <c r="B6" s="780">
        <f t="shared" ca="1" si="2"/>
        <v>280.05</v>
      </c>
      <c r="C6" s="780"/>
      <c r="D6" s="780"/>
      <c r="E6" s="782"/>
      <c r="F6" s="783"/>
      <c r="G6" s="784">
        <f t="shared" ca="1" si="0"/>
        <v>280.05</v>
      </c>
      <c r="I6" s="785"/>
      <c r="J6" s="780">
        <f t="shared" ca="1" si="3"/>
        <v>252.18</v>
      </c>
      <c r="K6" s="780"/>
      <c r="L6" s="780"/>
      <c r="M6" s="782"/>
      <c r="N6" s="783"/>
      <c r="O6" s="784">
        <f t="shared" ca="1" si="1"/>
        <v>252.18</v>
      </c>
    </row>
    <row r="7" spans="1:17" ht="16.5" customHeight="1">
      <c r="A7" s="779"/>
      <c r="B7" s="780">
        <f t="shared" ca="1" si="2"/>
        <v>280.05</v>
      </c>
      <c r="C7" s="786"/>
      <c r="D7" s="786"/>
      <c r="E7" s="787"/>
      <c r="F7" s="783"/>
      <c r="G7" s="784">
        <f t="shared" ca="1" si="0"/>
        <v>280.05</v>
      </c>
      <c r="I7" s="779"/>
      <c r="J7" s="780">
        <f t="shared" ca="1" si="3"/>
        <v>252.18</v>
      </c>
      <c r="K7" s="786"/>
      <c r="L7" s="786"/>
      <c r="M7" s="787"/>
      <c r="N7" s="783"/>
      <c r="O7" s="784">
        <f t="shared" ca="1" si="1"/>
        <v>252.18</v>
      </c>
    </row>
    <row r="8" spans="1:17" ht="15.75" customHeight="1">
      <c r="A8" s="779"/>
      <c r="B8" s="780">
        <f t="shared" ca="1" si="2"/>
        <v>280.05</v>
      </c>
      <c r="C8" s="786"/>
      <c r="D8" s="786"/>
      <c r="E8" s="787"/>
      <c r="F8" s="783"/>
      <c r="G8" s="784">
        <f t="shared" ca="1" si="0"/>
        <v>280.05</v>
      </c>
      <c r="I8" s="779"/>
      <c r="J8" s="780">
        <f t="shared" ca="1" si="3"/>
        <v>252.18</v>
      </c>
      <c r="K8" s="786"/>
      <c r="L8" s="786"/>
      <c r="M8" s="787"/>
      <c r="N8" s="783"/>
      <c r="O8" s="784">
        <f t="shared" ca="1" si="1"/>
        <v>252.18</v>
      </c>
      <c r="Q8" s="1433" t="s">
        <v>739</v>
      </c>
    </row>
    <row r="9" spans="1:17" ht="15.75" customHeight="1">
      <c r="A9" s="779"/>
      <c r="B9" s="780">
        <f t="shared" ca="1" si="2"/>
        <v>280.05</v>
      </c>
      <c r="C9" s="786"/>
      <c r="D9" s="786"/>
      <c r="E9" s="787"/>
      <c r="F9" s="783"/>
      <c r="G9" s="784">
        <f t="shared" ca="1" si="0"/>
        <v>280.05</v>
      </c>
      <c r="I9" s="779"/>
      <c r="J9" s="780">
        <f t="shared" ca="1" si="3"/>
        <v>252.18</v>
      </c>
      <c r="K9" s="786"/>
      <c r="L9" s="786"/>
      <c r="M9" s="787"/>
      <c r="N9" s="783"/>
      <c r="O9" s="784">
        <f t="shared" ca="1" si="1"/>
        <v>252.18</v>
      </c>
      <c r="Q9" s="1433"/>
    </row>
    <row r="10" spans="1:17" ht="15.75" customHeight="1">
      <c r="A10" s="779"/>
      <c r="B10" s="780">
        <f t="shared" ca="1" si="2"/>
        <v>280.05</v>
      </c>
      <c r="C10" s="788"/>
      <c r="D10" s="786"/>
      <c r="E10" s="787"/>
      <c r="F10" s="783"/>
      <c r="G10" s="784">
        <f t="shared" ca="1" si="0"/>
        <v>280.05</v>
      </c>
      <c r="I10" s="779"/>
      <c r="J10" s="780">
        <f t="shared" ca="1" si="3"/>
        <v>252.18</v>
      </c>
      <c r="K10" s="786"/>
      <c r="L10" s="786"/>
      <c r="M10" s="787"/>
      <c r="N10" s="783"/>
      <c r="O10" s="784">
        <f t="shared" ca="1" si="1"/>
        <v>252.18</v>
      </c>
      <c r="Q10" s="1433"/>
    </row>
    <row r="11" spans="1:17" ht="18.75" customHeight="1">
      <c r="A11" s="789" t="s">
        <v>740</v>
      </c>
      <c r="B11" s="790">
        <f ca="1">G10-G12</f>
        <v>280.05</v>
      </c>
      <c r="C11" s="786"/>
      <c r="D11" s="786"/>
      <c r="E11" s="787"/>
      <c r="F11" s="786"/>
      <c r="G11" s="791"/>
      <c r="I11" s="789" t="s">
        <v>740</v>
      </c>
      <c r="J11" s="790">
        <f ca="1">O10-O12</f>
        <v>252.18</v>
      </c>
      <c r="K11" s="786"/>
      <c r="L11" s="786"/>
      <c r="M11" s="787"/>
      <c r="N11" s="786"/>
      <c r="O11" s="791"/>
      <c r="Q11" s="792">
        <f ca="1">SUM(Q2:Q5)</f>
        <v>2287</v>
      </c>
    </row>
    <row r="12" spans="1:17" ht="19.5" customHeight="1">
      <c r="A12" s="793" t="s">
        <v>257</v>
      </c>
      <c r="B12" s="794"/>
      <c r="C12" s="794">
        <f ca="1">SUM(C3:C10)</f>
        <v>0</v>
      </c>
      <c r="D12" s="794">
        <f ca="1">SUM(D3:D10)</f>
        <v>0</v>
      </c>
      <c r="E12" s="794">
        <f ca="1">SUM(E3:E10)</f>
        <v>0</v>
      </c>
      <c r="F12" s="794">
        <f ca="1">SUM(F3:F11)</f>
        <v>0</v>
      </c>
      <c r="G12" s="795">
        <f>SUMIF(H30:H60, A1, G30:G60)</f>
        <v>0</v>
      </c>
      <c r="I12" s="793" t="s">
        <v>257</v>
      </c>
      <c r="J12" s="794"/>
      <c r="K12" s="794">
        <f ca="1">SUM(K3:K10)</f>
        <v>0</v>
      </c>
      <c r="L12" s="794">
        <f ca="1">SUM(L3:L10)</f>
        <v>0</v>
      </c>
      <c r="M12" s="794">
        <f ca="1">SUM(M3:M10)</f>
        <v>0</v>
      </c>
      <c r="N12" s="794">
        <f ca="1">SUM(N3:N11)</f>
        <v>0</v>
      </c>
      <c r="O12" s="795">
        <f>SUMIF(H30:H60, I1, G30:G60)</f>
        <v>0</v>
      </c>
      <c r="Q12" s="1434" t="s">
        <v>741</v>
      </c>
    </row>
    <row r="13" spans="1:17" ht="15.75" customHeight="1">
      <c r="Q13" s="1434"/>
    </row>
    <row r="14" spans="1:17" ht="24" customHeight="1">
      <c r="A14" s="1432" t="s">
        <v>737</v>
      </c>
      <c r="B14" s="1432"/>
      <c r="C14" s="1432"/>
      <c r="D14" s="1432"/>
      <c r="E14" s="1432"/>
      <c r="F14" s="1432"/>
      <c r="G14" s="1432"/>
      <c r="I14" s="1432" t="s">
        <v>738</v>
      </c>
      <c r="J14" s="1432"/>
      <c r="K14" s="1432"/>
      <c r="L14" s="1432"/>
      <c r="M14" s="1432"/>
      <c r="N14" s="1432"/>
      <c r="O14" s="1432"/>
      <c r="Q14" s="792">
        <f ca="1">'FC Report'!I9+'FC Report'!I12+'FC Report'!I14-('RM Report'!O35+'RM Report'!P35)</f>
        <v>693.98900000000003</v>
      </c>
    </row>
    <row r="15" spans="1:17" ht="18.75" customHeight="1">
      <c r="A15" s="776" t="s">
        <v>26</v>
      </c>
      <c r="B15" s="313" t="s">
        <v>86</v>
      </c>
      <c r="C15" s="313" t="s">
        <v>733</v>
      </c>
      <c r="D15" s="313" t="s">
        <v>734</v>
      </c>
      <c r="E15" s="313" t="s">
        <v>248</v>
      </c>
      <c r="F15" s="313" t="s">
        <v>735</v>
      </c>
      <c r="G15" s="314" t="s">
        <v>736</v>
      </c>
      <c r="I15" s="776" t="s">
        <v>26</v>
      </c>
      <c r="J15" s="313" t="s">
        <v>86</v>
      </c>
      <c r="K15" s="313" t="s">
        <v>733</v>
      </c>
      <c r="L15" s="313" t="s">
        <v>734</v>
      </c>
      <c r="M15" s="313" t="s">
        <v>248</v>
      </c>
      <c r="N15" s="313" t="s">
        <v>735</v>
      </c>
      <c r="O15" s="314" t="s">
        <v>736</v>
      </c>
      <c r="Q15" s="792" t="s">
        <v>742</v>
      </c>
    </row>
    <row r="16" spans="1:17" ht="19.5" customHeight="1">
      <c r="A16" s="779">
        <f t="array" ref="A16">IFERROR(_xlfn._xlws.FILTER(A30:A60, F30:F60 = A14), "")</f>
        <v>45933</v>
      </c>
      <c r="B16" s="780">
        <v>1537.77</v>
      </c>
      <c r="C16" s="780">
        <f t="array" aca="1" ref="C16" ca="1">IFERROR(_xlfn._xlws.FILTER(B30:B60, F30:F60 = A14), "")</f>
        <v>0</v>
      </c>
      <c r="D16" s="780">
        <f t="array" aca="1" ref="D16" ca="1">IFERROR(_xlfn._xlws.FILTER(E30:E60, F30:F60 = A14), "")</f>
        <v>0</v>
      </c>
      <c r="E16" s="782">
        <f t="array" aca="1" ref="E16" ca="1">IFERROR(_xlfn._xlws.FILTER(D30:D60, F30:F60 = A14), "")</f>
        <v>0</v>
      </c>
      <c r="F16" s="783">
        <f t="array" aca="1" ref="F16" ca="1">IFERROR(_xlfn._xlws.FILTER(C30:C60, F30:F60 = A14), "")</f>
        <v>0</v>
      </c>
      <c r="G16" s="784">
        <f t="shared" ref="G16:G23" ca="1" si="4">IFERROR(B16+C16+D16+E16,0)</f>
        <v>1537.77</v>
      </c>
      <c r="I16" s="779">
        <f t="array" ref="I16">IFERROR(_xlfn._xlws.FILTER(A30:A60, F30:F60 = I14), "")</f>
        <v>45934</v>
      </c>
      <c r="J16" s="780">
        <v>217</v>
      </c>
      <c r="K16" s="780">
        <f t="array" aca="1" ref="K16" ca="1">IFERROR(_xlfn._xlws.FILTER(B30:B60, F30:F60 = I14), "")</f>
        <v>0</v>
      </c>
      <c r="L16" s="780">
        <f t="array" aca="1" ref="L16" ca="1">IFERROR(_xlfn._xlws.FILTER(E30:E60, F30:F60 = I14), "")</f>
        <v>0</v>
      </c>
      <c r="M16" s="782">
        <f t="array" aca="1" ref="M16" ca="1">IFERROR(_xlfn._xlws.FILTER(D30:D60, F30:F60 = I14), "")</f>
        <v>0</v>
      </c>
      <c r="N16" s="783">
        <f t="array" aca="1" ref="N16" ca="1">IFERROR(_xlfn._xlws.FILTER(C30:C60, F30:F60 = I14), "")</f>
        <v>0</v>
      </c>
      <c r="O16" s="784">
        <f t="shared" ref="O16:O23" ca="1" si="5">IFERROR(J16+K16+L16+M16,0)</f>
        <v>217</v>
      </c>
      <c r="Q16" s="796">
        <f ca="1">Q11-Q14</f>
        <v>1593.011</v>
      </c>
    </row>
    <row r="17" spans="1:15" ht="15.75" customHeight="1">
      <c r="A17" s="779"/>
      <c r="B17" s="780">
        <f t="shared" ref="B17:B23" ca="1" si="6">G16</f>
        <v>1537.77</v>
      </c>
      <c r="C17" s="780"/>
      <c r="D17" s="780"/>
      <c r="E17" s="782"/>
      <c r="F17" s="783"/>
      <c r="G17" s="784">
        <f t="shared" ca="1" si="4"/>
        <v>1537.77</v>
      </c>
      <c r="I17" s="779"/>
      <c r="J17" s="780">
        <f t="shared" ref="J17:J23" ca="1" si="7">O16</f>
        <v>217</v>
      </c>
      <c r="K17" s="780"/>
      <c r="L17" s="780"/>
      <c r="M17" s="782"/>
      <c r="N17" s="783"/>
      <c r="O17" s="784">
        <f t="shared" ca="1" si="5"/>
        <v>217</v>
      </c>
    </row>
    <row r="18" spans="1:15" ht="15.75" customHeight="1">
      <c r="A18" s="779"/>
      <c r="B18" s="780">
        <f t="shared" ca="1" si="6"/>
        <v>1537.77</v>
      </c>
      <c r="C18" s="780"/>
      <c r="D18" s="780"/>
      <c r="E18" s="782"/>
      <c r="F18" s="783"/>
      <c r="G18" s="784">
        <f t="shared" ca="1" si="4"/>
        <v>1537.77</v>
      </c>
      <c r="I18" s="779"/>
      <c r="J18" s="780">
        <f t="shared" ca="1" si="7"/>
        <v>217</v>
      </c>
      <c r="K18" s="780"/>
      <c r="L18" s="780"/>
      <c r="M18" s="782"/>
      <c r="N18" s="783"/>
      <c r="O18" s="784">
        <f t="shared" ca="1" si="5"/>
        <v>217</v>
      </c>
    </row>
    <row r="19" spans="1:15" ht="15.75" customHeight="1">
      <c r="A19" s="779"/>
      <c r="B19" s="780">
        <f t="shared" ca="1" si="6"/>
        <v>1537.77</v>
      </c>
      <c r="C19" s="780"/>
      <c r="D19" s="780"/>
      <c r="E19" s="782"/>
      <c r="F19" s="783"/>
      <c r="G19" s="784">
        <f t="shared" ca="1" si="4"/>
        <v>1537.77</v>
      </c>
      <c r="I19" s="785"/>
      <c r="J19" s="780">
        <f t="shared" ca="1" si="7"/>
        <v>217</v>
      </c>
      <c r="K19" s="780"/>
      <c r="L19" s="780"/>
      <c r="M19" s="782"/>
      <c r="N19" s="783"/>
      <c r="O19" s="784">
        <f t="shared" ca="1" si="5"/>
        <v>217</v>
      </c>
    </row>
    <row r="20" spans="1:15" ht="15.75" customHeight="1">
      <c r="A20" s="779"/>
      <c r="B20" s="780">
        <f t="shared" ca="1" si="6"/>
        <v>1537.77</v>
      </c>
      <c r="C20" s="786"/>
      <c r="D20" s="786"/>
      <c r="E20" s="787"/>
      <c r="F20" s="783"/>
      <c r="G20" s="784">
        <f t="shared" ca="1" si="4"/>
        <v>1537.77</v>
      </c>
      <c r="I20" s="779"/>
      <c r="J20" s="780">
        <f t="shared" ca="1" si="7"/>
        <v>217</v>
      </c>
      <c r="K20" s="786"/>
      <c r="L20" s="786"/>
      <c r="M20" s="787"/>
      <c r="N20" s="783"/>
      <c r="O20" s="784">
        <f t="shared" ca="1" si="5"/>
        <v>217</v>
      </c>
    </row>
    <row r="21" spans="1:15" ht="15.75" customHeight="1">
      <c r="A21" s="779"/>
      <c r="B21" s="780">
        <f t="shared" ca="1" si="6"/>
        <v>1537.77</v>
      </c>
      <c r="C21" s="786"/>
      <c r="D21" s="786"/>
      <c r="E21" s="787"/>
      <c r="F21" s="783"/>
      <c r="G21" s="784">
        <f t="shared" ca="1" si="4"/>
        <v>1537.77</v>
      </c>
      <c r="I21" s="779"/>
      <c r="J21" s="780">
        <f t="shared" ca="1" si="7"/>
        <v>217</v>
      </c>
      <c r="K21" s="786"/>
      <c r="L21" s="786"/>
      <c r="M21" s="787"/>
      <c r="N21" s="783"/>
      <c r="O21" s="784">
        <f t="shared" ca="1" si="5"/>
        <v>217</v>
      </c>
    </row>
    <row r="22" spans="1:15" ht="15.75" customHeight="1">
      <c r="A22" s="779"/>
      <c r="B22" s="780">
        <f t="shared" ca="1" si="6"/>
        <v>1537.77</v>
      </c>
      <c r="C22" s="786"/>
      <c r="D22" s="786"/>
      <c r="E22" s="787"/>
      <c r="F22" s="783"/>
      <c r="G22" s="784">
        <f t="shared" ca="1" si="4"/>
        <v>1537.77</v>
      </c>
      <c r="I22" s="779"/>
      <c r="J22" s="780">
        <f t="shared" ca="1" si="7"/>
        <v>217</v>
      </c>
      <c r="K22" s="786"/>
      <c r="L22" s="786"/>
      <c r="M22" s="787"/>
      <c r="N22" s="783"/>
      <c r="O22" s="784">
        <f t="shared" ca="1" si="5"/>
        <v>217</v>
      </c>
    </row>
    <row r="23" spans="1:15" ht="15.75" customHeight="1">
      <c r="A23" s="779"/>
      <c r="B23" s="780">
        <f t="shared" ca="1" si="6"/>
        <v>1537.77</v>
      </c>
      <c r="C23" s="786"/>
      <c r="D23" s="786"/>
      <c r="E23" s="787"/>
      <c r="F23" s="783"/>
      <c r="G23" s="784">
        <f t="shared" ca="1" si="4"/>
        <v>1537.77</v>
      </c>
      <c r="I23" s="779"/>
      <c r="J23" s="780">
        <f t="shared" ca="1" si="7"/>
        <v>217</v>
      </c>
      <c r="K23" s="786"/>
      <c r="L23" s="786"/>
      <c r="M23" s="787"/>
      <c r="N23" s="783"/>
      <c r="O23" s="784">
        <f t="shared" ca="1" si="5"/>
        <v>217</v>
      </c>
    </row>
    <row r="24" spans="1:15" ht="15.75" customHeight="1">
      <c r="A24" s="789" t="s">
        <v>740</v>
      </c>
      <c r="B24" s="790">
        <f ca="1">G23-G25</f>
        <v>1537.77</v>
      </c>
      <c r="C24" s="786"/>
      <c r="D24" s="786"/>
      <c r="E24" s="787"/>
      <c r="F24" s="786"/>
      <c r="G24" s="791"/>
      <c r="I24" s="789" t="s">
        <v>740</v>
      </c>
      <c r="J24" s="790">
        <f ca="1">O23-O25</f>
        <v>217</v>
      </c>
      <c r="K24" s="786"/>
      <c r="L24" s="786"/>
      <c r="M24" s="787"/>
      <c r="N24" s="786"/>
      <c r="O24" s="791"/>
    </row>
    <row r="25" spans="1:15" ht="16.5" customHeight="1">
      <c r="A25" s="793" t="s">
        <v>257</v>
      </c>
      <c r="B25" s="794"/>
      <c r="C25" s="794">
        <f ca="1">SUM(C16:C23)</f>
        <v>0</v>
      </c>
      <c r="D25" s="794">
        <f ca="1">SUM(D16:D23)</f>
        <v>0</v>
      </c>
      <c r="E25" s="794">
        <f ca="1">SUM(E16:E23)</f>
        <v>0</v>
      </c>
      <c r="F25" s="794">
        <f ca="1">SUM(F16:F24)</f>
        <v>0</v>
      </c>
      <c r="G25" s="795">
        <f>SUMIF(H30:H60, A14, G30:G60)</f>
        <v>0</v>
      </c>
      <c r="I25" s="793" t="s">
        <v>257</v>
      </c>
      <c r="J25" s="794"/>
      <c r="K25" s="794">
        <f ca="1">SUM(K16:K23)</f>
        <v>0</v>
      </c>
      <c r="L25" s="794">
        <f ca="1">SUM(L16:L23)</f>
        <v>0</v>
      </c>
      <c r="M25" s="794"/>
      <c r="N25" s="794">
        <f ca="1">SUM(N16:N24)</f>
        <v>0</v>
      </c>
      <c r="O25" s="795">
        <f>SUMIF(H30:H60, I14, G30:G60)</f>
        <v>0</v>
      </c>
    </row>
    <row r="28" spans="1:15" ht="15.75" customHeight="1"/>
    <row r="29" spans="1:15" ht="31.5" customHeight="1">
      <c r="A29" s="797" t="s">
        <v>26</v>
      </c>
      <c r="B29" s="798" t="s">
        <v>743</v>
      </c>
      <c r="C29" s="798" t="s">
        <v>343</v>
      </c>
      <c r="D29" s="798" t="s">
        <v>248</v>
      </c>
      <c r="E29" s="799" t="s">
        <v>744</v>
      </c>
      <c r="F29" s="799" t="s">
        <v>745</v>
      </c>
      <c r="G29" s="799" t="s">
        <v>336</v>
      </c>
      <c r="H29" s="800" t="s">
        <v>745</v>
      </c>
    </row>
    <row r="30" spans="1:15" ht="15" customHeight="1">
      <c r="A30" s="801">
        <v>45931</v>
      </c>
      <c r="B30" s="282">
        <f ca="1">'RM Report'!N2</f>
        <v>0</v>
      </c>
      <c r="C30" s="282">
        <f ca="1">'RM Report'!Q2</f>
        <v>0</v>
      </c>
      <c r="D30" s="282">
        <f ca="1">'RM Report'!O2</f>
        <v>0</v>
      </c>
      <c r="E30" s="282">
        <f ca="1">'RM Report'!P2</f>
        <v>0</v>
      </c>
      <c r="F30" s="206" t="s">
        <v>731</v>
      </c>
      <c r="G30" s="282"/>
      <c r="H30" s="369"/>
    </row>
    <row r="31" spans="1:15" ht="15" customHeight="1">
      <c r="A31" s="801">
        <v>45932</v>
      </c>
      <c r="B31" s="282">
        <f ca="1">'RM Report'!N3</f>
        <v>0</v>
      </c>
      <c r="C31" s="282">
        <f ca="1">'RM Report'!Q3</f>
        <v>0</v>
      </c>
      <c r="D31" s="282">
        <f ca="1">'RM Report'!O3</f>
        <v>0</v>
      </c>
      <c r="E31" s="282">
        <f ca="1">'RM Report'!P3</f>
        <v>0</v>
      </c>
      <c r="F31" s="206" t="s">
        <v>732</v>
      </c>
      <c r="G31" s="282"/>
      <c r="H31" s="369"/>
    </row>
    <row r="32" spans="1:15" ht="15" customHeight="1">
      <c r="A32" s="801">
        <v>45933</v>
      </c>
      <c r="B32" s="282">
        <f ca="1">'RM Report'!N4</f>
        <v>0</v>
      </c>
      <c r="C32" s="282">
        <f ca="1">'RM Report'!Q4</f>
        <v>0</v>
      </c>
      <c r="D32" s="282">
        <f ca="1">'RM Report'!O4</f>
        <v>0</v>
      </c>
      <c r="E32" s="282">
        <f ca="1">'RM Report'!P4</f>
        <v>0</v>
      </c>
      <c r="F32" s="206" t="s">
        <v>737</v>
      </c>
      <c r="G32" s="282"/>
      <c r="H32" s="369"/>
    </row>
    <row r="33" spans="1:8" ht="15" customHeight="1">
      <c r="A33" s="801">
        <v>45934</v>
      </c>
      <c r="B33" s="282">
        <f ca="1">'RM Report'!N5</f>
        <v>0</v>
      </c>
      <c r="C33" s="282">
        <f ca="1">'RM Report'!Q5</f>
        <v>0</v>
      </c>
      <c r="D33" s="282">
        <f ca="1">'RM Report'!O5</f>
        <v>0</v>
      </c>
      <c r="E33" s="282">
        <f ca="1">'RM Report'!P5</f>
        <v>0</v>
      </c>
      <c r="F33" s="206" t="s">
        <v>738</v>
      </c>
      <c r="G33" s="282"/>
      <c r="H33" s="369"/>
    </row>
    <row r="34" spans="1:8" ht="15" customHeight="1">
      <c r="A34" s="801">
        <v>45935</v>
      </c>
      <c r="B34" s="282">
        <f ca="1">'RM Report'!N6</f>
        <v>0</v>
      </c>
      <c r="C34" s="282">
        <f ca="1">'RM Report'!Q6</f>
        <v>0</v>
      </c>
      <c r="D34" s="282">
        <f ca="1">'RM Report'!O6</f>
        <v>0</v>
      </c>
      <c r="E34" s="282">
        <f ca="1">'RM Report'!P6</f>
        <v>0</v>
      </c>
      <c r="F34" s="206"/>
      <c r="G34" s="282"/>
      <c r="H34" s="369"/>
    </row>
    <row r="35" spans="1:8" ht="15" customHeight="1">
      <c r="A35" s="801">
        <v>45936</v>
      </c>
      <c r="B35" s="282">
        <f ca="1">'RM Report'!N7</f>
        <v>0</v>
      </c>
      <c r="C35" s="282">
        <f ca="1">'RM Report'!Q7</f>
        <v>0</v>
      </c>
      <c r="D35" s="282">
        <f ca="1">'RM Report'!O7</f>
        <v>0</v>
      </c>
      <c r="E35" s="282">
        <f ca="1">'RM Report'!P7</f>
        <v>0</v>
      </c>
      <c r="F35" s="206"/>
      <c r="G35" s="282"/>
      <c r="H35" s="369"/>
    </row>
    <row r="36" spans="1:8" ht="15" customHeight="1">
      <c r="A36" s="801">
        <v>45937</v>
      </c>
      <c r="B36" s="282">
        <f ca="1">'RM Report'!N8</f>
        <v>0</v>
      </c>
      <c r="C36" s="282">
        <f ca="1">'RM Report'!Q8</f>
        <v>0</v>
      </c>
      <c r="D36" s="282">
        <f ca="1">'RM Report'!O8</f>
        <v>0</v>
      </c>
      <c r="E36" s="282">
        <f ca="1">'RM Report'!P8</f>
        <v>0</v>
      </c>
      <c r="F36" s="206"/>
      <c r="G36" s="282"/>
      <c r="H36" s="369"/>
    </row>
    <row r="37" spans="1:8" ht="15" customHeight="1">
      <c r="A37" s="801">
        <v>45938</v>
      </c>
      <c r="B37" s="282">
        <f ca="1">'RM Report'!N9</f>
        <v>0</v>
      </c>
      <c r="C37" s="282">
        <f ca="1">'RM Report'!Q9</f>
        <v>0</v>
      </c>
      <c r="D37" s="282">
        <f ca="1">'RM Report'!O9</f>
        <v>0</v>
      </c>
      <c r="E37" s="282">
        <f ca="1">'RM Report'!P9</f>
        <v>0</v>
      </c>
      <c r="F37" s="206"/>
      <c r="G37" s="282"/>
      <c r="H37" s="369"/>
    </row>
    <row r="38" spans="1:8" ht="15" customHeight="1">
      <c r="A38" s="801">
        <v>45939</v>
      </c>
      <c r="B38" s="282">
        <f ca="1">'RM Report'!N10</f>
        <v>0</v>
      </c>
      <c r="C38" s="282">
        <f ca="1">'RM Report'!Q10</f>
        <v>0</v>
      </c>
      <c r="D38" s="282">
        <f ca="1">'RM Report'!O10</f>
        <v>0</v>
      </c>
      <c r="E38" s="282">
        <f ca="1">'RM Report'!P10</f>
        <v>0</v>
      </c>
      <c r="F38" s="206"/>
      <c r="G38" s="282"/>
      <c r="H38" s="369"/>
    </row>
    <row r="39" spans="1:8" ht="15" customHeight="1">
      <c r="A39" s="801">
        <v>45940</v>
      </c>
      <c r="B39" s="282">
        <f ca="1">'RM Report'!N11</f>
        <v>0</v>
      </c>
      <c r="C39" s="282">
        <f ca="1">'RM Report'!Q11</f>
        <v>0</v>
      </c>
      <c r="D39" s="282">
        <f ca="1">'RM Report'!O11</f>
        <v>0</v>
      </c>
      <c r="E39" s="282">
        <f ca="1">'RM Report'!P11</f>
        <v>0</v>
      </c>
      <c r="F39" s="206"/>
      <c r="G39" s="282"/>
      <c r="H39" s="369"/>
    </row>
    <row r="40" spans="1:8" ht="15" customHeight="1">
      <c r="A40" s="801">
        <v>45941</v>
      </c>
      <c r="B40" s="282">
        <f ca="1">'RM Report'!N12</f>
        <v>0</v>
      </c>
      <c r="C40" s="282">
        <f ca="1">'RM Report'!Q12</f>
        <v>0</v>
      </c>
      <c r="D40" s="282">
        <f ca="1">'RM Report'!O12</f>
        <v>0</v>
      </c>
      <c r="E40" s="282">
        <f ca="1">'RM Report'!P12</f>
        <v>0</v>
      </c>
      <c r="F40" s="206"/>
      <c r="G40" s="282"/>
      <c r="H40" s="369"/>
    </row>
    <row r="41" spans="1:8" ht="15" customHeight="1">
      <c r="A41" s="801">
        <v>45942</v>
      </c>
      <c r="B41" s="282">
        <f ca="1">'RM Report'!N13</f>
        <v>0</v>
      </c>
      <c r="C41" s="282">
        <f ca="1">'RM Report'!Q13</f>
        <v>0</v>
      </c>
      <c r="D41" s="282">
        <f ca="1">'RM Report'!O13</f>
        <v>0</v>
      </c>
      <c r="E41" s="282">
        <f ca="1">'RM Report'!P13</f>
        <v>0</v>
      </c>
      <c r="F41" s="206"/>
      <c r="G41" s="282"/>
      <c r="H41" s="369"/>
    </row>
    <row r="42" spans="1:8" ht="15" customHeight="1">
      <c r="A42" s="801">
        <v>45943</v>
      </c>
      <c r="B42" s="282">
        <f ca="1">'RM Report'!N14</f>
        <v>0</v>
      </c>
      <c r="C42" s="282">
        <f ca="1">'RM Report'!Q14</f>
        <v>0</v>
      </c>
      <c r="D42" s="282">
        <f ca="1">'RM Report'!O14</f>
        <v>0</v>
      </c>
      <c r="E42" s="282">
        <f ca="1">'RM Report'!P14</f>
        <v>0</v>
      </c>
      <c r="F42" s="206"/>
      <c r="G42" s="282"/>
      <c r="H42" s="369"/>
    </row>
    <row r="43" spans="1:8" ht="15" customHeight="1">
      <c r="A43" s="801">
        <v>45944</v>
      </c>
      <c r="B43" s="282">
        <f ca="1">'RM Report'!N15</f>
        <v>0</v>
      </c>
      <c r="C43" s="282">
        <f ca="1">'RM Report'!Q15</f>
        <v>0</v>
      </c>
      <c r="D43" s="282">
        <f ca="1">'RM Report'!O15</f>
        <v>0</v>
      </c>
      <c r="E43" s="282">
        <f ca="1">'RM Report'!P15</f>
        <v>0</v>
      </c>
      <c r="F43" s="206"/>
      <c r="G43" s="282"/>
      <c r="H43" s="369"/>
    </row>
    <row r="44" spans="1:8" ht="15" customHeight="1">
      <c r="A44" s="801">
        <v>45945</v>
      </c>
      <c r="B44" s="282">
        <f ca="1">'RM Report'!N16</f>
        <v>0</v>
      </c>
      <c r="C44" s="282">
        <f ca="1">'RM Report'!Q16</f>
        <v>0</v>
      </c>
      <c r="D44" s="282">
        <f ca="1">'RM Report'!O16</f>
        <v>0</v>
      </c>
      <c r="E44" s="282">
        <f ca="1">'RM Report'!P16</f>
        <v>0</v>
      </c>
      <c r="F44" s="206"/>
      <c r="G44" s="282"/>
      <c r="H44" s="369"/>
    </row>
    <row r="45" spans="1:8" ht="15" customHeight="1">
      <c r="A45" s="801">
        <v>45946</v>
      </c>
      <c r="B45" s="282">
        <f ca="1">'RM Report'!N17</f>
        <v>0</v>
      </c>
      <c r="C45" s="282">
        <f ca="1">'RM Report'!Q17</f>
        <v>0</v>
      </c>
      <c r="D45" s="282">
        <f ca="1">'RM Report'!O17</f>
        <v>0</v>
      </c>
      <c r="E45" s="282">
        <f ca="1">'RM Report'!P17</f>
        <v>0</v>
      </c>
      <c r="F45" s="206"/>
      <c r="G45" s="282"/>
      <c r="H45" s="369"/>
    </row>
    <row r="46" spans="1:8" ht="15" customHeight="1">
      <c r="A46" s="801">
        <v>45947</v>
      </c>
      <c r="B46" s="282">
        <f ca="1">'RM Report'!N18</f>
        <v>0</v>
      </c>
      <c r="C46" s="282">
        <f ca="1">'RM Report'!Q18</f>
        <v>0</v>
      </c>
      <c r="D46" s="282">
        <f ca="1">'RM Report'!O18</f>
        <v>0</v>
      </c>
      <c r="E46" s="282">
        <f ca="1">'RM Report'!P18</f>
        <v>0</v>
      </c>
      <c r="F46" s="206"/>
      <c r="G46" s="282"/>
      <c r="H46" s="369"/>
    </row>
    <row r="47" spans="1:8" ht="15" customHeight="1">
      <c r="A47" s="801">
        <v>45948</v>
      </c>
      <c r="B47" s="282">
        <f ca="1">'RM Report'!N19</f>
        <v>0</v>
      </c>
      <c r="C47" s="282">
        <f ca="1">'RM Report'!Q19</f>
        <v>0</v>
      </c>
      <c r="D47" s="282">
        <f ca="1">'RM Report'!O19</f>
        <v>0</v>
      </c>
      <c r="E47" s="282">
        <f ca="1">'RM Report'!P19</f>
        <v>0</v>
      </c>
      <c r="F47" s="206"/>
      <c r="G47" s="282"/>
      <c r="H47" s="369"/>
    </row>
    <row r="48" spans="1:8" ht="15" customHeight="1">
      <c r="A48" s="801">
        <v>45949</v>
      </c>
      <c r="B48" s="282">
        <f ca="1">'RM Report'!N20</f>
        <v>0</v>
      </c>
      <c r="C48" s="282">
        <f ca="1">'RM Report'!Q20</f>
        <v>0</v>
      </c>
      <c r="D48" s="282">
        <f ca="1">'RM Report'!O20</f>
        <v>0</v>
      </c>
      <c r="E48" s="282">
        <f ca="1">'RM Report'!P20</f>
        <v>0</v>
      </c>
      <c r="F48" s="206"/>
      <c r="G48" s="282"/>
      <c r="H48" s="369"/>
    </row>
    <row r="49" spans="1:8" ht="15" customHeight="1">
      <c r="A49" s="801">
        <v>45950</v>
      </c>
      <c r="B49" s="282">
        <f ca="1">'RM Report'!N21</f>
        <v>0</v>
      </c>
      <c r="C49" s="282">
        <f ca="1">'RM Report'!Q21</f>
        <v>0</v>
      </c>
      <c r="D49" s="282">
        <f ca="1">'RM Report'!O21</f>
        <v>0</v>
      </c>
      <c r="E49" s="282">
        <f ca="1">'RM Report'!P21</f>
        <v>0</v>
      </c>
      <c r="F49" s="206"/>
      <c r="G49" s="282"/>
      <c r="H49" s="369"/>
    </row>
    <row r="50" spans="1:8" ht="15" customHeight="1">
      <c r="A50" s="801">
        <v>45951</v>
      </c>
      <c r="B50" s="282">
        <f ca="1">'RM Report'!N22</f>
        <v>0</v>
      </c>
      <c r="C50" s="282">
        <f ca="1">'RM Report'!Q22</f>
        <v>0</v>
      </c>
      <c r="D50" s="282">
        <f ca="1">'RM Report'!O22</f>
        <v>0</v>
      </c>
      <c r="E50" s="282">
        <f ca="1">'RM Report'!P22</f>
        <v>0</v>
      </c>
      <c r="F50" s="206"/>
      <c r="G50" s="282"/>
      <c r="H50" s="369"/>
    </row>
    <row r="51" spans="1:8" ht="15" customHeight="1">
      <c r="A51" s="801">
        <v>45952</v>
      </c>
      <c r="B51" s="282">
        <f ca="1">'RM Report'!N23</f>
        <v>0</v>
      </c>
      <c r="C51" s="282">
        <f ca="1">'RM Report'!Q23</f>
        <v>0</v>
      </c>
      <c r="D51" s="282">
        <f ca="1">'RM Report'!O23</f>
        <v>0</v>
      </c>
      <c r="E51" s="282">
        <f ca="1">'RM Report'!P23</f>
        <v>0</v>
      </c>
      <c r="F51" s="206"/>
      <c r="G51" s="282"/>
      <c r="H51" s="369"/>
    </row>
    <row r="52" spans="1:8" ht="15" customHeight="1">
      <c r="A52" s="801">
        <v>45953</v>
      </c>
      <c r="B52" s="282">
        <f ca="1">'RM Report'!N24</f>
        <v>0</v>
      </c>
      <c r="C52" s="282">
        <f ca="1">'RM Report'!Q24</f>
        <v>0</v>
      </c>
      <c r="D52" s="282">
        <f ca="1">'RM Report'!O24</f>
        <v>0</v>
      </c>
      <c r="E52" s="282">
        <f ca="1">'RM Report'!P24</f>
        <v>0</v>
      </c>
      <c r="F52" s="206"/>
      <c r="G52" s="282"/>
      <c r="H52" s="369"/>
    </row>
    <row r="53" spans="1:8" ht="15" customHeight="1">
      <c r="A53" s="801">
        <v>45954</v>
      </c>
      <c r="B53" s="282">
        <f ca="1">'RM Report'!N25</f>
        <v>0</v>
      </c>
      <c r="C53" s="282">
        <f ca="1">'RM Report'!Q25</f>
        <v>0</v>
      </c>
      <c r="D53" s="282">
        <f ca="1">'RM Report'!O25</f>
        <v>0</v>
      </c>
      <c r="E53" s="282">
        <f ca="1">'RM Report'!P25</f>
        <v>0</v>
      </c>
      <c r="F53" s="206"/>
      <c r="G53" s="282"/>
      <c r="H53" s="369"/>
    </row>
    <row r="54" spans="1:8" ht="15" customHeight="1">
      <c r="A54" s="801">
        <v>45955</v>
      </c>
      <c r="B54" s="282">
        <f ca="1">'RM Report'!N26</f>
        <v>0</v>
      </c>
      <c r="C54" s="282">
        <f ca="1">'RM Report'!Q26</f>
        <v>0</v>
      </c>
      <c r="D54" s="282">
        <f ca="1">'RM Report'!O26</f>
        <v>0</v>
      </c>
      <c r="E54" s="282">
        <f ca="1">'RM Report'!P26</f>
        <v>0</v>
      </c>
      <c r="F54" s="206"/>
      <c r="G54" s="282"/>
      <c r="H54" s="369"/>
    </row>
    <row r="55" spans="1:8" ht="15" customHeight="1">
      <c r="A55" s="801">
        <v>45956</v>
      </c>
      <c r="B55" s="282">
        <f ca="1">'RM Report'!N27</f>
        <v>0</v>
      </c>
      <c r="C55" s="282">
        <f ca="1">'RM Report'!Q27</f>
        <v>0</v>
      </c>
      <c r="D55" s="282">
        <f ca="1">'RM Report'!O27</f>
        <v>0</v>
      </c>
      <c r="E55" s="282">
        <f ca="1">'RM Report'!P27</f>
        <v>0</v>
      </c>
      <c r="F55" s="206"/>
      <c r="G55" s="282"/>
      <c r="H55" s="369"/>
    </row>
    <row r="56" spans="1:8" ht="15" customHeight="1">
      <c r="A56" s="801">
        <v>45957</v>
      </c>
      <c r="B56" s="282">
        <f ca="1">'RM Report'!N28</f>
        <v>0</v>
      </c>
      <c r="C56" s="282">
        <f ca="1">'RM Report'!Q28</f>
        <v>0</v>
      </c>
      <c r="D56" s="282">
        <f ca="1">'RM Report'!O28</f>
        <v>0</v>
      </c>
      <c r="E56" s="282">
        <f ca="1">'RM Report'!P28</f>
        <v>0</v>
      </c>
      <c r="F56" s="206"/>
      <c r="G56" s="282"/>
      <c r="H56" s="369"/>
    </row>
    <row r="57" spans="1:8" ht="15" customHeight="1">
      <c r="A57" s="801">
        <v>45958</v>
      </c>
      <c r="B57" s="282">
        <f ca="1">'RM Report'!N29</f>
        <v>0</v>
      </c>
      <c r="C57" s="282">
        <f ca="1">'RM Report'!Q29</f>
        <v>0</v>
      </c>
      <c r="D57" s="282">
        <f ca="1">'RM Report'!O29</f>
        <v>0</v>
      </c>
      <c r="E57" s="282">
        <f ca="1">'RM Report'!P29</f>
        <v>0</v>
      </c>
      <c r="F57" s="206"/>
      <c r="G57" s="282"/>
      <c r="H57" s="369"/>
    </row>
    <row r="58" spans="1:8" ht="15" customHeight="1">
      <c r="A58" s="801">
        <v>45959</v>
      </c>
      <c r="B58" s="282">
        <f ca="1">'RM Report'!N30</f>
        <v>0</v>
      </c>
      <c r="C58" s="282">
        <f ca="1">'RM Report'!Q30</f>
        <v>0</v>
      </c>
      <c r="D58" s="282">
        <f ca="1">'RM Report'!O30</f>
        <v>0</v>
      </c>
      <c r="E58" s="282">
        <f ca="1">'RM Report'!P30</f>
        <v>0</v>
      </c>
      <c r="F58" s="206"/>
      <c r="G58" s="282"/>
      <c r="H58" s="369"/>
    </row>
    <row r="59" spans="1:8" ht="15" customHeight="1">
      <c r="A59" s="801">
        <v>45960</v>
      </c>
      <c r="B59" s="282">
        <f ca="1">'RM Report'!N31</f>
        <v>0</v>
      </c>
      <c r="C59" s="282">
        <f ca="1">'RM Report'!Q31</f>
        <v>0</v>
      </c>
      <c r="D59" s="282">
        <f ca="1">'RM Report'!O31</f>
        <v>0</v>
      </c>
      <c r="E59" s="282">
        <f ca="1">'RM Report'!P31</f>
        <v>0</v>
      </c>
      <c r="F59" s="206"/>
      <c r="G59" s="282"/>
      <c r="H59" s="369"/>
    </row>
    <row r="60" spans="1:8" ht="15.75" customHeight="1">
      <c r="A60" s="802">
        <v>45961</v>
      </c>
      <c r="B60" s="376">
        <f ca="1">'RM Report'!N32</f>
        <v>0</v>
      </c>
      <c r="C60" s="376">
        <f ca="1">'RM Report'!Q32</f>
        <v>0</v>
      </c>
      <c r="D60" s="376">
        <f ca="1">'RM Report'!O32</f>
        <v>0</v>
      </c>
      <c r="E60" s="376">
        <f ca="1">'RM Report'!P32</f>
        <v>0</v>
      </c>
      <c r="F60" s="245"/>
      <c r="G60" s="245"/>
      <c r="H60" s="803"/>
    </row>
  </sheetData>
  <mergeCells count="6">
    <mergeCell ref="A1:G1"/>
    <mergeCell ref="I1:O1"/>
    <mergeCell ref="Q8:Q10"/>
    <mergeCell ref="Q12:Q13"/>
    <mergeCell ref="A14:G14"/>
    <mergeCell ref="I14:O14"/>
  </mergeCells>
  <conditionalFormatting sqref="B30:H60">
    <cfRule type="cellIs" dxfId="1119" priority="2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AF992"/>
  <sheetViews>
    <sheetView zoomScale="90" zoomScaleNormal="90" workbookViewId="0">
      <selection activeCell="S7" sqref="S7"/>
    </sheetView>
  </sheetViews>
  <sheetFormatPr defaultColWidth="8.7109375" defaultRowHeight="15" customHeight="1"/>
  <cols>
    <col min="1" max="1" width="7.140625" customWidth="1"/>
    <col min="2" max="2" width="7.5703125" customWidth="1"/>
    <col min="3" max="3" width="10.7109375" customWidth="1"/>
    <col min="4" max="4" width="15" customWidth="1"/>
    <col min="5" max="5" width="9.5703125" customWidth="1"/>
    <col min="6" max="6" width="6.42578125" customWidth="1"/>
    <col min="7" max="7" width="7.5703125" customWidth="1"/>
    <col min="8" max="9" width="7.42578125" customWidth="1"/>
    <col min="10" max="10" width="6.42578125" customWidth="1"/>
    <col min="11" max="11" width="6.7109375" customWidth="1"/>
    <col min="12" max="12" width="10" customWidth="1"/>
    <col min="13" max="13" width="7.85546875" customWidth="1"/>
    <col min="14" max="14" width="9.7109375" customWidth="1"/>
    <col min="15" max="15" width="9.28515625" customWidth="1"/>
    <col min="16" max="16" width="8.42578125" customWidth="1"/>
    <col min="17" max="17" width="13.85546875" customWidth="1"/>
    <col min="18" max="18" width="24.5703125" style="379" customWidth="1"/>
    <col min="19" max="19" width="23.140625" customWidth="1"/>
    <col min="20" max="20" width="12" customWidth="1"/>
    <col min="22" max="22" width="12.140625" style="804" customWidth="1"/>
    <col min="23" max="23" width="8.140625" customWidth="1"/>
    <col min="24" max="26" width="4.5703125" style="181" customWidth="1"/>
    <col min="27" max="28" width="6" style="160" customWidth="1"/>
    <col min="29" max="29" width="4.42578125" style="293" customWidth="1"/>
    <col min="30" max="30" width="9.140625" style="160" customWidth="1"/>
    <col min="32" max="32" width="11.5703125" style="160" hidden="1" customWidth="1"/>
  </cols>
  <sheetData>
    <row r="1" spans="1:32" ht="28.5" customHeight="1">
      <c r="A1" s="1436" t="s">
        <v>746</v>
      </c>
      <c r="B1" s="1436"/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1436"/>
      <c r="T1" s="1436"/>
      <c r="U1" s="515"/>
      <c r="V1" s="805"/>
    </row>
    <row r="2" spans="1:32" ht="15" customHeight="1">
      <c r="A2" s="1437" t="s">
        <v>747</v>
      </c>
      <c r="B2" s="1437"/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7"/>
      <c r="R2" s="1437"/>
      <c r="S2" s="1437"/>
      <c r="T2" s="1437"/>
      <c r="U2" s="806"/>
      <c r="V2" s="807"/>
    </row>
    <row r="3" spans="1:32" ht="15" customHeight="1">
      <c r="A3" s="1438" t="str">
        <f>"DATE OF MANUFACTURING : " &amp; TEXT(V7, "DD-MM-YYYY")</f>
        <v>DATE OF MANUFACTURING : 01-10-2026</v>
      </c>
      <c r="B3" s="1438"/>
      <c r="C3" s="1438"/>
      <c r="D3" s="1438"/>
      <c r="E3" s="1438"/>
      <c r="F3" s="1438"/>
      <c r="G3" s="1438"/>
      <c r="H3" s="1438"/>
      <c r="I3" s="1438"/>
      <c r="J3" s="1438"/>
      <c r="K3" s="1438"/>
      <c r="L3" s="1438"/>
      <c r="M3" s="1438"/>
      <c r="N3" s="1437" t="s">
        <v>748</v>
      </c>
      <c r="O3" s="1437"/>
      <c r="P3" s="1437"/>
      <c r="Q3" s="1437"/>
      <c r="R3" s="1437"/>
      <c r="S3" s="1437"/>
      <c r="T3" s="1437"/>
      <c r="U3" s="808"/>
      <c r="V3" s="809"/>
    </row>
    <row r="4" spans="1:32" ht="29.25" customHeight="1">
      <c r="A4" s="1439" t="s">
        <v>749</v>
      </c>
      <c r="B4" s="1440" t="s">
        <v>750</v>
      </c>
      <c r="C4" s="1440"/>
      <c r="D4" s="1440" t="s">
        <v>751</v>
      </c>
      <c r="E4" s="1441" t="s">
        <v>752</v>
      </c>
      <c r="F4" s="1442" t="s">
        <v>753</v>
      </c>
      <c r="G4" s="1442"/>
      <c r="H4" s="1442"/>
      <c r="I4" s="1442"/>
      <c r="J4" s="1442"/>
      <c r="K4" s="1442"/>
      <c r="L4" s="1442"/>
      <c r="M4" s="1442"/>
      <c r="N4" s="1442" t="s">
        <v>754</v>
      </c>
      <c r="O4" s="1442"/>
      <c r="P4" s="1442"/>
      <c r="Q4" s="1442"/>
      <c r="R4" s="1445" t="s">
        <v>755</v>
      </c>
      <c r="S4" s="1441" t="s">
        <v>756</v>
      </c>
      <c r="T4" s="1440" t="s">
        <v>104</v>
      </c>
      <c r="U4" s="810"/>
      <c r="V4" s="811"/>
    </row>
    <row r="5" spans="1:32" ht="42.75" customHeight="1">
      <c r="A5" s="1439"/>
      <c r="B5" s="1440"/>
      <c r="C5" s="1440"/>
      <c r="D5" s="1440"/>
      <c r="E5" s="1440"/>
      <c r="F5" s="812" t="s">
        <v>40</v>
      </c>
      <c r="G5" s="812" t="s">
        <v>757</v>
      </c>
      <c r="H5" s="813" t="s">
        <v>758</v>
      </c>
      <c r="I5" s="812" t="s">
        <v>43</v>
      </c>
      <c r="J5" s="812" t="s">
        <v>42</v>
      </c>
      <c r="K5" s="812" t="s">
        <v>759</v>
      </c>
      <c r="L5" s="812" t="s">
        <v>760</v>
      </c>
      <c r="M5" s="812" t="s">
        <v>761</v>
      </c>
      <c r="N5" s="814" t="s">
        <v>762</v>
      </c>
      <c r="O5" s="815" t="s">
        <v>763</v>
      </c>
      <c r="P5" s="816"/>
      <c r="Q5" s="817" t="s">
        <v>764</v>
      </c>
      <c r="R5" s="1445"/>
      <c r="S5" s="1441"/>
      <c r="T5" s="1441"/>
      <c r="U5" s="810"/>
      <c r="V5" s="811"/>
    </row>
    <row r="6" spans="1:32" ht="15" customHeight="1">
      <c r="A6" s="1435">
        <v>1</v>
      </c>
      <c r="B6" s="818" t="str">
        <f>W7</f>
        <v>1.10.1</v>
      </c>
      <c r="C6" s="819" t="s">
        <v>765</v>
      </c>
      <c r="D6" s="820"/>
      <c r="E6" s="821"/>
      <c r="F6" s="821">
        <f ca="1">F7 + (RAND() * 0.02 - 0.01)</f>
        <v>1.2046772091041033E-3</v>
      </c>
      <c r="G6" s="821">
        <f ca="1">G7 + (RAND() * 0.06 - 0.03)</f>
        <v>0.51747700108521255</v>
      </c>
      <c r="H6" s="822">
        <f ca="1">H7 + (RAND() * 0.006 - 0.003)</f>
        <v>2.7165105381432176E-3</v>
      </c>
      <c r="I6" s="822">
        <f ca="1">I7 + (RAND() * 0.006 - 0.003)</f>
        <v>2.5133116719654718E-3</v>
      </c>
      <c r="J6" s="821">
        <f ca="1">J7 + (RAND() * 0.02 - 0.01)</f>
        <v>6.1443336439477528E-3</v>
      </c>
      <c r="K6" s="821"/>
      <c r="L6" s="822"/>
      <c r="M6" s="821"/>
      <c r="N6" s="823"/>
      <c r="O6" s="823"/>
      <c r="P6" s="823"/>
      <c r="Q6" s="823"/>
      <c r="R6" s="824"/>
      <c r="S6" s="821"/>
      <c r="T6" s="821"/>
      <c r="U6" s="825"/>
      <c r="V6" s="826"/>
      <c r="AD6" s="160" t="s">
        <v>766</v>
      </c>
      <c r="AE6" t="s">
        <v>767</v>
      </c>
      <c r="AF6" s="160" t="s">
        <v>766</v>
      </c>
    </row>
    <row r="7" spans="1:32" ht="15" customHeight="1">
      <c r="A7" s="1435"/>
      <c r="B7" s="827" t="str">
        <f>B6</f>
        <v>1.10.1</v>
      </c>
      <c r="C7" s="828" t="s">
        <v>768</v>
      </c>
      <c r="D7" s="829" t="str">
        <f>IF(AC7=130, "130 × 130", IF(AC7=160, "160 × 160", IF(AC7=110, "110 × 110", "Value not 130, 160, or 110")))</f>
        <v>Value not 130, 160, or 110</v>
      </c>
      <c r="E7" s="830" t="str">
        <f>AD7</f>
        <v/>
      </c>
      <c r="F7" s="831">
        <f ca="1">IF(X7 &gt; 0.1, RAND() * (0.1 - 0.06) + 0.06, X7)</f>
        <v>0</v>
      </c>
      <c r="G7" s="831">
        <f ca="1">IF(Y7 &lt; 0.5, 0.5 + RAND() * 0.1, Y7)</f>
        <v>0.52336332227983817</v>
      </c>
      <c r="H7" s="830">
        <f ca="1">IF(AB7&gt;0.04, 0.029 + (0.039-0.029)*RAND(), AB7)</f>
        <v>0</v>
      </c>
      <c r="I7" s="830">
        <f ca="1">IF(AA7&gt;0.04, 0.029 + (0.039-0.029)*RAND(), AA7)</f>
        <v>0</v>
      </c>
      <c r="J7" s="831">
        <f ca="1">IF(Z7&gt;0.15, 0.11 + (0.15-0.11) * RAND(), Z7)</f>
        <v>0</v>
      </c>
      <c r="K7" s="830">
        <f ca="1">0.004 + (RAND() * (0.001 - 0.004))</f>
        <v>3.2389195232862744E-3</v>
      </c>
      <c r="L7" s="830">
        <f ca="1">H7+I7</f>
        <v>0</v>
      </c>
      <c r="M7" s="831">
        <f ca="1">(G7/6)+F7</f>
        <v>8.7227220379973033E-2</v>
      </c>
      <c r="N7" s="831">
        <f ca="1">2 + RAND()</f>
        <v>2.9335455449968397</v>
      </c>
      <c r="O7" s="831">
        <f ca="1">1 + RAND()</f>
        <v>1.3741118700109425</v>
      </c>
      <c r="P7" s="831">
        <f ca="1">2.98 + (RAND() * (3.03 - 2.98))</f>
        <v>3.0030371716499298</v>
      </c>
      <c r="Q7" s="832" t="str">
        <f ca="1">IF(D7="130 × 130", (130 + RANDBETWEEN(-1,1)) &amp; " × " &amp; (130 + RANDBETWEEN(-1,1)),
   IF(D7="160 × 160", (160 + RANDBETWEEN(-1,1)) &amp; " × " &amp; (160 + RANDBETWEEN(-1,1)),
   IF(D7="110 × 110", (110 + RANDBETWEEN(-1,1)) &amp; " × " &amp; (110 + RANDBETWEEN(-1,1)),
   "Value not matched")))</f>
        <v>Value not matched</v>
      </c>
      <c r="R7" s="833" t="s">
        <v>213</v>
      </c>
      <c r="S7" s="834" t="str">
        <f ca="1">IF(G7&lt;0.6, "IS 14650 CPS 10748/GR2", "IS 14650 CPS 10748/GR3")</f>
        <v>IS 14650 CPS 10748/GR2</v>
      </c>
      <c r="T7" s="831" t="s">
        <v>769</v>
      </c>
      <c r="U7" s="825"/>
      <c r="V7" s="835">
        <f>Prod.!A4</f>
        <v>46296</v>
      </c>
      <c r="W7" s="206" t="str">
        <f>Prod.!B4</f>
        <v>1.10.1</v>
      </c>
      <c r="X7" s="469">
        <f>Prod.!C4</f>
        <v>0</v>
      </c>
      <c r="Y7" s="469">
        <f>Prod.!D4</f>
        <v>0</v>
      </c>
      <c r="Z7" s="469">
        <f>Prod.!E4</f>
        <v>0</v>
      </c>
      <c r="AA7" s="282">
        <f>Prod.!F4</f>
        <v>0</v>
      </c>
      <c r="AB7" s="282">
        <f>Prod.!G4</f>
        <v>0</v>
      </c>
      <c r="AC7" s="836">
        <f>Prod.!H4</f>
        <v>0</v>
      </c>
      <c r="AD7" s="282" t="str">
        <f>Prod.!AB4</f>
        <v/>
      </c>
      <c r="AE7" s="282" t="e">
        <f>AD7-AF7</f>
        <v>#VALUE!</v>
      </c>
      <c r="AF7" s="282" t="str">
        <f>Prod.!AA4</f>
        <v/>
      </c>
    </row>
    <row r="8" spans="1:32" ht="15" customHeight="1">
      <c r="A8" s="1435">
        <v>2</v>
      </c>
      <c r="B8" s="818" t="str">
        <f>W9</f>
        <v>1.10.2</v>
      </c>
      <c r="C8" s="819" t="s">
        <v>765</v>
      </c>
      <c r="D8" s="822"/>
      <c r="E8" s="822"/>
      <c r="F8" s="821">
        <f ca="1">F9 + (RAND() * 0.02 - 0.01)</f>
        <v>-5.5053498235837833E-3</v>
      </c>
      <c r="G8" s="821">
        <f ca="1">G9 + (RAND() * 0.06 - 0.03)</f>
        <v>0.59209411597898165</v>
      </c>
      <c r="H8" s="822">
        <f ca="1">H9 + (RAND() * 0.006 - 0.003)</f>
        <v>-1.4085845697624372E-3</v>
      </c>
      <c r="I8" s="822">
        <f ca="1">I9 + (RAND() * 0.006 - 0.003)</f>
        <v>-1.5051351142332612E-4</v>
      </c>
      <c r="J8" s="821">
        <f ca="1">J9 + (RAND() * 0.02 - 0.01)</f>
        <v>5.0441283547668463E-3</v>
      </c>
      <c r="K8" s="821"/>
      <c r="L8" s="822"/>
      <c r="M8" s="821"/>
      <c r="N8" s="823"/>
      <c r="O8" s="823"/>
      <c r="P8" s="823"/>
      <c r="Q8" s="823"/>
      <c r="R8" s="837"/>
      <c r="S8" s="821"/>
      <c r="T8" s="838"/>
      <c r="U8" s="825"/>
      <c r="V8" s="826"/>
    </row>
    <row r="9" spans="1:32" ht="15" customHeight="1">
      <c r="A9" s="1435"/>
      <c r="B9" s="827" t="str">
        <f>B8</f>
        <v>1.10.2</v>
      </c>
      <c r="C9" s="828" t="s">
        <v>768</v>
      </c>
      <c r="D9" s="829" t="str">
        <f>IF(AC9=130, "130 × 130", IF(AC9=160, "160 × 160", IF(AC9=110, "110 × 110", "Value not 130, 160, or 110")))</f>
        <v>Value not 130, 160, or 110</v>
      </c>
      <c r="E9" s="830" t="str">
        <f>AD9</f>
        <v/>
      </c>
      <c r="F9" s="831">
        <f ca="1">IF(X9 &gt; 0.1, RAND() * (0.1 - 0.06) + 0.06, X9)</f>
        <v>0</v>
      </c>
      <c r="G9" s="831">
        <f ca="1">IF(Y9 &lt; 0.5, 0.5 + RAND() * 0.1, Y9)</f>
        <v>0.58961179218921045</v>
      </c>
      <c r="H9" s="830">
        <f ca="1">IF(AB9&gt;0.04, 0.029 + (0.039-0.029)*RAND(), AB9)</f>
        <v>0</v>
      </c>
      <c r="I9" s="830">
        <f ca="1">IF(AA9&gt;0.04, 0.029 + (0.039-0.029)*RAND(), AA9)</f>
        <v>0</v>
      </c>
      <c r="J9" s="831">
        <f ca="1">IF(Z9&gt;0.15, 0.11 + (0.15-0.11) * RAND(), Z9)</f>
        <v>0</v>
      </c>
      <c r="K9" s="830">
        <f ca="1">0.004 + (RAND() * (0.001 - 0.004))</f>
        <v>1.9774984925180236E-3</v>
      </c>
      <c r="L9" s="830">
        <f ca="1">H9+I9</f>
        <v>0</v>
      </c>
      <c r="M9" s="831">
        <f ca="1">(G9/6)+F9</f>
        <v>9.8268632031535075E-2</v>
      </c>
      <c r="N9" s="831">
        <f ca="1">2 + RAND()</f>
        <v>2.7023652574292965</v>
      </c>
      <c r="O9" s="831">
        <f ca="1">1 + RAND()</f>
        <v>1.144019648479524</v>
      </c>
      <c r="P9" s="831">
        <f ca="1">2.98 + (RAND() * (3.03 - 2.98))</f>
        <v>2.9906911481407743</v>
      </c>
      <c r="Q9" s="832" t="str">
        <f ca="1">IF(D9="130 × 130", (130 + RANDBETWEEN(-1,1)) &amp; " × " &amp; (130 + RANDBETWEEN(-1,1)),
   IF(D9="160 × 160", (160 + RANDBETWEEN(-1,1)) &amp; " × " &amp; (160 + RANDBETWEEN(-1,1)),
   IF(D9="110 × 110", (110 + RANDBETWEEN(-1,1)) &amp; " × " &amp; (110 + RANDBETWEEN(-1,1)),
   "Value not matched")))</f>
        <v>Value not matched</v>
      </c>
      <c r="R9" s="833" t="s">
        <v>213</v>
      </c>
      <c r="S9" s="834" t="str">
        <f ca="1">IF(G9&lt;0.6, "IS 14650 CPS 10748/GR2", "IS 14650 CPS 10748/GR3")</f>
        <v>IS 14650 CPS 10748/GR2</v>
      </c>
      <c r="T9" s="831" t="s">
        <v>769</v>
      </c>
      <c r="U9" s="825"/>
      <c r="V9" s="826"/>
      <c r="W9" s="206" t="str">
        <f>Prod.!B5</f>
        <v>1.10.2</v>
      </c>
      <c r="X9" s="469">
        <f>Prod.!C5</f>
        <v>0</v>
      </c>
      <c r="Y9" s="469">
        <f>Prod.!D5</f>
        <v>0</v>
      </c>
      <c r="Z9" s="469">
        <f>Prod.!E5</f>
        <v>0</v>
      </c>
      <c r="AA9" s="282">
        <f>Prod.!F5</f>
        <v>0</v>
      </c>
      <c r="AB9" s="282">
        <f>Prod.!G5</f>
        <v>0</v>
      </c>
      <c r="AC9" s="836">
        <f>Prod.!H5</f>
        <v>0</v>
      </c>
      <c r="AD9" s="282" t="str">
        <f>Prod.!AB5</f>
        <v/>
      </c>
      <c r="AE9" s="282" t="e">
        <f>AD9-AF9</f>
        <v>#VALUE!</v>
      </c>
      <c r="AF9" s="282" t="str">
        <f>Prod.!AA5</f>
        <v/>
      </c>
    </row>
    <row r="10" spans="1:32" ht="15" customHeight="1">
      <c r="A10" s="1435">
        <v>3</v>
      </c>
      <c r="B10" s="818" t="str">
        <f>W11</f>
        <v>1.10.3</v>
      </c>
      <c r="C10" s="819" t="s">
        <v>765</v>
      </c>
      <c r="D10" s="822"/>
      <c r="E10" s="822"/>
      <c r="F10" s="821">
        <f ca="1">F11 + (RAND() * 0.02 - 0.01)</f>
        <v>-1.1895254355883851E-3</v>
      </c>
      <c r="G10" s="821">
        <f ca="1">G11 + (RAND() * 0.06 - 0.03)</f>
        <v>0.52402760981438989</v>
      </c>
      <c r="H10" s="822">
        <f ca="1">H11 + (RAND() * 0.006 - 0.003)</f>
        <v>-1.3737070577022831E-3</v>
      </c>
      <c r="I10" s="822">
        <f ca="1">I11 + (RAND() * 0.006 - 0.003)</f>
        <v>4.8621126226310735E-4</v>
      </c>
      <c r="J10" s="821">
        <f ca="1">J11 + (RAND() * 0.02 - 0.01)</f>
        <v>3.4043678521931131E-3</v>
      </c>
      <c r="K10" s="821"/>
      <c r="L10" s="822"/>
      <c r="M10" s="821"/>
      <c r="N10" s="823"/>
      <c r="O10" s="823"/>
      <c r="P10" s="823"/>
      <c r="Q10" s="823"/>
      <c r="R10" s="839"/>
      <c r="S10" s="821"/>
      <c r="T10" s="821"/>
      <c r="U10" s="825"/>
      <c r="V10" s="826"/>
    </row>
    <row r="11" spans="1:32" ht="15" customHeight="1">
      <c r="A11" s="1435"/>
      <c r="B11" s="827" t="str">
        <f>B10</f>
        <v>1.10.3</v>
      </c>
      <c r="C11" s="828" t="s">
        <v>768</v>
      </c>
      <c r="D11" s="829" t="str">
        <f>IF(AC11=130, "130 × 130", IF(AC11=160, "160 × 160", IF(AC11=110, "110 × 110", "Value not 130, 160, or 110")))</f>
        <v>Value not 130, 160, or 110</v>
      </c>
      <c r="E11" s="830" t="str">
        <f>AD11</f>
        <v/>
      </c>
      <c r="F11" s="831">
        <f ca="1">IF(X11 &gt; 0.1, RAND() * (0.1 - 0.06) + 0.06, X11)</f>
        <v>0</v>
      </c>
      <c r="G11" s="831">
        <f ca="1">IF(Y11 &lt; 0.5, 0.5 + RAND() * 0.1, Y11)</f>
        <v>0.53023535836016167</v>
      </c>
      <c r="H11" s="830">
        <f ca="1">IF(AB11&gt;0.04, 0.029 + (0.039-0.029)*RAND(), AB11)</f>
        <v>0</v>
      </c>
      <c r="I11" s="830">
        <f ca="1">IF(AA11&gt;0.04, 0.029 + (0.039-0.029)*RAND(), AA11)</f>
        <v>0</v>
      </c>
      <c r="J11" s="831">
        <f ca="1">IF(Z11&gt;0.15, 0.11 + (0.15-0.11) * RAND(), Z11)</f>
        <v>0</v>
      </c>
      <c r="K11" s="830">
        <f ca="1">0.004 + (RAND() * (0.001 - 0.004))</f>
        <v>3.8848052409594705E-3</v>
      </c>
      <c r="L11" s="830">
        <f ca="1">H11+I11</f>
        <v>0</v>
      </c>
      <c r="M11" s="831">
        <f ca="1">(G11/6)+F11</f>
        <v>8.8372559726693611E-2</v>
      </c>
      <c r="N11" s="831">
        <f ca="1">2 + RAND()</f>
        <v>2.4067079146407422</v>
      </c>
      <c r="O11" s="831">
        <f ca="1">1 + RAND()</f>
        <v>1.0700827451854444</v>
      </c>
      <c r="P11" s="831">
        <f ca="1">2.98 + (RAND() * (3.03 - 2.98))</f>
        <v>3.012606396129252</v>
      </c>
      <c r="Q11" s="832" t="str">
        <f ca="1">IF(D11="130 × 130", (130 + RANDBETWEEN(-1,1)) &amp; " × " &amp; (130 + RANDBETWEEN(-1,1)),
   IF(D11="160 × 160", (160 + RANDBETWEEN(-1,1)) &amp; " × " &amp; (160 + RANDBETWEEN(-1,1)),
   IF(D11="110 × 110", (110 + RANDBETWEEN(-1,1)) &amp; " × " &amp; (110 + RANDBETWEEN(-1,1)),
   "Value not matched")))</f>
        <v>Value not matched</v>
      </c>
      <c r="R11" s="833" t="s">
        <v>213</v>
      </c>
      <c r="S11" s="834" t="str">
        <f ca="1">IF(G11&lt;0.6, "IS 14650 CPS 10748/GR2", "IS 14650 CPS 10748/GR3")</f>
        <v>IS 14650 CPS 10748/GR2</v>
      </c>
      <c r="T11" s="831" t="s">
        <v>769</v>
      </c>
      <c r="U11" s="825"/>
      <c r="V11" s="826"/>
      <c r="W11" s="206" t="str">
        <f>Prod.!B6</f>
        <v>1.10.3</v>
      </c>
      <c r="X11" s="469">
        <f>Prod.!C6</f>
        <v>0</v>
      </c>
      <c r="Y11" s="469">
        <f>Prod.!D6</f>
        <v>0</v>
      </c>
      <c r="Z11" s="469">
        <f>Prod.!E6</f>
        <v>0</v>
      </c>
      <c r="AA11" s="282">
        <f>Prod.!F6</f>
        <v>0</v>
      </c>
      <c r="AB11" s="282">
        <f>Prod.!G6</f>
        <v>0</v>
      </c>
      <c r="AC11" s="836">
        <f>Prod.!H6</f>
        <v>0</v>
      </c>
      <c r="AD11" s="282" t="str">
        <f>Prod.!AB6</f>
        <v/>
      </c>
      <c r="AE11" s="282" t="e">
        <f>AD11-AF11</f>
        <v>#VALUE!</v>
      </c>
      <c r="AF11" s="282" t="str">
        <f>Prod.!AA6</f>
        <v/>
      </c>
    </row>
    <row r="12" spans="1:32" ht="15" customHeight="1">
      <c r="A12" s="1435">
        <v>4</v>
      </c>
      <c r="B12" s="818" t="str">
        <f>W13</f>
        <v>1.10.4</v>
      </c>
      <c r="C12" s="819" t="s">
        <v>765</v>
      </c>
      <c r="D12" s="822"/>
      <c r="E12" s="822"/>
      <c r="F12" s="821">
        <f ca="1">F13 + (RAND() * 0.02 - 0.01)</f>
        <v>-6.5020589279358365E-3</v>
      </c>
      <c r="G12" s="821">
        <f ca="1">G13 + (RAND() * 0.06 - 0.03)</f>
        <v>0.53733214064586143</v>
      </c>
      <c r="H12" s="822">
        <f ca="1">H13 + (RAND() * 0.006 - 0.003)</f>
        <v>-1.611400201561498E-3</v>
      </c>
      <c r="I12" s="822">
        <f ca="1">I13 + (RAND() * 0.006 - 0.003)</f>
        <v>-2.2167553900200505E-3</v>
      </c>
      <c r="J12" s="821">
        <f ca="1">J13 + (RAND() * 0.02 - 0.01)</f>
        <v>-3.6204707676089458E-3</v>
      </c>
      <c r="K12" s="821"/>
      <c r="L12" s="822"/>
      <c r="M12" s="821"/>
      <c r="N12" s="823"/>
      <c r="O12" s="823"/>
      <c r="P12" s="823"/>
      <c r="Q12" s="823"/>
      <c r="R12" s="839"/>
      <c r="S12" s="821"/>
      <c r="T12" s="821"/>
      <c r="U12" s="825"/>
      <c r="V12" s="826"/>
    </row>
    <row r="13" spans="1:32" ht="15" customHeight="1">
      <c r="A13" s="1435"/>
      <c r="B13" s="827" t="str">
        <f>B12</f>
        <v>1.10.4</v>
      </c>
      <c r="C13" s="828" t="s">
        <v>768</v>
      </c>
      <c r="D13" s="829" t="str">
        <f>IF(AC13=130, "130 × 130", IF(AC13=160, "160 × 160", IF(AC13=110, "110 × 110", "Value not 130, 160, or 110")))</f>
        <v>Value not 130, 160, or 110</v>
      </c>
      <c r="E13" s="830" t="str">
        <f>AD13</f>
        <v/>
      </c>
      <c r="F13" s="831">
        <f ca="1">IF(X13 &gt; 0.1, RAND() * (0.1 - 0.06) + 0.06, X13)</f>
        <v>0</v>
      </c>
      <c r="G13" s="831">
        <f ca="1">IF(Y13 &lt; 0.5, 0.5 + RAND() * 0.1, Y13)</f>
        <v>0.53589503202683564</v>
      </c>
      <c r="H13" s="830">
        <f ca="1">IF(AB13&gt;0.04, 0.029 + (0.039-0.029)*RAND(), AB13)</f>
        <v>0</v>
      </c>
      <c r="I13" s="830">
        <f ca="1">IF(AA13&gt;0.04, 0.029 + (0.039-0.029)*RAND(), AA13)</f>
        <v>0</v>
      </c>
      <c r="J13" s="831">
        <f ca="1">IF(Z13&gt;0.15, 0.11 + (0.15-0.11) * RAND(), Z13)</f>
        <v>0</v>
      </c>
      <c r="K13" s="830">
        <f ca="1">0.004 + (RAND() * (0.001 - 0.004))</f>
        <v>2.9411665991486906E-3</v>
      </c>
      <c r="L13" s="830">
        <f ca="1">H13+I13</f>
        <v>0</v>
      </c>
      <c r="M13" s="831">
        <f ca="1">(G13/6)+F13</f>
        <v>8.9315838671139278E-2</v>
      </c>
      <c r="N13" s="831">
        <f ca="1">2 + RAND()</f>
        <v>2.2629586759711922</v>
      </c>
      <c r="O13" s="831">
        <f ca="1">1 + RAND()</f>
        <v>1.2707874364998042</v>
      </c>
      <c r="P13" s="831">
        <f ca="1">2.98 + (RAND() * (3.03 - 2.98))</f>
        <v>3.0296622386880476</v>
      </c>
      <c r="Q13" s="832" t="str">
        <f ca="1">IF(D13="130 × 130", (130 + RANDBETWEEN(-1,1)) &amp; " × " &amp; (130 + RANDBETWEEN(-1,1)),
   IF(D13="160 × 160", (160 + RANDBETWEEN(-1,1)) &amp; " × " &amp; (160 + RANDBETWEEN(-1,1)),
   IF(D13="110 × 110", (110 + RANDBETWEEN(-1,1)) &amp; " × " &amp; (110 + RANDBETWEEN(-1,1)),
   "Value not matched")))</f>
        <v>Value not matched</v>
      </c>
      <c r="R13" s="833" t="s">
        <v>213</v>
      </c>
      <c r="S13" s="834" t="str">
        <f ca="1">IF(G13&lt;0.6, "IS 14650 CPS 10748/GR2", "IS 14650 CPS 10748/GR3")</f>
        <v>IS 14650 CPS 10748/GR2</v>
      </c>
      <c r="T13" s="831" t="s">
        <v>769</v>
      </c>
      <c r="U13" s="825"/>
      <c r="V13" s="826"/>
      <c r="W13" s="206" t="str">
        <f>Prod.!B7</f>
        <v>1.10.4</v>
      </c>
      <c r="X13" s="469">
        <f>Prod.!C7</f>
        <v>0</v>
      </c>
      <c r="Y13" s="469">
        <f>Prod.!D7</f>
        <v>0</v>
      </c>
      <c r="Z13" s="469">
        <f>Prod.!E7</f>
        <v>0</v>
      </c>
      <c r="AA13" s="282">
        <f>Prod.!F7</f>
        <v>0</v>
      </c>
      <c r="AB13" s="282">
        <f>Prod.!G7</f>
        <v>0</v>
      </c>
      <c r="AC13" s="836">
        <f>Prod.!H7</f>
        <v>0</v>
      </c>
      <c r="AD13" s="282" t="str">
        <f>Prod.!AB7</f>
        <v/>
      </c>
      <c r="AE13" s="282" t="e">
        <f>AD13-AF13</f>
        <v>#VALUE!</v>
      </c>
      <c r="AF13" s="282" t="str">
        <f>Prod.!AA7</f>
        <v/>
      </c>
    </row>
    <row r="14" spans="1:32" ht="15" customHeight="1">
      <c r="A14" s="1435">
        <v>5</v>
      </c>
      <c r="B14" s="818" t="str">
        <f>W15</f>
        <v>1.10.5</v>
      </c>
      <c r="C14" s="819" t="s">
        <v>765</v>
      </c>
      <c r="D14" s="822"/>
      <c r="E14" s="822"/>
      <c r="F14" s="821">
        <f ca="1">F15 + (RAND() * 0.02 - 0.01)</f>
        <v>8.5567626639506938E-3</v>
      </c>
      <c r="G14" s="821">
        <f ca="1">G15 + (RAND() * 0.06 - 0.03)</f>
        <v>0.54527450479226325</v>
      </c>
      <c r="H14" s="822">
        <f ca="1">H15 + (RAND() * 0.006 - 0.003)</f>
        <v>2.3040885120676922E-3</v>
      </c>
      <c r="I14" s="822">
        <f ca="1">I15 + (RAND() * 0.006 - 0.003)</f>
        <v>-5.5550269463003864E-4</v>
      </c>
      <c r="J14" s="821">
        <f ca="1">J15 + (RAND() * 0.02 - 0.01)</f>
        <v>-7.7437615796851697E-4</v>
      </c>
      <c r="K14" s="821"/>
      <c r="L14" s="822"/>
      <c r="M14" s="821"/>
      <c r="N14" s="823"/>
      <c r="O14" s="823"/>
      <c r="P14" s="823"/>
      <c r="Q14" s="823"/>
      <c r="R14" s="839"/>
      <c r="S14" s="821"/>
      <c r="T14" s="821"/>
      <c r="U14" s="825"/>
      <c r="V14" s="826"/>
    </row>
    <row r="15" spans="1:32" ht="15" customHeight="1">
      <c r="A15" s="1435"/>
      <c r="B15" s="827" t="str">
        <f>B14</f>
        <v>1.10.5</v>
      </c>
      <c r="C15" s="828" t="s">
        <v>768</v>
      </c>
      <c r="D15" s="829" t="str">
        <f>IF(AC15=130, "130 × 130", IF(AC15=160, "160 × 160", IF(AC15=110, "110 × 110", "Value not 130, 160, or 110")))</f>
        <v>Value not 130, 160, or 110</v>
      </c>
      <c r="E15" s="830" t="str">
        <f>AD15</f>
        <v/>
      </c>
      <c r="F15" s="831">
        <f ca="1">IF(X15 &gt; 0.1, RAND() * (0.1 - 0.06) + 0.06, X15)</f>
        <v>0</v>
      </c>
      <c r="G15" s="831">
        <f ca="1">IF(Y15 &lt; 0.5, 0.5 + RAND() * 0.1, Y15)</f>
        <v>0.57101756075791643</v>
      </c>
      <c r="H15" s="830">
        <f ca="1">IF(AB15&gt;0.04, 0.029 + (0.039-0.029)*RAND(), AB15)</f>
        <v>0</v>
      </c>
      <c r="I15" s="830">
        <f ca="1">IF(AA15&gt;0.04, 0.029 + (0.039-0.029)*RAND(), AA15)</f>
        <v>0</v>
      </c>
      <c r="J15" s="831">
        <f ca="1">IF(Z15&gt;0.15, 0.11 + (0.15-0.11) * RAND(), Z15)</f>
        <v>0</v>
      </c>
      <c r="K15" s="830">
        <f ca="1">0.004 + (RAND() * (0.001 - 0.004))</f>
        <v>3.2704512018490745E-3</v>
      </c>
      <c r="L15" s="830">
        <f ca="1">H15+I15</f>
        <v>0</v>
      </c>
      <c r="M15" s="831">
        <f ca="1">(G15/6)+F15</f>
        <v>9.5169593459652743E-2</v>
      </c>
      <c r="N15" s="831">
        <f ca="1">2 + RAND()</f>
        <v>2.0778269043022393</v>
      </c>
      <c r="O15" s="831">
        <f ca="1">1 + RAND()</f>
        <v>1.8370780223836356</v>
      </c>
      <c r="P15" s="831">
        <f ca="1">2.98 + (RAND() * (3.03 - 2.98))</f>
        <v>3.0149895415313361</v>
      </c>
      <c r="Q15" s="832" t="str">
        <f ca="1">IF(D15="130 × 130", (130 + RANDBETWEEN(-1,1)) &amp; " × " &amp; (130 + RANDBETWEEN(-1,1)),
   IF(D15="160 × 160", (160 + RANDBETWEEN(-1,1)) &amp; " × " &amp; (160 + RANDBETWEEN(-1,1)),
   IF(D15="110 × 110", (110 + RANDBETWEEN(-1,1)) &amp; " × " &amp; (110 + RANDBETWEEN(-1,1)),
   "Value not matched")))</f>
        <v>Value not matched</v>
      </c>
      <c r="R15" s="833" t="s">
        <v>213</v>
      </c>
      <c r="S15" s="834" t="str">
        <f ca="1">IF(G15&lt;0.6, "IS 14650 CPS 10748/GR2", "IS 14650 CPS 10748/GR3")</f>
        <v>IS 14650 CPS 10748/GR2</v>
      </c>
      <c r="T15" s="831" t="s">
        <v>769</v>
      </c>
      <c r="U15" s="825"/>
      <c r="V15" s="826"/>
      <c r="W15" s="206" t="str">
        <f>Prod.!B8</f>
        <v>1.10.5</v>
      </c>
      <c r="X15" s="469">
        <f>Prod.!C8</f>
        <v>0</v>
      </c>
      <c r="Y15" s="469">
        <f>Prod.!D8</f>
        <v>0</v>
      </c>
      <c r="Z15" s="469">
        <f>Prod.!E8</f>
        <v>0</v>
      </c>
      <c r="AA15" s="282">
        <f>Prod.!F8</f>
        <v>0</v>
      </c>
      <c r="AB15" s="282">
        <f>Prod.!G8</f>
        <v>0</v>
      </c>
      <c r="AC15" s="836">
        <f>Prod.!H8</f>
        <v>0</v>
      </c>
      <c r="AD15" s="282" t="str">
        <f>Prod.!AB8</f>
        <v/>
      </c>
      <c r="AE15" s="282" t="e">
        <f>AD15-AF15</f>
        <v>#VALUE!</v>
      </c>
      <c r="AF15" s="282" t="str">
        <f>Prod.!AA8</f>
        <v/>
      </c>
    </row>
    <row r="16" spans="1:32" ht="15" customHeight="1">
      <c r="A16" s="1435">
        <v>6</v>
      </c>
      <c r="B16" s="818" t="str">
        <f>W17</f>
        <v>1.10.6</v>
      </c>
      <c r="C16" s="819" t="s">
        <v>765</v>
      </c>
      <c r="D16" s="822"/>
      <c r="E16" s="822"/>
      <c r="F16" s="821">
        <f ca="1">F17 + (RAND() * 0.02 - 0.01)</f>
        <v>-8.3785465559680361E-3</v>
      </c>
      <c r="G16" s="821">
        <f ca="1">G17 + (RAND() * 0.06 - 0.03)</f>
        <v>0.52058679799468377</v>
      </c>
      <c r="H16" s="822">
        <f ca="1">H17 + (RAND() * 0.006 - 0.003)</f>
        <v>-1.758817074445924E-3</v>
      </c>
      <c r="I16" s="822">
        <f ca="1">I17 + (RAND() * 0.006 - 0.003)</f>
        <v>7.0671263240871911E-4</v>
      </c>
      <c r="J16" s="821">
        <f ca="1">J17 + (RAND() * 0.02 - 0.01)</f>
        <v>-8.1658932311778377E-4</v>
      </c>
      <c r="K16" s="821"/>
      <c r="L16" s="822"/>
      <c r="M16" s="821"/>
      <c r="N16" s="823"/>
      <c r="O16" s="823"/>
      <c r="P16" s="823"/>
      <c r="Q16" s="823"/>
      <c r="R16" s="839"/>
      <c r="S16" s="821"/>
      <c r="T16" s="821"/>
      <c r="U16" s="825"/>
      <c r="V16" s="826"/>
    </row>
    <row r="17" spans="1:32" ht="15" customHeight="1">
      <c r="A17" s="1435"/>
      <c r="B17" s="827" t="str">
        <f>B16</f>
        <v>1.10.6</v>
      </c>
      <c r="C17" s="828" t="s">
        <v>768</v>
      </c>
      <c r="D17" s="829" t="str">
        <f>IF(AC17=130, "130 × 130", IF(AC17=160, "160 × 160", IF(AC17=110, "110 × 110", "Value not 130, 160, or 110")))</f>
        <v>Value not 130, 160, or 110</v>
      </c>
      <c r="E17" s="830" t="str">
        <f>AD17</f>
        <v/>
      </c>
      <c r="F17" s="831">
        <f ca="1">IF(X17 &gt; 0.1, RAND() * (0.1 - 0.06) + 0.06, X17)</f>
        <v>0</v>
      </c>
      <c r="G17" s="831">
        <f ca="1">IF(Y17 &lt; 0.5, 0.5 + RAND() * 0.1, Y17)</f>
        <v>0.50991154845570374</v>
      </c>
      <c r="H17" s="830">
        <f ca="1">IF(AB17&gt;0.04, 0.029 + (0.039-0.029)*RAND(), AB17)</f>
        <v>0</v>
      </c>
      <c r="I17" s="830">
        <f ca="1">IF(AA17&gt;0.04, 0.029 + (0.039-0.029)*RAND(), AA17)</f>
        <v>0</v>
      </c>
      <c r="J17" s="831">
        <f ca="1">IF(Z17&gt;0.15, 0.11 + (0.15-0.11) * RAND(), Z17)</f>
        <v>0</v>
      </c>
      <c r="K17" s="830">
        <f ca="1">0.004 + (RAND() * (0.001 - 0.004))</f>
        <v>3.7460823538649365E-3</v>
      </c>
      <c r="L17" s="830">
        <f ca="1">H17+I17</f>
        <v>0</v>
      </c>
      <c r="M17" s="831">
        <f ca="1">(G17/6)+F17</f>
        <v>8.4985258075950629E-2</v>
      </c>
      <c r="N17" s="831">
        <f ca="1">2 + RAND()</f>
        <v>2.126399115926938</v>
      </c>
      <c r="O17" s="831">
        <f ca="1">1 + RAND()</f>
        <v>1.75276680670713</v>
      </c>
      <c r="P17" s="831">
        <f ca="1">2.98 + (RAND() * (3.03 - 2.98))</f>
        <v>2.9847703346361749</v>
      </c>
      <c r="Q17" s="832" t="str">
        <f ca="1">IF(D17="130 × 130", (130 + RANDBETWEEN(-1,1)) &amp; " × " &amp; (130 + RANDBETWEEN(-1,1)),
   IF(D17="160 × 160", (160 + RANDBETWEEN(-1,1)) &amp; " × " &amp; (160 + RANDBETWEEN(-1,1)),
   IF(D17="110 × 110", (110 + RANDBETWEEN(-1,1)) &amp; " × " &amp; (110 + RANDBETWEEN(-1,1)),
   "Value not matched")))</f>
        <v>Value not matched</v>
      </c>
      <c r="R17" s="833" t="s">
        <v>213</v>
      </c>
      <c r="S17" s="834" t="str">
        <f ca="1">IF(G17&lt;0.6, "IS 14650 CPS 10748/GR2", "IS 14650 CPS 10748/GR3")</f>
        <v>IS 14650 CPS 10748/GR2</v>
      </c>
      <c r="T17" s="831" t="s">
        <v>769</v>
      </c>
      <c r="U17" s="825"/>
      <c r="V17" s="826"/>
      <c r="W17" s="206" t="str">
        <f>Prod.!B9</f>
        <v>1.10.6</v>
      </c>
      <c r="X17" s="469">
        <f>Prod.!C9</f>
        <v>0</v>
      </c>
      <c r="Y17" s="469">
        <f>Prod.!D9</f>
        <v>0</v>
      </c>
      <c r="Z17" s="469">
        <f>Prod.!E9</f>
        <v>0</v>
      </c>
      <c r="AA17" s="282">
        <f>Prod.!F9</f>
        <v>0</v>
      </c>
      <c r="AB17" s="282">
        <f>Prod.!G9</f>
        <v>0</v>
      </c>
      <c r="AC17" s="836">
        <f>Prod.!H9</f>
        <v>0</v>
      </c>
      <c r="AD17" s="282" t="str">
        <f>Prod.!AB9</f>
        <v/>
      </c>
      <c r="AE17" s="282" t="e">
        <f>AD17-AF17</f>
        <v>#VALUE!</v>
      </c>
      <c r="AF17" s="282" t="str">
        <f>Prod.!AA9</f>
        <v/>
      </c>
    </row>
    <row r="18" spans="1:32" ht="15" customHeight="1">
      <c r="A18" s="1435">
        <v>7</v>
      </c>
      <c r="B18" s="818" t="str">
        <f>W19</f>
        <v>1.10.7</v>
      </c>
      <c r="C18" s="819" t="s">
        <v>765</v>
      </c>
      <c r="D18" s="822"/>
      <c r="E18" s="822"/>
      <c r="F18" s="821">
        <f ca="1">F19 + (RAND() * 0.02 - 0.01)</f>
        <v>3.9977101589625304E-3</v>
      </c>
      <c r="G18" s="821">
        <f ca="1">G19 + (RAND() * 0.06 - 0.03)</f>
        <v>0.58348679554935856</v>
      </c>
      <c r="H18" s="822">
        <f ca="1">H19 + (RAND() * 0.006 - 0.003)</f>
        <v>-7.4699425117712506E-4</v>
      </c>
      <c r="I18" s="822">
        <f ca="1">I19 + (RAND() * 0.006 - 0.003)</f>
        <v>-4.5824150877728535E-4</v>
      </c>
      <c r="J18" s="821">
        <f ca="1">J19 + (RAND() * 0.02 - 0.01)</f>
        <v>2.8339111423221763E-3</v>
      </c>
      <c r="K18" s="821"/>
      <c r="L18" s="822"/>
      <c r="M18" s="821"/>
      <c r="N18" s="823"/>
      <c r="O18" s="823"/>
      <c r="P18" s="823"/>
      <c r="Q18" s="823"/>
      <c r="R18" s="839"/>
      <c r="S18" s="821"/>
      <c r="T18" s="821"/>
      <c r="U18" s="825"/>
      <c r="V18" s="826"/>
    </row>
    <row r="19" spans="1:32" ht="15" customHeight="1">
      <c r="A19" s="1435"/>
      <c r="B19" s="827" t="str">
        <f>B18</f>
        <v>1.10.7</v>
      </c>
      <c r="C19" s="828" t="s">
        <v>768</v>
      </c>
      <c r="D19" s="829" t="str">
        <f>IF(AC19=130, "130 × 130", IF(AC19=160, "160 × 160", IF(AC19=110, "110 × 110", "Value not 130, 160, or 110")))</f>
        <v>Value not 130, 160, or 110</v>
      </c>
      <c r="E19" s="830" t="str">
        <f>AD19</f>
        <v/>
      </c>
      <c r="F19" s="831">
        <f ca="1">IF(X19 &gt; 0.1, RAND() * (0.1 - 0.06) + 0.06, X19)</f>
        <v>0</v>
      </c>
      <c r="G19" s="831">
        <f ca="1">IF(Y19 &lt; 0.5, 0.5 + RAND() * 0.1, Y19)</f>
        <v>0.57561409364326055</v>
      </c>
      <c r="H19" s="830">
        <f ca="1">IF(AB19&gt;0.04, 0.029 + (0.039-0.029)*RAND(), AB19)</f>
        <v>0</v>
      </c>
      <c r="I19" s="830">
        <f ca="1">IF(AA19&gt;0.04, 0.029 + (0.039-0.029)*RAND(), AA19)</f>
        <v>0</v>
      </c>
      <c r="J19" s="831">
        <f ca="1">IF(Z19&gt;0.15, 0.11 + (0.15-0.11) * RAND(), Z19)</f>
        <v>0</v>
      </c>
      <c r="K19" s="830">
        <f ca="1">0.004 + (RAND() * (0.001 - 0.004))</f>
        <v>2.5218406533021754E-3</v>
      </c>
      <c r="L19" s="830">
        <f ca="1">H19+I19</f>
        <v>0</v>
      </c>
      <c r="M19" s="831">
        <f ca="1">(G19/6)+F19</f>
        <v>9.5935682273876763E-2</v>
      </c>
      <c r="N19" s="831">
        <f ca="1">2 + RAND()</f>
        <v>2.6802657408049644</v>
      </c>
      <c r="O19" s="831">
        <f ca="1">1 + RAND()</f>
        <v>1.6900072775814841</v>
      </c>
      <c r="P19" s="831">
        <f ca="1">2.98 + (RAND() * (3.03 - 2.98))</f>
        <v>3.0253853521482976</v>
      </c>
      <c r="Q19" s="832" t="str">
        <f ca="1">IF(D19="130 × 130", (130 + RANDBETWEEN(-1,1)) &amp; " × " &amp; (130 + RANDBETWEEN(-1,1)),
   IF(D19="160 × 160", (160 + RANDBETWEEN(-1,1)) &amp; " × " &amp; (160 + RANDBETWEEN(-1,1)),
   IF(D19="110 × 110", (110 + RANDBETWEEN(-1,1)) &amp; " × " &amp; (110 + RANDBETWEEN(-1,1)),
   "Value not matched")))</f>
        <v>Value not matched</v>
      </c>
      <c r="R19" s="833" t="s">
        <v>213</v>
      </c>
      <c r="S19" s="834" t="str">
        <f ca="1">IF(G19&lt;0.6, "IS 14650 CPS 10748/GR2", "IS 14650 CPS 10748/GR3")</f>
        <v>IS 14650 CPS 10748/GR2</v>
      </c>
      <c r="T19" s="831" t="s">
        <v>769</v>
      </c>
      <c r="U19" s="825"/>
      <c r="V19" s="826"/>
      <c r="W19" s="206" t="str">
        <f>Prod.!B10</f>
        <v>1.10.7</v>
      </c>
      <c r="X19" s="469">
        <f>Prod.!C10</f>
        <v>0</v>
      </c>
      <c r="Y19" s="469">
        <f>Prod.!D10</f>
        <v>0</v>
      </c>
      <c r="Z19" s="469">
        <f>Prod.!E10</f>
        <v>0</v>
      </c>
      <c r="AA19" s="282">
        <f>Prod.!F10</f>
        <v>0</v>
      </c>
      <c r="AB19" s="282">
        <f>Prod.!G10</f>
        <v>0</v>
      </c>
      <c r="AC19" s="836">
        <f>Prod.!H10</f>
        <v>0</v>
      </c>
      <c r="AD19" s="282" t="str">
        <f>Prod.!AB10</f>
        <v/>
      </c>
      <c r="AE19" s="282" t="e">
        <f>AD19-AF19</f>
        <v>#VALUE!</v>
      </c>
      <c r="AF19" s="282" t="str">
        <f>Prod.!AA10</f>
        <v/>
      </c>
    </row>
    <row r="20" spans="1:32" ht="15" customHeight="1">
      <c r="A20" s="1435">
        <v>8</v>
      </c>
      <c r="B20" s="818" t="str">
        <f>W21</f>
        <v>1.10.8</v>
      </c>
      <c r="C20" s="819" t="s">
        <v>765</v>
      </c>
      <c r="D20" s="822"/>
      <c r="E20" s="822"/>
      <c r="F20" s="821">
        <f ca="1">F21 + (RAND() * 0.02 - 0.01)</f>
        <v>2.53133490702156E-3</v>
      </c>
      <c r="G20" s="821">
        <f ca="1">G21 + (RAND() * 0.06 - 0.03)</f>
        <v>0.53946535928617656</v>
      </c>
      <c r="H20" s="822">
        <f ca="1">H21 + (RAND() * 0.006 - 0.003)</f>
        <v>1.874053537389845E-3</v>
      </c>
      <c r="I20" s="822">
        <f ca="1">I21 + (RAND() * 0.006 - 0.003)</f>
        <v>2.1576944262306844E-3</v>
      </c>
      <c r="J20" s="821">
        <f ca="1">J21 + (RAND() * 0.02 - 0.01)</f>
        <v>-7.2162490557464605E-3</v>
      </c>
      <c r="K20" s="821"/>
      <c r="L20" s="822"/>
      <c r="M20" s="821"/>
      <c r="N20" s="823"/>
      <c r="O20" s="823"/>
      <c r="P20" s="823"/>
      <c r="Q20" s="823"/>
      <c r="R20" s="839"/>
      <c r="S20" s="821"/>
      <c r="T20" s="821"/>
      <c r="U20" s="825"/>
      <c r="V20" s="826"/>
    </row>
    <row r="21" spans="1:32" ht="15" customHeight="1">
      <c r="A21" s="1435"/>
      <c r="B21" s="827" t="str">
        <f>B20</f>
        <v>1.10.8</v>
      </c>
      <c r="C21" s="828" t="s">
        <v>768</v>
      </c>
      <c r="D21" s="829" t="str">
        <f>IF(AC21=130, "130 × 130", IF(AC21=160, "160 × 160", IF(AC21=110, "110 × 110", "Value not 130, 160, or 110")))</f>
        <v>Value not 130, 160, or 110</v>
      </c>
      <c r="E21" s="830" t="str">
        <f>AD21</f>
        <v/>
      </c>
      <c r="F21" s="831">
        <f ca="1">IF(X21 &gt; 0.1, RAND() * (0.1 - 0.06) + 0.06, X21)</f>
        <v>0</v>
      </c>
      <c r="G21" s="831">
        <f ca="1">IF(Y21 &lt; 0.5, 0.5 + RAND() * 0.1, Y21)</f>
        <v>0.55416189380555425</v>
      </c>
      <c r="H21" s="830">
        <f ca="1">IF(AB21&gt;0.04, 0.029 + (0.039-0.029)*RAND(), AB21)</f>
        <v>0</v>
      </c>
      <c r="I21" s="830">
        <f ca="1">IF(AA21&gt;0.04, 0.029 + (0.039-0.029)*RAND(), AA21)</f>
        <v>0</v>
      </c>
      <c r="J21" s="831">
        <f ca="1">IF(Z21&gt;0.15, 0.11 + (0.15-0.11) * RAND(), Z21)</f>
        <v>0</v>
      </c>
      <c r="K21" s="830">
        <f ca="1">0.004 + (RAND() * (0.001 - 0.004))</f>
        <v>3.3192871214689458E-3</v>
      </c>
      <c r="L21" s="830">
        <f ca="1">H21+I21</f>
        <v>0</v>
      </c>
      <c r="M21" s="831">
        <f ca="1">(G21/6)+F21</f>
        <v>9.2360315634259046E-2</v>
      </c>
      <c r="N21" s="831">
        <f ca="1">2 + RAND()</f>
        <v>2.412149436409651</v>
      </c>
      <c r="O21" s="831">
        <f ca="1">1 + RAND()</f>
        <v>1.300173782863395</v>
      </c>
      <c r="P21" s="831">
        <f ca="1">2.98 + (RAND() * (3.03 - 2.98))</f>
        <v>2.9978771280977452</v>
      </c>
      <c r="Q21" s="832" t="str">
        <f ca="1">IF(D21="130 × 130", (130 + RANDBETWEEN(-1,1)) &amp; " × " &amp; (130 + RANDBETWEEN(-1,1)),
   IF(D21="160 × 160", (160 + RANDBETWEEN(-1,1)) &amp; " × " &amp; (160 + RANDBETWEEN(-1,1)),
   IF(D21="110 × 110", (110 + RANDBETWEEN(-1,1)) &amp; " × " &amp; (110 + RANDBETWEEN(-1,1)),
   "Value not matched")))</f>
        <v>Value not matched</v>
      </c>
      <c r="R21" s="833" t="s">
        <v>213</v>
      </c>
      <c r="S21" s="834" t="str">
        <f ca="1">IF(G21&lt;0.6, "IS 14650 CPS 10748/GR2", "IS 14650 CPS 10748/GR3")</f>
        <v>IS 14650 CPS 10748/GR2</v>
      </c>
      <c r="T21" s="831" t="s">
        <v>769</v>
      </c>
      <c r="U21" s="825"/>
      <c r="V21" s="826"/>
      <c r="W21" s="206" t="str">
        <f>Prod.!B11</f>
        <v>1.10.8</v>
      </c>
      <c r="X21" s="469">
        <f>Prod.!C11</f>
        <v>0</v>
      </c>
      <c r="Y21" s="469">
        <f>Prod.!D11</f>
        <v>0</v>
      </c>
      <c r="Z21" s="469">
        <f>Prod.!E11</f>
        <v>0</v>
      </c>
      <c r="AA21" s="282">
        <f>Prod.!F11</f>
        <v>0</v>
      </c>
      <c r="AB21" s="282">
        <f>Prod.!G11</f>
        <v>0</v>
      </c>
      <c r="AC21" s="836">
        <f>Prod.!H11</f>
        <v>0</v>
      </c>
      <c r="AD21" s="282" t="str">
        <f>Prod.!AB11</f>
        <v/>
      </c>
      <c r="AE21" s="282" t="e">
        <f>AD21-AF21</f>
        <v>#VALUE!</v>
      </c>
      <c r="AF21" s="282" t="str">
        <f>Prod.!AA11</f>
        <v/>
      </c>
    </row>
    <row r="22" spans="1:32" ht="15" customHeight="1">
      <c r="A22" s="1435">
        <v>9</v>
      </c>
      <c r="B22" s="818" t="str">
        <f>W23</f>
        <v>1.10.9</v>
      </c>
      <c r="C22" s="819" t="s">
        <v>765</v>
      </c>
      <c r="D22" s="822"/>
      <c r="E22" s="822"/>
      <c r="F22" s="821">
        <f ca="1">F23 + (RAND() * 0.02 - 0.01)</f>
        <v>-6.902474183913836E-3</v>
      </c>
      <c r="G22" s="821">
        <f ca="1">G23 + (RAND() * 0.06 - 0.03)</f>
        <v>0.47817760080357918</v>
      </c>
      <c r="H22" s="822">
        <f ca="1">H23 + (RAND() * 0.006 - 0.003)</f>
        <v>-1.3139815644057041E-3</v>
      </c>
      <c r="I22" s="822">
        <f ca="1">I23 + (RAND() * 0.006 - 0.003)</f>
        <v>-2.9027443272042395E-3</v>
      </c>
      <c r="J22" s="821">
        <f ca="1">J23 + (RAND() * 0.02 - 0.01)</f>
        <v>-9.3939734059071307E-3</v>
      </c>
      <c r="K22" s="821"/>
      <c r="L22" s="822"/>
      <c r="M22" s="821"/>
      <c r="N22" s="823"/>
      <c r="O22" s="823"/>
      <c r="P22" s="823"/>
      <c r="Q22" s="823"/>
      <c r="R22" s="839"/>
      <c r="S22" s="821"/>
      <c r="T22" s="821"/>
      <c r="U22" s="825"/>
      <c r="V22" s="826"/>
    </row>
    <row r="23" spans="1:32" ht="15" customHeight="1">
      <c r="A23" s="1435"/>
      <c r="B23" s="827" t="str">
        <f>B22</f>
        <v>1.10.9</v>
      </c>
      <c r="C23" s="828" t="s">
        <v>768</v>
      </c>
      <c r="D23" s="829" t="str">
        <f>IF(AC23=130, "130 × 130", IF(AC23=160, "160 × 160", IF(AC23=110, "110 × 110", "Value not 130, 160, or 110")))</f>
        <v>Value not 130, 160, or 110</v>
      </c>
      <c r="E23" s="830" t="str">
        <f>AD23</f>
        <v/>
      </c>
      <c r="F23" s="831">
        <f ca="1">IF(X23 &gt; 0.1, RAND() * (0.1 - 0.06) + 0.06, X23)</f>
        <v>0</v>
      </c>
      <c r="G23" s="831">
        <f ca="1">IF(Y23 &lt; 0.5, 0.5 + RAND() * 0.1, Y23)</f>
        <v>0.50459729937712261</v>
      </c>
      <c r="H23" s="830">
        <f ca="1">IF(AB23&gt;0.04, 0.029 + (0.039-0.029)*RAND(), AB23)</f>
        <v>0</v>
      </c>
      <c r="I23" s="830">
        <f ca="1">IF(AA23&gt;0.04, 0.029 + (0.039-0.029)*RAND(), AA23)</f>
        <v>0</v>
      </c>
      <c r="J23" s="831">
        <f ca="1">IF(Z23&gt;0.15, 0.11 + (0.15-0.11) * RAND(), Z23)</f>
        <v>0</v>
      </c>
      <c r="K23" s="830">
        <f ca="1">0.004 + (RAND() * (0.001 - 0.004))</f>
        <v>3.0856073578214879E-3</v>
      </c>
      <c r="L23" s="830">
        <f ca="1">H23+I23</f>
        <v>0</v>
      </c>
      <c r="M23" s="831">
        <f ca="1">(G23/6)+F23</f>
        <v>8.4099549896187106E-2</v>
      </c>
      <c r="N23" s="831">
        <f ca="1">2 + RAND()</f>
        <v>2.8483929185188672</v>
      </c>
      <c r="O23" s="831">
        <f ca="1">1 + RAND()</f>
        <v>1.0817600561950345</v>
      </c>
      <c r="P23" s="831">
        <f ca="1">2.98 + (RAND() * (3.03 - 2.98))</f>
        <v>2.9922230749835306</v>
      </c>
      <c r="Q23" s="832" t="str">
        <f ca="1">IF(D23="130 × 130", (130 + RANDBETWEEN(-1,1)) &amp; " × " &amp; (130 + RANDBETWEEN(-1,1)),
   IF(D23="160 × 160", (160 + RANDBETWEEN(-1,1)) &amp; " × " &amp; (160 + RANDBETWEEN(-1,1)),
   IF(D23="110 × 110", (110 + RANDBETWEEN(-1,1)) &amp; " × " &amp; (110 + RANDBETWEEN(-1,1)),
   "Value not matched")))</f>
        <v>Value not matched</v>
      </c>
      <c r="R23" s="833" t="s">
        <v>213</v>
      </c>
      <c r="S23" s="834" t="str">
        <f ca="1">IF(G23&lt;0.6, "IS 14650 CPS 10748/GR2", "IS 14650 CPS 10748/GR3")</f>
        <v>IS 14650 CPS 10748/GR2</v>
      </c>
      <c r="T23" s="831" t="s">
        <v>769</v>
      </c>
      <c r="U23" s="825"/>
      <c r="V23" s="826"/>
      <c r="W23" s="206" t="str">
        <f>Prod.!B12</f>
        <v>1.10.9</v>
      </c>
      <c r="X23" s="469">
        <f>Prod.!C12</f>
        <v>0</v>
      </c>
      <c r="Y23" s="469">
        <f>Prod.!D12</f>
        <v>0</v>
      </c>
      <c r="Z23" s="469">
        <f>Prod.!E12</f>
        <v>0</v>
      </c>
      <c r="AA23" s="282">
        <f>Prod.!F12</f>
        <v>0</v>
      </c>
      <c r="AB23" s="282">
        <f>Prod.!G12</f>
        <v>0</v>
      </c>
      <c r="AC23" s="836">
        <f>Prod.!H12</f>
        <v>0</v>
      </c>
      <c r="AD23" s="282" t="str">
        <f>Prod.!AB12</f>
        <v/>
      </c>
      <c r="AE23" s="282" t="e">
        <f>AD23-AF23</f>
        <v>#VALUE!</v>
      </c>
      <c r="AF23" s="282" t="str">
        <f>Prod.!AA12</f>
        <v/>
      </c>
    </row>
    <row r="24" spans="1:32" ht="15" customHeight="1">
      <c r="A24" s="1435">
        <v>10</v>
      </c>
      <c r="B24" s="818" t="str">
        <f>W25</f>
        <v>1.10.10</v>
      </c>
      <c r="C24" s="819" t="s">
        <v>765</v>
      </c>
      <c r="D24" s="822"/>
      <c r="E24" s="822"/>
      <c r="F24" s="821">
        <f ca="1">F25 + (RAND() * 0.02 - 0.01)</f>
        <v>7.4444350799564938E-3</v>
      </c>
      <c r="G24" s="821">
        <f ca="1">G25 + (RAND() * 0.06 - 0.03)</f>
        <v>0.57810949345169238</v>
      </c>
      <c r="H24" s="822">
        <f ca="1">H25 + (RAND() * 0.006 - 0.003)</f>
        <v>-2.2528515597564471E-4</v>
      </c>
      <c r="I24" s="822">
        <f ca="1">I25 + (RAND() * 0.006 - 0.003)</f>
        <v>-2.547481384343026E-4</v>
      </c>
      <c r="J24" s="821">
        <f ca="1">J25 + (RAND() * 0.02 - 0.01)</f>
        <v>5.8686524639426103E-3</v>
      </c>
      <c r="K24" s="821"/>
      <c r="L24" s="822"/>
      <c r="M24" s="821"/>
      <c r="N24" s="823"/>
      <c r="O24" s="823"/>
      <c r="P24" s="823"/>
      <c r="Q24" s="823"/>
      <c r="R24" s="839"/>
      <c r="S24" s="821"/>
      <c r="T24" s="821"/>
      <c r="U24" s="825"/>
      <c r="V24" s="826"/>
    </row>
    <row r="25" spans="1:32" ht="15" customHeight="1">
      <c r="A25" s="1435"/>
      <c r="B25" s="827" t="str">
        <f>B24</f>
        <v>1.10.10</v>
      </c>
      <c r="C25" s="828" t="s">
        <v>768</v>
      </c>
      <c r="D25" s="829" t="str">
        <f>IF(AC25=130, "130 × 130", IF(AC25=160, "160 × 160", IF(AC25=110, "110 × 110", "Value not 130, 160, or 110")))</f>
        <v>Value not 130, 160, or 110</v>
      </c>
      <c r="E25" s="830" t="str">
        <f>AD25</f>
        <v/>
      </c>
      <c r="F25" s="831">
        <f ca="1">IF(X25 &gt; 0.1, RAND() * (0.1 - 0.06) + 0.06, X25)</f>
        <v>0</v>
      </c>
      <c r="G25" s="831">
        <f ca="1">IF(Y25 &lt; 0.5, 0.5 + RAND() * 0.1, Y25)</f>
        <v>0.56415305263575855</v>
      </c>
      <c r="H25" s="830">
        <f ca="1">IF(AB25&gt;0.04, 0.029 + (0.039-0.029)*RAND(), AB25)</f>
        <v>0</v>
      </c>
      <c r="I25" s="830">
        <f ca="1">IF(AA25&gt;0.04, 0.029 + (0.039-0.029)*RAND(), AA25)</f>
        <v>0</v>
      </c>
      <c r="J25" s="831">
        <f ca="1">IF(Z25&gt;0.15, 0.11 + (0.15-0.11) * RAND(), Z25)</f>
        <v>0</v>
      </c>
      <c r="K25" s="830">
        <f ca="1">0.004 + (RAND() * (0.001 - 0.004))</f>
        <v>2.9027143054440189E-3</v>
      </c>
      <c r="L25" s="830">
        <f ca="1">H25+I25</f>
        <v>0</v>
      </c>
      <c r="M25" s="831">
        <f ca="1">(G25/6)+F25</f>
        <v>9.4025508772626429E-2</v>
      </c>
      <c r="N25" s="831">
        <f ca="1">2 + RAND()</f>
        <v>2.3547022871317713</v>
      </c>
      <c r="O25" s="831">
        <f ca="1">1 + RAND()</f>
        <v>1.9874564718095393</v>
      </c>
      <c r="P25" s="831">
        <f ca="1">2.98 + (RAND() * (3.03 - 2.98))</f>
        <v>3.0269685025444577</v>
      </c>
      <c r="Q25" s="832" t="str">
        <f ca="1">IF(D25="130 × 130", (130 + RANDBETWEEN(-1,1)) &amp; " × " &amp; (130 + RANDBETWEEN(-1,1)),
   IF(D25="160 × 160", (160 + RANDBETWEEN(-1,1)) &amp; " × " &amp; (160 + RANDBETWEEN(-1,1)),
   IF(D25="110 × 110", (110 + RANDBETWEEN(-1,1)) &amp; " × " &amp; (110 + RANDBETWEEN(-1,1)),
   "Value not matched")))</f>
        <v>Value not matched</v>
      </c>
      <c r="R25" s="833" t="s">
        <v>213</v>
      </c>
      <c r="S25" s="834" t="str">
        <f ca="1">IF(G25&lt;0.6, "IS 14650 CPS 10748/GR2", "IS 14650 CPS 10748/GR3")</f>
        <v>IS 14650 CPS 10748/GR2</v>
      </c>
      <c r="T25" s="831" t="s">
        <v>769</v>
      </c>
      <c r="U25" s="825"/>
      <c r="V25" s="826"/>
      <c r="W25" s="206" t="str">
        <f>Prod.!B13</f>
        <v>1.10.10</v>
      </c>
      <c r="X25" s="469">
        <f>Prod.!C13</f>
        <v>0</v>
      </c>
      <c r="Y25" s="469">
        <f>Prod.!D13</f>
        <v>0</v>
      </c>
      <c r="Z25" s="469">
        <f>Prod.!E13</f>
        <v>0</v>
      </c>
      <c r="AA25" s="282">
        <f>Prod.!F13</f>
        <v>0</v>
      </c>
      <c r="AB25" s="282">
        <f>Prod.!G13</f>
        <v>0</v>
      </c>
      <c r="AC25" s="836">
        <f>Prod.!H13</f>
        <v>0</v>
      </c>
      <c r="AD25" s="282" t="str">
        <f>Prod.!AB13</f>
        <v/>
      </c>
      <c r="AE25" s="282" t="e">
        <f>AD25-AF25</f>
        <v>#VALUE!</v>
      </c>
      <c r="AF25" s="282" t="str">
        <f>Prod.!AA13</f>
        <v/>
      </c>
    </row>
    <row r="26" spans="1:32" ht="15" customHeight="1">
      <c r="A26" s="1435">
        <v>11</v>
      </c>
      <c r="B26" s="818" t="str">
        <f>W27</f>
        <v>1.10.11</v>
      </c>
      <c r="C26" s="819" t="s">
        <v>765</v>
      </c>
      <c r="D26" s="822"/>
      <c r="E26" s="822"/>
      <c r="F26" s="821">
        <f ca="1">F27 + (RAND() * 0.02 - 0.01)</f>
        <v>-9.927160503178321E-3</v>
      </c>
      <c r="G26" s="821">
        <f ca="1">G27 + (RAND() * 0.06 - 0.03)</f>
        <v>0.56230278170838111</v>
      </c>
      <c r="H26" s="822">
        <f ca="1">H27 + (RAND() * 0.006 - 0.003)</f>
        <v>-8.4290860004586961E-5</v>
      </c>
      <c r="I26" s="822">
        <f ca="1">I27 + (RAND() * 0.006 - 0.003)</f>
        <v>2.4899812743368862E-3</v>
      </c>
      <c r="J26" s="821">
        <f ca="1">J27 + (RAND() * 0.02 - 0.01)</f>
        <v>-7.4632149701009537E-3</v>
      </c>
      <c r="K26" s="821"/>
      <c r="L26" s="822"/>
      <c r="M26" s="821"/>
      <c r="N26" s="823"/>
      <c r="O26" s="823"/>
      <c r="P26" s="823"/>
      <c r="Q26" s="823"/>
      <c r="R26" s="839"/>
      <c r="S26" s="821"/>
      <c r="T26" s="821"/>
      <c r="U26" s="825"/>
      <c r="V26" s="826"/>
    </row>
    <row r="27" spans="1:32" ht="15" customHeight="1">
      <c r="A27" s="1435"/>
      <c r="B27" s="827" t="str">
        <f>B26</f>
        <v>1.10.11</v>
      </c>
      <c r="C27" s="828" t="s">
        <v>768</v>
      </c>
      <c r="D27" s="829" t="str">
        <f>IF(AC27=130, "130 × 130", IF(AC27=160, "160 × 160", IF(AC27=110, "110 × 110", "Value not 130, 160, or 110")))</f>
        <v>Value not 130, 160, or 110</v>
      </c>
      <c r="E27" s="830" t="str">
        <f>AD27</f>
        <v/>
      </c>
      <c r="F27" s="831">
        <f ca="1">IF(X27 &gt; 0.1, RAND() * (0.1 - 0.06) + 0.06, X27)</f>
        <v>0</v>
      </c>
      <c r="G27" s="831">
        <f ca="1">IF(Y27 &lt; 0.5, 0.5 + RAND() * 0.1, Y27)</f>
        <v>0.58800370939384827</v>
      </c>
      <c r="H27" s="830">
        <f ca="1">IF(AB27&gt;0.04, 0.029 + (0.039-0.029)*RAND(), AB27)</f>
        <v>0</v>
      </c>
      <c r="I27" s="830">
        <f ca="1">IF(AA27&gt;0.04, 0.029 + (0.039-0.029)*RAND(), AA27)</f>
        <v>0</v>
      </c>
      <c r="J27" s="831">
        <f ca="1">IF(Z27&gt;0.15, 0.11 + (0.15-0.11) * RAND(), Z27)</f>
        <v>0</v>
      </c>
      <c r="K27" s="830">
        <f ca="1">0.004 + (RAND() * (0.001 - 0.004))</f>
        <v>3.1778532906906859E-3</v>
      </c>
      <c r="L27" s="830">
        <f ca="1">H27+I27</f>
        <v>0</v>
      </c>
      <c r="M27" s="831">
        <f ca="1">(G27/6)+F27</f>
        <v>9.8000618232308045E-2</v>
      </c>
      <c r="N27" s="831">
        <f ca="1">2 + RAND()</f>
        <v>2.8731908822297334</v>
      </c>
      <c r="O27" s="831">
        <f ca="1">1 + RAND()</f>
        <v>1.1650833223594514</v>
      </c>
      <c r="P27" s="831">
        <f ca="1">2.98 + (RAND() * (3.03 - 2.98))</f>
        <v>2.9934220835510872</v>
      </c>
      <c r="Q27" s="832" t="str">
        <f ca="1">IF(D27="130 × 130", (130 + RANDBETWEEN(-1,1)) &amp; " × " &amp; (130 + RANDBETWEEN(-1,1)),
   IF(D27="160 × 160", (160 + RANDBETWEEN(-1,1)) &amp; " × " &amp; (160 + RANDBETWEEN(-1,1)),
   IF(D27="110 × 110", (110 + RANDBETWEEN(-1,1)) &amp; " × " &amp; (110 + RANDBETWEEN(-1,1)),
   "Value not matched")))</f>
        <v>Value not matched</v>
      </c>
      <c r="R27" s="833" t="s">
        <v>213</v>
      </c>
      <c r="S27" s="834" t="str">
        <f ca="1">IF(G27&lt;0.6, "IS 14650 CPS 10748/GR2", "IS 14650 CPS 10748/GR3")</f>
        <v>IS 14650 CPS 10748/GR2</v>
      </c>
      <c r="T27" s="831" t="s">
        <v>769</v>
      </c>
      <c r="U27" s="825"/>
      <c r="V27" s="826"/>
      <c r="W27" s="206" t="str">
        <f>Prod.!B14</f>
        <v>1.10.11</v>
      </c>
      <c r="X27" s="469">
        <f>Prod.!C14</f>
        <v>0</v>
      </c>
      <c r="Y27" s="469">
        <f>Prod.!D14</f>
        <v>0</v>
      </c>
      <c r="Z27" s="469">
        <f>Prod.!E14</f>
        <v>0</v>
      </c>
      <c r="AA27" s="282">
        <f>Prod.!F14</f>
        <v>0</v>
      </c>
      <c r="AB27" s="282">
        <f>Prod.!G14</f>
        <v>0</v>
      </c>
      <c r="AC27" s="836">
        <f>Prod.!H14</f>
        <v>0</v>
      </c>
      <c r="AD27" s="282" t="str">
        <f>Prod.!AB14</f>
        <v/>
      </c>
      <c r="AE27" s="282" t="e">
        <f>AD27-AF27</f>
        <v>#VALUE!</v>
      </c>
      <c r="AF27" s="282" t="str">
        <f>Prod.!AA14</f>
        <v/>
      </c>
    </row>
    <row r="28" spans="1:32" ht="15" customHeight="1">
      <c r="A28" s="1435">
        <v>12</v>
      </c>
      <c r="B28" s="818" t="str">
        <f>W29</f>
        <v>1.10.12</v>
      </c>
      <c r="C28" s="819" t="s">
        <v>765</v>
      </c>
      <c r="D28" s="822"/>
      <c r="E28" s="822"/>
      <c r="F28" s="821">
        <f ca="1">F29 + (RAND() * 0.02 - 0.01)</f>
        <v>3.3822355654989679E-3</v>
      </c>
      <c r="G28" s="821">
        <f ca="1">G29 + (RAND() * 0.06 - 0.03)</f>
        <v>0.54492189422279436</v>
      </c>
      <c r="H28" s="822">
        <f ca="1">H29 + (RAND() * 0.006 - 0.003)</f>
        <v>-8.9486196911242296E-4</v>
      </c>
      <c r="I28" s="822">
        <f ca="1">I29 + (RAND() * 0.006 - 0.003)</f>
        <v>-2.1771207085542277E-3</v>
      </c>
      <c r="J28" s="821">
        <f ca="1">J29 + (RAND() * 0.02 - 0.01)</f>
        <v>4.2585934311726477E-3</v>
      </c>
      <c r="K28" s="821"/>
      <c r="L28" s="822"/>
      <c r="M28" s="821"/>
      <c r="N28" s="823"/>
      <c r="O28" s="823"/>
      <c r="P28" s="823"/>
      <c r="Q28" s="823"/>
      <c r="R28" s="839"/>
      <c r="S28" s="821"/>
      <c r="T28" s="821"/>
      <c r="U28" s="825"/>
      <c r="V28" s="826"/>
    </row>
    <row r="29" spans="1:32" ht="15" customHeight="1">
      <c r="A29" s="1435"/>
      <c r="B29" s="827" t="str">
        <f>B28</f>
        <v>1.10.12</v>
      </c>
      <c r="C29" s="828" t="s">
        <v>768</v>
      </c>
      <c r="D29" s="829" t="str">
        <f>IF(AC29=130, "130 × 130", IF(AC29=160, "160 × 160", IF(AC29=110, "110 × 110", "Value not 130, 160, or 110")))</f>
        <v>Value not 130, 160, or 110</v>
      </c>
      <c r="E29" s="830" t="str">
        <f>AD29</f>
        <v/>
      </c>
      <c r="F29" s="831">
        <f ca="1">IF(X29 &gt; 0.1, RAND() * (0.1 - 0.06) + 0.06, X29)</f>
        <v>0</v>
      </c>
      <c r="G29" s="831">
        <f ca="1">IF(Y29 &lt; 0.5, 0.5 + RAND() * 0.1, Y29)</f>
        <v>0.53458025966082257</v>
      </c>
      <c r="H29" s="830">
        <f ca="1">IF(AB29&gt;0.04, 0.029 + (0.039-0.029)*RAND(), AB29)</f>
        <v>0</v>
      </c>
      <c r="I29" s="830">
        <f ca="1">IF(AA29&gt;0.04, 0.029 + (0.039-0.029)*RAND(), AA29)</f>
        <v>0</v>
      </c>
      <c r="J29" s="831">
        <f ca="1">IF(Z29&gt;0.15, 0.11 + (0.15-0.11) * RAND(), Z29)</f>
        <v>0</v>
      </c>
      <c r="K29" s="830">
        <f ca="1">0.004 + (RAND() * (0.001 - 0.004))</f>
        <v>1.5446549844591023E-3</v>
      </c>
      <c r="L29" s="830">
        <f ca="1">H29+I29</f>
        <v>0</v>
      </c>
      <c r="M29" s="831">
        <f ca="1">(G29/6)+F29</f>
        <v>8.9096709943470423E-2</v>
      </c>
      <c r="N29" s="831">
        <f ca="1">2 + RAND()</f>
        <v>2.5267778786398356</v>
      </c>
      <c r="O29" s="831">
        <f ca="1">1 + RAND()</f>
        <v>1.5066136618074397</v>
      </c>
      <c r="P29" s="831">
        <f ca="1">2.98 + (RAND() * (3.03 - 2.98))</f>
        <v>2.9908268477708244</v>
      </c>
      <c r="Q29" s="832" t="str">
        <f ca="1">IF(D29="130 × 130", (130 + RANDBETWEEN(-1,1)) &amp; " × " &amp; (130 + RANDBETWEEN(-1,1)),
   IF(D29="160 × 160", (160 + RANDBETWEEN(-1,1)) &amp; " × " &amp; (160 + RANDBETWEEN(-1,1)),
   IF(D29="110 × 110", (110 + RANDBETWEEN(-1,1)) &amp; " × " &amp; (110 + RANDBETWEEN(-1,1)),
   "Value not matched")))</f>
        <v>Value not matched</v>
      </c>
      <c r="R29" s="833" t="s">
        <v>213</v>
      </c>
      <c r="S29" s="834" t="str">
        <f ca="1">IF(G29&lt;0.6, "IS 14650 CPS 10748/GR2", "IS 14650 CPS 10748/GR3")</f>
        <v>IS 14650 CPS 10748/GR2</v>
      </c>
      <c r="T29" s="831" t="s">
        <v>769</v>
      </c>
      <c r="U29" s="825"/>
      <c r="V29" s="826"/>
      <c r="W29" s="206" t="str">
        <f>Prod.!B15</f>
        <v>1.10.12</v>
      </c>
      <c r="X29" s="469">
        <f>Prod.!C15</f>
        <v>0</v>
      </c>
      <c r="Y29" s="469">
        <f>Prod.!D15</f>
        <v>0</v>
      </c>
      <c r="Z29" s="469">
        <f>Prod.!E15</f>
        <v>0</v>
      </c>
      <c r="AA29" s="282">
        <f>Prod.!F15</f>
        <v>0</v>
      </c>
      <c r="AB29" s="282">
        <f>Prod.!G15</f>
        <v>0</v>
      </c>
      <c r="AC29" s="836">
        <f>Prod.!H15</f>
        <v>0</v>
      </c>
      <c r="AD29" s="282" t="str">
        <f>Prod.!AB15</f>
        <v/>
      </c>
      <c r="AE29" s="282" t="e">
        <f>AD29-AF29</f>
        <v>#VALUE!</v>
      </c>
      <c r="AF29" s="282" t="str">
        <f>Prod.!AA15</f>
        <v/>
      </c>
    </row>
    <row r="30" spans="1:32" ht="15" customHeight="1">
      <c r="A30" s="1435"/>
      <c r="B30" s="818"/>
      <c r="C30" s="819"/>
      <c r="D30" s="822"/>
      <c r="E30" s="822"/>
      <c r="F30" s="821"/>
      <c r="G30" s="821"/>
      <c r="H30" s="840"/>
      <c r="I30" s="840"/>
      <c r="J30" s="821"/>
      <c r="K30" s="821"/>
      <c r="L30" s="822"/>
      <c r="M30" s="838"/>
      <c r="N30" s="821"/>
      <c r="O30" s="821"/>
      <c r="P30" s="821"/>
      <c r="Q30" s="821"/>
      <c r="R30" s="839"/>
      <c r="S30" s="841"/>
      <c r="T30" s="821"/>
      <c r="U30" s="825"/>
      <c r="V30" s="826"/>
    </row>
    <row r="31" spans="1:32" ht="15" customHeight="1">
      <c r="A31" s="1435"/>
      <c r="B31" s="827"/>
      <c r="C31" s="828"/>
      <c r="D31" s="842"/>
      <c r="E31" s="830"/>
      <c r="F31" s="831"/>
      <c r="G31" s="831"/>
      <c r="H31" s="843"/>
      <c r="I31" s="843"/>
      <c r="J31" s="831"/>
      <c r="K31" s="831"/>
      <c r="L31" s="830"/>
      <c r="M31" s="831"/>
      <c r="N31" s="831"/>
      <c r="O31" s="831"/>
      <c r="P31" s="831"/>
      <c r="Q31" s="831"/>
      <c r="R31" s="833"/>
      <c r="S31" s="834"/>
      <c r="T31" s="831"/>
      <c r="U31" s="825"/>
      <c r="V31" s="826"/>
    </row>
    <row r="32" spans="1:32" ht="15" customHeight="1">
      <c r="A32" s="180"/>
      <c r="B32" s="180"/>
      <c r="C32" s="180" t="s">
        <v>770</v>
      </c>
      <c r="D32" s="395"/>
      <c r="E32" s="844">
        <f>SUM(E6:E29)</f>
        <v>0</v>
      </c>
      <c r="F32" s="180"/>
      <c r="G32" s="180"/>
      <c r="H32" s="844"/>
      <c r="I32" s="180"/>
      <c r="J32" s="845"/>
      <c r="K32" s="845"/>
      <c r="L32" s="180"/>
      <c r="M32" s="845"/>
      <c r="N32" s="180"/>
      <c r="O32" s="180"/>
      <c r="P32" s="180"/>
      <c r="Q32" s="180"/>
      <c r="R32" s="263"/>
      <c r="S32" s="180"/>
      <c r="T32" s="180"/>
    </row>
    <row r="33" spans="1:32" ht="28.5" customHeight="1">
      <c r="A33" s="1436" t="s">
        <v>746</v>
      </c>
      <c r="B33" s="1436"/>
      <c r="C33" s="1436"/>
      <c r="D33" s="1436"/>
      <c r="E33" s="1436"/>
      <c r="F33" s="1436"/>
      <c r="G33" s="1436"/>
      <c r="H33" s="1436"/>
      <c r="I33" s="1436"/>
      <c r="J33" s="1436"/>
      <c r="K33" s="1436"/>
      <c r="L33" s="1436"/>
      <c r="M33" s="1436"/>
      <c r="N33" s="1436"/>
      <c r="O33" s="1436"/>
      <c r="P33" s="1436"/>
      <c r="Q33" s="1436"/>
      <c r="R33" s="1436"/>
      <c r="S33" s="1436"/>
      <c r="T33" s="1436"/>
      <c r="U33" s="515"/>
      <c r="V33" s="846"/>
    </row>
    <row r="34" spans="1:32" ht="15" customHeight="1">
      <c r="A34" s="1437" t="s">
        <v>747</v>
      </c>
      <c r="B34" s="1437"/>
      <c r="C34" s="1437"/>
      <c r="D34" s="1437"/>
      <c r="E34" s="1437"/>
      <c r="F34" s="1437"/>
      <c r="G34" s="1437"/>
      <c r="H34" s="1437"/>
      <c r="I34" s="1437"/>
      <c r="J34" s="1437"/>
      <c r="K34" s="1437"/>
      <c r="L34" s="1437"/>
      <c r="M34" s="1437"/>
      <c r="N34" s="1437"/>
      <c r="O34" s="1437"/>
      <c r="P34" s="1437"/>
      <c r="Q34" s="1437"/>
      <c r="R34" s="1437"/>
      <c r="S34" s="1437"/>
      <c r="T34" s="1437"/>
      <c r="U34" s="806"/>
      <c r="V34" s="807"/>
    </row>
    <row r="35" spans="1:32" ht="15" customHeight="1">
      <c r="A35" s="1438" t="str">
        <f>"DATE OF MANUFACTURING : " &amp; TEXT(V39, "DD-MM-YYYY")</f>
        <v>DATE OF MANUFACTURING : 00-01-1900</v>
      </c>
      <c r="B35" s="1438"/>
      <c r="C35" s="1438"/>
      <c r="D35" s="1438"/>
      <c r="E35" s="1438"/>
      <c r="F35" s="1438"/>
      <c r="G35" s="1438"/>
      <c r="H35" s="1438"/>
      <c r="I35" s="1438"/>
      <c r="J35" s="1438"/>
      <c r="K35" s="1438"/>
      <c r="L35" s="1438"/>
      <c r="M35" s="1438"/>
      <c r="N35" s="1437" t="s">
        <v>748</v>
      </c>
      <c r="O35" s="1437"/>
      <c r="P35" s="1437"/>
      <c r="Q35" s="1437"/>
      <c r="R35" s="1437"/>
      <c r="S35" s="1437"/>
      <c r="T35" s="1437"/>
      <c r="U35" s="808"/>
      <c r="V35" s="809"/>
    </row>
    <row r="36" spans="1:32" ht="29.25" customHeight="1">
      <c r="A36" s="1439" t="s">
        <v>749</v>
      </c>
      <c r="B36" s="1440" t="s">
        <v>750</v>
      </c>
      <c r="C36" s="1440"/>
      <c r="D36" s="1440" t="s">
        <v>751</v>
      </c>
      <c r="E36" s="1441" t="s">
        <v>752</v>
      </c>
      <c r="F36" s="1442" t="s">
        <v>753</v>
      </c>
      <c r="G36" s="1442"/>
      <c r="H36" s="1442"/>
      <c r="I36" s="1442"/>
      <c r="J36" s="1442"/>
      <c r="K36" s="1442"/>
      <c r="L36" s="1442"/>
      <c r="M36" s="1442"/>
      <c r="N36" s="1442" t="s">
        <v>754</v>
      </c>
      <c r="O36" s="1442"/>
      <c r="P36" s="1442"/>
      <c r="Q36" s="1442"/>
      <c r="R36" s="1443" t="s">
        <v>771</v>
      </c>
      <c r="S36" s="1441" t="s">
        <v>756</v>
      </c>
      <c r="T36" s="1440" t="s">
        <v>104</v>
      </c>
      <c r="U36" s="810"/>
      <c r="V36" s="811"/>
    </row>
    <row r="37" spans="1:32" ht="42.75" customHeight="1">
      <c r="A37" s="1439"/>
      <c r="B37" s="1440"/>
      <c r="C37" s="1440"/>
      <c r="D37" s="1440"/>
      <c r="E37" s="1440"/>
      <c r="F37" s="812" t="s">
        <v>40</v>
      </c>
      <c r="G37" s="812" t="s">
        <v>757</v>
      </c>
      <c r="H37" s="813" t="s">
        <v>758</v>
      </c>
      <c r="I37" s="812" t="s">
        <v>43</v>
      </c>
      <c r="J37" s="812" t="s">
        <v>42</v>
      </c>
      <c r="K37" s="812" t="s">
        <v>759</v>
      </c>
      <c r="L37" s="812" t="s">
        <v>760</v>
      </c>
      <c r="M37" s="812" t="s">
        <v>761</v>
      </c>
      <c r="N37" s="814" t="s">
        <v>762</v>
      </c>
      <c r="O37" s="815" t="s">
        <v>772</v>
      </c>
      <c r="P37" s="816" t="s">
        <v>773</v>
      </c>
      <c r="Q37" s="817" t="s">
        <v>764</v>
      </c>
      <c r="R37" s="1443"/>
      <c r="S37" s="1443"/>
      <c r="T37" s="1443"/>
      <c r="U37" s="810"/>
      <c r="V37" s="811"/>
    </row>
    <row r="38" spans="1:32" ht="15" customHeight="1">
      <c r="A38" s="1435">
        <v>1</v>
      </c>
      <c r="B38" s="818">
        <f>W39</f>
        <v>0</v>
      </c>
      <c r="C38" s="819" t="s">
        <v>765</v>
      </c>
      <c r="D38" s="820"/>
      <c r="E38" s="821"/>
      <c r="F38" s="821">
        <f ca="1">F39 + (RAND() * 0.02 - 0.01)</f>
        <v>1.3888032430236126E-3</v>
      </c>
      <c r="G38" s="821">
        <f ca="1">G39 + (RAND() * 0.06 - 0.03)</f>
        <v>0.57406176570905232</v>
      </c>
      <c r="H38" s="822">
        <f ca="1">H39 + (RAND() * 0.006 - 0.003)</f>
        <v>2.2340586133803532E-3</v>
      </c>
      <c r="I38" s="822">
        <f ca="1">I39 + (RAND() * 0.006 - 0.003)</f>
        <v>-5.5026654067086549E-4</v>
      </c>
      <c r="J38" s="821">
        <f ca="1">J39 + (RAND() * 0.02 - 0.01)</f>
        <v>8.8970891983466156E-3</v>
      </c>
      <c r="K38" s="821"/>
      <c r="L38" s="822"/>
      <c r="M38" s="821"/>
      <c r="N38" s="823"/>
      <c r="O38" s="823"/>
      <c r="P38" s="823"/>
      <c r="Q38" s="823"/>
      <c r="R38" s="824"/>
      <c r="S38" s="821"/>
      <c r="T38" s="821"/>
      <c r="U38" s="825"/>
      <c r="V38" s="826"/>
      <c r="AE38" t="s">
        <v>767</v>
      </c>
    </row>
    <row r="39" spans="1:32" ht="15" customHeight="1">
      <c r="A39" s="1435"/>
      <c r="B39" s="827">
        <f>B38</f>
        <v>0</v>
      </c>
      <c r="C39" s="828" t="s">
        <v>768</v>
      </c>
      <c r="D39" s="829" t="str">
        <f>IF(AC39=130, "130 × 130", IF(AC39=160, "160 × 160", IF(AC39=110, "110 × 110", "Value not 130, 160, or 110")))</f>
        <v>Value not 130, 160, or 110</v>
      </c>
      <c r="E39" s="830">
        <f>AD39</f>
        <v>0</v>
      </c>
      <c r="F39" s="831">
        <f ca="1">IF(X39 &gt; 0.1, RAND() * (0.1 - 0.06) + 0.06, X39)</f>
        <v>0</v>
      </c>
      <c r="G39" s="831">
        <f ca="1">IF(Y39 &lt; 0.5, 0.5 + RAND() * 0.1, Y39)</f>
        <v>0.57477513704205485</v>
      </c>
      <c r="H39" s="830">
        <f ca="1">IF(AB39&gt;0.04, 0.029 + (0.039-0.029)*RAND(), AB39)</f>
        <v>0</v>
      </c>
      <c r="I39" s="830">
        <f ca="1">IF(AA39&gt;0.04, 0.029 + (0.039-0.029)*RAND(), AA39)</f>
        <v>0</v>
      </c>
      <c r="J39" s="831">
        <f ca="1">IF(Z39&gt;0.15, 0.11 + (0.15-0.11) * RAND(), Z39)</f>
        <v>0</v>
      </c>
      <c r="K39" s="830">
        <f ca="1">0.004 + (RAND() * (0.001 - 0.004))</f>
        <v>3.2096216807868494E-3</v>
      </c>
      <c r="L39" s="830">
        <f ca="1">H39+I39</f>
        <v>0</v>
      </c>
      <c r="M39" s="831">
        <f ca="1">(G39/6)+F39</f>
        <v>9.5795856173675809E-2</v>
      </c>
      <c r="N39" s="831">
        <f ca="1">2 + RAND()</f>
        <v>2.0790939639127362</v>
      </c>
      <c r="O39" s="831">
        <f ca="1">1 + RAND()</f>
        <v>1.1265954402078564</v>
      </c>
      <c r="P39" s="831">
        <f ca="1">2.98 + (RAND() * (3.03 - 2.98))</f>
        <v>3.0160287146261879</v>
      </c>
      <c r="Q39" s="832" t="str">
        <f ca="1">IF(D39="130 × 130", (130 + RANDBETWEEN(-1,1)) &amp; " × " &amp; (130 + RANDBETWEEN(-1,1)),
   IF(D39="160 × 160", (160 + RANDBETWEEN(-1,1)) &amp; " × " &amp; (160 + RANDBETWEEN(-1,1)),
   IF(D39="110 × 110", (110 + RANDBETWEEN(-1,1)) &amp; " × " &amp; (110 + RANDBETWEEN(-1,1)),
   "Value not matched")))</f>
        <v>Value not matched</v>
      </c>
      <c r="R39" s="833" t="s">
        <v>213</v>
      </c>
      <c r="S39" s="834" t="str">
        <f ca="1">IF(G39&lt;0.6, "IS 14650 CPS 10748/GR2", "IS 14650 CPS 10748/GR3")</f>
        <v>IS 14650 CPS 10748/GR2</v>
      </c>
      <c r="T39" s="831" t="s">
        <v>769</v>
      </c>
      <c r="U39" s="825"/>
      <c r="V39" s="835">
        <f>Prod.!A22</f>
        <v>0</v>
      </c>
      <c r="W39" s="206">
        <f>Prod.!B22</f>
        <v>0</v>
      </c>
      <c r="X39" s="469">
        <f>Prod.!C22</f>
        <v>0</v>
      </c>
      <c r="Y39" s="469">
        <f>Prod.!D22</f>
        <v>0</v>
      </c>
      <c r="Z39" s="469">
        <f>Prod.!E22</f>
        <v>0</v>
      </c>
      <c r="AA39" s="282">
        <f>Prod.!F22</f>
        <v>0</v>
      </c>
      <c r="AB39" s="282">
        <f>Prod.!G22</f>
        <v>0</v>
      </c>
      <c r="AC39" s="836">
        <f>Prod.!H22</f>
        <v>0</v>
      </c>
      <c r="AD39" s="282">
        <f>Prod.!AB22</f>
        <v>0</v>
      </c>
      <c r="AE39" s="282">
        <f>AD39-AF39</f>
        <v>0</v>
      </c>
      <c r="AF39" s="282">
        <f>Prod.!AA22</f>
        <v>0</v>
      </c>
    </row>
    <row r="40" spans="1:32" ht="15" customHeight="1">
      <c r="A40" s="1435">
        <v>2</v>
      </c>
      <c r="B40" s="818">
        <f>W41</f>
        <v>0</v>
      </c>
      <c r="C40" s="819" t="s">
        <v>765</v>
      </c>
      <c r="D40" s="822"/>
      <c r="E40" s="822"/>
      <c r="F40" s="821">
        <f ca="1">F41 + (RAND() * 0.02 - 0.01)</f>
        <v>-7.4196918193270948E-3</v>
      </c>
      <c r="G40" s="821">
        <f ca="1">G41 + (RAND() * 0.06 - 0.03)</f>
        <v>0.53239009179795826</v>
      </c>
      <c r="H40" s="822">
        <f ca="1">H41 + (RAND() * 0.006 - 0.003)</f>
        <v>-3.2409446823689547E-4</v>
      </c>
      <c r="I40" s="822">
        <f ca="1">I41 + (RAND() * 0.006 - 0.003)</f>
        <v>7.8204265535732802E-4</v>
      </c>
      <c r="J40" s="821">
        <f ca="1">J41 + (RAND() * 0.02 - 0.01)</f>
        <v>-7.1001022725327469E-3</v>
      </c>
      <c r="K40" s="821"/>
      <c r="L40" s="822"/>
      <c r="M40" s="821"/>
      <c r="N40" s="823"/>
      <c r="O40" s="823"/>
      <c r="P40" s="823"/>
      <c r="Q40" s="823"/>
      <c r="R40" s="837"/>
      <c r="S40" s="821"/>
      <c r="T40" s="838"/>
      <c r="U40" s="825"/>
      <c r="V40" s="826"/>
    </row>
    <row r="41" spans="1:32" ht="15" customHeight="1">
      <c r="A41" s="1435"/>
      <c r="B41" s="827">
        <f>B40</f>
        <v>0</v>
      </c>
      <c r="C41" s="828" t="s">
        <v>768</v>
      </c>
      <c r="D41" s="829" t="str">
        <f>IF(AC41=130, "130 × 130", IF(AC41=160, "160 × 160", IF(AC41=110, "110 × 110", "Value not 130, 160, or 110")))</f>
        <v>Value not 130, 160, or 110</v>
      </c>
      <c r="E41" s="830">
        <f>AD41</f>
        <v>0</v>
      </c>
      <c r="F41" s="831">
        <f ca="1">IF(X41 &gt; 0.1, RAND() * (0.1 - 0.06) + 0.06, X41)</f>
        <v>0</v>
      </c>
      <c r="G41" s="831">
        <f ca="1">IF(Y41 &lt; 0.5, 0.5 + RAND() * 0.1, Y41)</f>
        <v>0.52857093836404823</v>
      </c>
      <c r="H41" s="830">
        <f ca="1">IF(AB41&gt;0.04, 0.029 + (0.039-0.029)*RAND(), AB41)</f>
        <v>0</v>
      </c>
      <c r="I41" s="830">
        <f ca="1">IF(AA41&gt;0.04, 0.029 + (0.039-0.029)*RAND(), AA41)</f>
        <v>0</v>
      </c>
      <c r="J41" s="831">
        <f ca="1">IF(Z41&gt;0.15, 0.11 + (0.15-0.11) * RAND(), Z41)</f>
        <v>0</v>
      </c>
      <c r="K41" s="830">
        <f ca="1">0.004 + (RAND() * (0.001 - 0.004))</f>
        <v>2.8984857344605862E-3</v>
      </c>
      <c r="L41" s="830">
        <f ca="1">H41+I41</f>
        <v>0</v>
      </c>
      <c r="M41" s="831">
        <f ca="1">(G41/6)+F41</f>
        <v>8.8095156394008042E-2</v>
      </c>
      <c r="N41" s="831">
        <f ca="1">2 + RAND()</f>
        <v>2.4053275845105926</v>
      </c>
      <c r="O41" s="831">
        <f ca="1">1 + RAND()</f>
        <v>1.906031240858912</v>
      </c>
      <c r="P41" s="831">
        <f ca="1">2.98 + (RAND() * (3.03 - 2.98))</f>
        <v>3.0265564234907516</v>
      </c>
      <c r="Q41" s="832" t="str">
        <f ca="1">IF(D41="130 × 130", (130 + RANDBETWEEN(-1,1)) &amp; " × " &amp; (130 + RANDBETWEEN(-1,1)),
   IF(D41="160 × 160", (160 + RANDBETWEEN(-1,1)) &amp; " × " &amp; (160 + RANDBETWEEN(-1,1)),
   IF(D41="110 × 110", (110 + RANDBETWEEN(-1,1)) &amp; " × " &amp; (110 + RANDBETWEEN(-1,1)),
   "Value not matched")))</f>
        <v>Value not matched</v>
      </c>
      <c r="R41" s="833" t="s">
        <v>213</v>
      </c>
      <c r="S41" s="834" t="str">
        <f ca="1">IF(G41&lt;0.6, "IS 14650 CPS 10748/GR2", "IS 14650 CPS 10748/GR3")</f>
        <v>IS 14650 CPS 10748/GR2</v>
      </c>
      <c r="T41" s="831" t="s">
        <v>769</v>
      </c>
      <c r="U41" s="825"/>
      <c r="V41" s="826"/>
      <c r="W41" s="206">
        <f>Prod.!B23</f>
        <v>0</v>
      </c>
      <c r="X41" s="469">
        <f>Prod.!C23</f>
        <v>0</v>
      </c>
      <c r="Y41" s="469">
        <f>Prod.!D23</f>
        <v>0</v>
      </c>
      <c r="Z41" s="469">
        <f>Prod.!E23</f>
        <v>0</v>
      </c>
      <c r="AA41" s="282">
        <f>Prod.!F23</f>
        <v>0</v>
      </c>
      <c r="AB41" s="282">
        <f>Prod.!G23</f>
        <v>0</v>
      </c>
      <c r="AC41" s="836">
        <f>Prod.!H23</f>
        <v>0</v>
      </c>
      <c r="AD41" s="282">
        <f>Prod.!AB23</f>
        <v>0</v>
      </c>
      <c r="AE41" s="282">
        <f>AD41-AF41</f>
        <v>0</v>
      </c>
      <c r="AF41" s="282">
        <f>Prod.!AA23</f>
        <v>0</v>
      </c>
    </row>
    <row r="42" spans="1:32" ht="15" customHeight="1">
      <c r="A42" s="1435">
        <v>3</v>
      </c>
      <c r="B42" s="818">
        <f>W43</f>
        <v>0</v>
      </c>
      <c r="C42" s="819" t="s">
        <v>765</v>
      </c>
      <c r="D42" s="822"/>
      <c r="E42" s="822"/>
      <c r="F42" s="821">
        <f ca="1">F43 + (RAND() * 0.02 - 0.01)</f>
        <v>7.9588082689980456E-3</v>
      </c>
      <c r="G42" s="821">
        <f ca="1">G43 + (RAND() * 0.06 - 0.03)</f>
        <v>0.5594426804405489</v>
      </c>
      <c r="H42" s="822">
        <f ca="1">H43 + (RAND() * 0.006 - 0.003)</f>
        <v>1.6474325210026654E-3</v>
      </c>
      <c r="I42" s="822">
        <f ca="1">I43 + (RAND() * 0.006 - 0.003)</f>
        <v>2.9250420145272675E-4</v>
      </c>
      <c r="J42" s="821">
        <f ca="1">J43 + (RAND() * 0.02 - 0.01)</f>
        <v>9.4405660749692418E-3</v>
      </c>
      <c r="K42" s="821"/>
      <c r="L42" s="822"/>
      <c r="M42" s="821"/>
      <c r="N42" s="823"/>
      <c r="O42" s="823"/>
      <c r="P42" s="823"/>
      <c r="Q42" s="823"/>
      <c r="R42" s="839"/>
      <c r="S42" s="821"/>
      <c r="T42" s="821"/>
      <c r="U42" s="825"/>
      <c r="V42" s="826"/>
    </row>
    <row r="43" spans="1:32" ht="15" customHeight="1">
      <c r="A43" s="1435"/>
      <c r="B43" s="827">
        <f>B42</f>
        <v>0</v>
      </c>
      <c r="C43" s="828" t="s">
        <v>768</v>
      </c>
      <c r="D43" s="829" t="str">
        <f>IF(AC43=130, "130 × 130", IF(AC43=160, "160 × 160", IF(AC43=110, "110 × 110", "Value not 130, 160, or 110")))</f>
        <v>Value not 130, 160, or 110</v>
      </c>
      <c r="E43" s="830">
        <f>AD43</f>
        <v>0</v>
      </c>
      <c r="F43" s="831">
        <f ca="1">IF(X43 &gt; 0.1, RAND() * (0.1 - 0.06) + 0.06, X43)</f>
        <v>0</v>
      </c>
      <c r="G43" s="831">
        <f ca="1">IF(Y43 &lt; 0.5, 0.5 + RAND() * 0.1, Y43)</f>
        <v>0.52998558335626511</v>
      </c>
      <c r="H43" s="830">
        <f ca="1">IF(AB43&gt;0.04, 0.029 + (0.039-0.029)*RAND(), AB43)</f>
        <v>0</v>
      </c>
      <c r="I43" s="830">
        <f ca="1">IF(AA43&gt;0.04, 0.029 + (0.039-0.029)*RAND(), AA43)</f>
        <v>0</v>
      </c>
      <c r="J43" s="831">
        <f ca="1">IF(Z43&gt;0.15, 0.11 + (0.15-0.11) * RAND(), Z43)</f>
        <v>0</v>
      </c>
      <c r="K43" s="830">
        <f ca="1">0.004 + (RAND() * (0.001 - 0.004))</f>
        <v>3.2053725417831671E-3</v>
      </c>
      <c r="L43" s="830">
        <f ca="1">H43+I43</f>
        <v>0</v>
      </c>
      <c r="M43" s="831">
        <f ca="1">(G43/6)+F43</f>
        <v>8.8330930559377518E-2</v>
      </c>
      <c r="N43" s="831">
        <f ca="1">2 + RAND()</f>
        <v>2.7781842675609658</v>
      </c>
      <c r="O43" s="831">
        <f ca="1">1 + RAND()</f>
        <v>1.0192697688584027</v>
      </c>
      <c r="P43" s="831">
        <f ca="1">2.98 + (RAND() * (3.03 - 2.98))</f>
        <v>3.0271767120937985</v>
      </c>
      <c r="Q43" s="832" t="str">
        <f ca="1">IF(D43="130 × 130", (130 + RANDBETWEEN(-1,1)) &amp; " × " &amp; (130 + RANDBETWEEN(-1,1)),
   IF(D43="160 × 160", (160 + RANDBETWEEN(-1,1)) &amp; " × " &amp; (160 + RANDBETWEEN(-1,1)),
   IF(D43="110 × 110", (110 + RANDBETWEEN(-1,1)) &amp; " × " &amp; (110 + RANDBETWEEN(-1,1)),
   "Value not matched")))</f>
        <v>Value not matched</v>
      </c>
      <c r="R43" s="833" t="s">
        <v>213</v>
      </c>
      <c r="S43" s="834" t="str">
        <f ca="1">IF(G43&lt;0.6, "IS 14650 CPS 10748/GR2", "IS 14650 CPS 10748/GR3")</f>
        <v>IS 14650 CPS 10748/GR2</v>
      </c>
      <c r="T43" s="831" t="s">
        <v>769</v>
      </c>
      <c r="U43" s="825"/>
      <c r="V43" s="826"/>
      <c r="W43" s="206">
        <f>Prod.!B24</f>
        <v>0</v>
      </c>
      <c r="X43" s="469">
        <f>Prod.!C24</f>
        <v>0</v>
      </c>
      <c r="Y43" s="469">
        <f>Prod.!D24</f>
        <v>0</v>
      </c>
      <c r="Z43" s="469">
        <f>Prod.!E24</f>
        <v>0</v>
      </c>
      <c r="AA43" s="282">
        <f>Prod.!F24</f>
        <v>0</v>
      </c>
      <c r="AB43" s="282">
        <f>Prod.!G24</f>
        <v>0</v>
      </c>
      <c r="AC43" s="836">
        <f>Prod.!H24</f>
        <v>0</v>
      </c>
      <c r="AD43" s="282">
        <f>Prod.!AB24</f>
        <v>0</v>
      </c>
      <c r="AE43" s="282">
        <f>AD43-AF43</f>
        <v>0</v>
      </c>
      <c r="AF43" s="282">
        <f>Prod.!AA24</f>
        <v>0</v>
      </c>
    </row>
    <row r="44" spans="1:32" ht="15" customHeight="1">
      <c r="A44" s="1435">
        <v>4</v>
      </c>
      <c r="B44" s="818">
        <f>W45</f>
        <v>0</v>
      </c>
      <c r="C44" s="819" t="s">
        <v>765</v>
      </c>
      <c r="D44" s="822"/>
      <c r="E44" s="822"/>
      <c r="F44" s="821">
        <f ca="1">F45 + (RAND() * 0.02 - 0.01)</f>
        <v>5.0016201146421743E-3</v>
      </c>
      <c r="G44" s="821">
        <f ca="1">G45 + (RAND() * 0.06 - 0.03)</f>
        <v>0.52055908617144364</v>
      </c>
      <c r="H44" s="822">
        <f ca="1">H45 + (RAND() * 0.006 - 0.003)</f>
        <v>1.6355019918461496E-3</v>
      </c>
      <c r="I44" s="822">
        <f ca="1">I45 + (RAND() * 0.006 - 0.003)</f>
        <v>1.6923428606053113E-3</v>
      </c>
      <c r="J44" s="821">
        <f ca="1">J45 + (RAND() * 0.02 - 0.01)</f>
        <v>-4.756610448902643E-3</v>
      </c>
      <c r="K44" s="821"/>
      <c r="L44" s="822"/>
      <c r="M44" s="821"/>
      <c r="N44" s="823"/>
      <c r="O44" s="823"/>
      <c r="P44" s="823"/>
      <c r="Q44" s="823"/>
      <c r="R44" s="839"/>
      <c r="S44" s="821"/>
      <c r="T44" s="821"/>
      <c r="U44" s="825"/>
      <c r="V44" s="826"/>
    </row>
    <row r="45" spans="1:32" ht="15" customHeight="1">
      <c r="A45" s="1435"/>
      <c r="B45" s="827">
        <f>B44</f>
        <v>0</v>
      </c>
      <c r="C45" s="828" t="s">
        <v>768</v>
      </c>
      <c r="D45" s="829" t="str">
        <f>IF(AC45=130, "130 × 130", IF(AC45=160, "160 × 160", IF(AC45=110, "110 × 110", "Value not 130, 160, or 110")))</f>
        <v>Value not 130, 160, or 110</v>
      </c>
      <c r="E45" s="830">
        <f>AD45</f>
        <v>0</v>
      </c>
      <c r="F45" s="831">
        <f ca="1">IF(X45 &gt; 0.1, RAND() * (0.1 - 0.06) + 0.06, X45)</f>
        <v>0</v>
      </c>
      <c r="G45" s="831">
        <f ca="1">IF(Y45 &lt; 0.5, 0.5 + RAND() * 0.1, Y45)</f>
        <v>0.52636670952882858</v>
      </c>
      <c r="H45" s="830">
        <f ca="1">IF(AB45&gt;0.04, 0.029 + (0.039-0.029)*RAND(), AB45)</f>
        <v>0</v>
      </c>
      <c r="I45" s="830">
        <f ca="1">IF(AA45&gt;0.04, 0.029 + (0.039-0.029)*RAND(), AA45)</f>
        <v>0</v>
      </c>
      <c r="J45" s="831">
        <f ca="1">IF(Z45&gt;0.15, 0.11 + (0.15-0.11) * RAND(), Z45)</f>
        <v>0</v>
      </c>
      <c r="K45" s="830">
        <f ca="1">0.004 + (RAND() * (0.001 - 0.004))</f>
        <v>1.0835591566314231E-3</v>
      </c>
      <c r="L45" s="830">
        <f ca="1">H45+I45</f>
        <v>0</v>
      </c>
      <c r="M45" s="831">
        <f ca="1">(G45/6)+F45</f>
        <v>8.772778492147143E-2</v>
      </c>
      <c r="N45" s="831">
        <f ca="1">2 + RAND()</f>
        <v>2.3632555088895462</v>
      </c>
      <c r="O45" s="831">
        <f ca="1">1 + RAND()</f>
        <v>1.1676302307493651</v>
      </c>
      <c r="P45" s="831">
        <f ca="1">2.98 + (RAND() * (3.03 - 2.98))</f>
        <v>3.0069018226229267</v>
      </c>
      <c r="Q45" s="832" t="str">
        <f ca="1">IF(D45="130 × 130", (130 + RANDBETWEEN(-1,1)) &amp; " × " &amp; (130 + RANDBETWEEN(-1,1)),
   IF(D45="160 × 160", (160 + RANDBETWEEN(-1,1)) &amp; " × " &amp; (160 + RANDBETWEEN(-1,1)),
   IF(D45="110 × 110", (110 + RANDBETWEEN(-1,1)) &amp; " × " &amp; (110 + RANDBETWEEN(-1,1)),
   "Value not matched")))</f>
        <v>Value not matched</v>
      </c>
      <c r="R45" s="833" t="s">
        <v>213</v>
      </c>
      <c r="S45" s="834" t="str">
        <f ca="1">IF(G45&lt;0.6, "IS 14650 CPS 10748/GR2", "IS 14650 CPS 10748/GR3")</f>
        <v>IS 14650 CPS 10748/GR2</v>
      </c>
      <c r="T45" s="831" t="s">
        <v>769</v>
      </c>
      <c r="U45" s="825"/>
      <c r="V45" s="826"/>
      <c r="W45" s="206">
        <f>Prod.!B25</f>
        <v>0</v>
      </c>
      <c r="X45" s="469">
        <f>Prod.!C25</f>
        <v>0</v>
      </c>
      <c r="Y45" s="469">
        <f>Prod.!D25</f>
        <v>0</v>
      </c>
      <c r="Z45" s="469">
        <f>Prod.!E25</f>
        <v>0</v>
      </c>
      <c r="AA45" s="282">
        <f>Prod.!F25</f>
        <v>0</v>
      </c>
      <c r="AB45" s="282">
        <f>Prod.!G25</f>
        <v>0</v>
      </c>
      <c r="AC45" s="836">
        <f>Prod.!H25</f>
        <v>0</v>
      </c>
      <c r="AD45" s="282">
        <f>Prod.!AB25</f>
        <v>0</v>
      </c>
      <c r="AE45" s="282">
        <f>AD45-AF45</f>
        <v>0</v>
      </c>
      <c r="AF45" s="282">
        <f>Prod.!AA25</f>
        <v>0</v>
      </c>
    </row>
    <row r="46" spans="1:32" ht="15" customHeight="1">
      <c r="A46" s="1435">
        <v>5</v>
      </c>
      <c r="B46" s="818">
        <f>W47</f>
        <v>0</v>
      </c>
      <c r="C46" s="819" t="s">
        <v>765</v>
      </c>
      <c r="D46" s="822"/>
      <c r="E46" s="822"/>
      <c r="F46" s="821">
        <f ca="1">F47 + (RAND() * 0.02 - 0.01)</f>
        <v>2.8092340998846898E-3</v>
      </c>
      <c r="G46" s="821">
        <f ca="1">G47 + (RAND() * 0.06 - 0.03)</f>
        <v>0.55017141949349857</v>
      </c>
      <c r="H46" s="822">
        <f ca="1">H47 + (RAND() * 0.006 - 0.003)</f>
        <v>3.6643879341851336E-5</v>
      </c>
      <c r="I46" s="822">
        <f ca="1">I47 + (RAND() * 0.006 - 0.003)</f>
        <v>-1.3638118617394883E-3</v>
      </c>
      <c r="J46" s="821">
        <f ca="1">J47 + (RAND() * 0.02 - 0.01)</f>
        <v>1.8006308786310196E-3</v>
      </c>
      <c r="K46" s="821"/>
      <c r="L46" s="822"/>
      <c r="M46" s="821"/>
      <c r="N46" s="823"/>
      <c r="O46" s="823"/>
      <c r="P46" s="823"/>
      <c r="Q46" s="823"/>
      <c r="R46" s="839"/>
      <c r="S46" s="821"/>
      <c r="T46" s="821"/>
      <c r="U46" s="825"/>
      <c r="V46" s="826"/>
    </row>
    <row r="47" spans="1:32" ht="15" customHeight="1">
      <c r="A47" s="1435"/>
      <c r="B47" s="827">
        <f>B46</f>
        <v>0</v>
      </c>
      <c r="C47" s="828" t="s">
        <v>768</v>
      </c>
      <c r="D47" s="829" t="str">
        <f>IF(AC47=130, "130 × 130", IF(AC47=160, "160 × 160", IF(AC47=110, "110 × 110", "Value not 130, 160, or 110")))</f>
        <v>Value not 130, 160, or 110</v>
      </c>
      <c r="E47" s="830">
        <f>AD47</f>
        <v>0</v>
      </c>
      <c r="F47" s="831">
        <f ca="1">IF(X47 &gt; 0.1, RAND() * (0.1 - 0.06) + 0.06, X47)</f>
        <v>0</v>
      </c>
      <c r="G47" s="831">
        <f ca="1">IF(Y47 &lt; 0.5, 0.5 + RAND() * 0.1, Y47)</f>
        <v>0.53106803613343012</v>
      </c>
      <c r="H47" s="830">
        <f ca="1">IF(AB47&gt;0.04, 0.029 + (0.039-0.029)*RAND(), AB47)</f>
        <v>0</v>
      </c>
      <c r="I47" s="830">
        <f ca="1">IF(AA47&gt;0.04, 0.029 + (0.039-0.029)*RAND(), AA47)</f>
        <v>0</v>
      </c>
      <c r="J47" s="831">
        <f ca="1">IF(Z47&gt;0.15, 0.11 + (0.15-0.11) * RAND(), Z47)</f>
        <v>0</v>
      </c>
      <c r="K47" s="830">
        <f ca="1">0.004 + (RAND() * (0.001 - 0.004))</f>
        <v>2.1046322315493027E-3</v>
      </c>
      <c r="L47" s="830">
        <f ca="1">H47+I47</f>
        <v>0</v>
      </c>
      <c r="M47" s="831">
        <f ca="1">(G47/6)+F47</f>
        <v>8.8511339355571692E-2</v>
      </c>
      <c r="N47" s="831">
        <f ca="1">2 + RAND()</f>
        <v>2.0300782361090808</v>
      </c>
      <c r="O47" s="831">
        <f ca="1">1 + RAND()</f>
        <v>1.7759141898801836</v>
      </c>
      <c r="P47" s="831">
        <f ca="1">2.98 + (RAND() * (3.03 - 2.98))</f>
        <v>3.0067203386982757</v>
      </c>
      <c r="Q47" s="832" t="str">
        <f ca="1">IF(D47="130 × 130", (130 + RANDBETWEEN(-1,1)) &amp; " × " &amp; (130 + RANDBETWEEN(-1,1)),
   IF(D47="160 × 160", (160 + RANDBETWEEN(-1,1)) &amp; " × " &amp; (160 + RANDBETWEEN(-1,1)),
   IF(D47="110 × 110", (110 + RANDBETWEEN(-1,1)) &amp; " × " &amp; (110 + RANDBETWEEN(-1,1)),
   "Value not matched")))</f>
        <v>Value not matched</v>
      </c>
      <c r="R47" s="833" t="s">
        <v>213</v>
      </c>
      <c r="S47" s="834" t="str">
        <f ca="1">IF(G47&lt;0.6, "IS 14650 CPS 10748/GR2", "IS 14650 CPS 10748/GR3")</f>
        <v>IS 14650 CPS 10748/GR2</v>
      </c>
      <c r="T47" s="831" t="s">
        <v>769</v>
      </c>
      <c r="U47" s="825"/>
      <c r="V47" s="826"/>
      <c r="W47" s="206">
        <f>Prod.!B26</f>
        <v>0</v>
      </c>
      <c r="X47" s="469">
        <f>Prod.!C26</f>
        <v>0</v>
      </c>
      <c r="Y47" s="469">
        <f>Prod.!D26</f>
        <v>0</v>
      </c>
      <c r="Z47" s="469">
        <f>Prod.!E26</f>
        <v>0</v>
      </c>
      <c r="AA47" s="282">
        <f>Prod.!F26</f>
        <v>0</v>
      </c>
      <c r="AB47" s="282">
        <f>Prod.!G26</f>
        <v>0</v>
      </c>
      <c r="AC47" s="836">
        <f>Prod.!H26</f>
        <v>0</v>
      </c>
      <c r="AD47" s="282">
        <f>Prod.!AB26</f>
        <v>0</v>
      </c>
      <c r="AE47" s="282">
        <f>AD47-AF47</f>
        <v>0</v>
      </c>
      <c r="AF47" s="282">
        <f>Prod.!AA26</f>
        <v>0</v>
      </c>
    </row>
    <row r="48" spans="1:32" ht="15" customHeight="1">
      <c r="A48" s="1435">
        <v>6</v>
      </c>
      <c r="B48" s="818">
        <f>W49</f>
        <v>0</v>
      </c>
      <c r="C48" s="819" t="s">
        <v>765</v>
      </c>
      <c r="D48" s="822"/>
      <c r="E48" s="822"/>
      <c r="F48" s="821">
        <f ca="1">F49 + (RAND() * 0.02 - 0.01)</f>
        <v>6.5754473557436601E-3</v>
      </c>
      <c r="G48" s="821">
        <f ca="1">G49 + (RAND() * 0.06 - 0.03)</f>
        <v>0.56519843777995549</v>
      </c>
      <c r="H48" s="822">
        <f ca="1">H49 + (RAND() * 0.006 - 0.003)</f>
        <v>7.6280843254682932E-4</v>
      </c>
      <c r="I48" s="822">
        <f ca="1">I49 + (RAND() * 0.006 - 0.003)</f>
        <v>2.0781048761827764E-3</v>
      </c>
      <c r="J48" s="821">
        <f ca="1">J49 + (RAND() * 0.02 - 0.01)</f>
        <v>5.8686924765865619E-3</v>
      </c>
      <c r="K48" s="821"/>
      <c r="L48" s="822"/>
      <c r="M48" s="821"/>
      <c r="N48" s="823"/>
      <c r="O48" s="823"/>
      <c r="P48" s="823"/>
      <c r="Q48" s="823"/>
      <c r="R48" s="839"/>
      <c r="S48" s="821"/>
      <c r="T48" s="821"/>
      <c r="U48" s="825"/>
      <c r="V48" s="826"/>
    </row>
    <row r="49" spans="1:32" ht="15" customHeight="1">
      <c r="A49" s="1435"/>
      <c r="B49" s="827">
        <f>B48</f>
        <v>0</v>
      </c>
      <c r="C49" s="828" t="s">
        <v>768</v>
      </c>
      <c r="D49" s="829" t="str">
        <f>IF(AC49=130, "130 × 130", IF(AC49=160, "160 × 160", IF(AC49=110, "110 × 110", "Value not 130, 160, or 110")))</f>
        <v>Value not 130, 160, or 110</v>
      </c>
      <c r="E49" s="830">
        <f>AD49</f>
        <v>0</v>
      </c>
      <c r="F49" s="831">
        <f ca="1">IF(X49 &gt; 0.1, RAND() * (0.1 - 0.06) + 0.06, X49)</f>
        <v>0</v>
      </c>
      <c r="G49" s="831">
        <f ca="1">IF(Y49 &lt; 0.5, 0.5 + RAND() * 0.1, Y49)</f>
        <v>0.56820287307327466</v>
      </c>
      <c r="H49" s="830">
        <f ca="1">IF(AB49&gt;0.04, 0.029 + (0.039-0.029)*RAND(), AB49)</f>
        <v>0</v>
      </c>
      <c r="I49" s="830">
        <f ca="1">IF(AA49&gt;0.04, 0.029 + (0.039-0.029)*RAND(), AA49)</f>
        <v>0</v>
      </c>
      <c r="J49" s="831">
        <f ca="1">IF(Z49&gt;0.15, 0.11 + (0.15-0.11) * RAND(), Z49)</f>
        <v>0</v>
      </c>
      <c r="K49" s="830">
        <f ca="1">0.004 + (RAND() * (0.001 - 0.004))</f>
        <v>1.5205603562953246E-3</v>
      </c>
      <c r="L49" s="830">
        <f ca="1">H49+I49</f>
        <v>0</v>
      </c>
      <c r="M49" s="831">
        <f ca="1">(G49/6)+F49</f>
        <v>9.4700478845545777E-2</v>
      </c>
      <c r="N49" s="831">
        <f ca="1">2 + RAND()</f>
        <v>2.0408895069992461</v>
      </c>
      <c r="O49" s="831">
        <f ca="1">1 + RAND()</f>
        <v>1.381725060770512</v>
      </c>
      <c r="P49" s="831">
        <f ca="1">2.98 + (RAND() * (3.03 - 2.98))</f>
        <v>3.0239824951201202</v>
      </c>
      <c r="Q49" s="832" t="str">
        <f ca="1">IF(D49="130 × 130", (130 + RANDBETWEEN(-1,1)) &amp; " × " &amp; (130 + RANDBETWEEN(-1,1)),
   IF(D49="160 × 160", (160 + RANDBETWEEN(-1,1)) &amp; " × " &amp; (160 + RANDBETWEEN(-1,1)),
   IF(D49="110 × 110", (110 + RANDBETWEEN(-1,1)) &amp; " × " &amp; (110 + RANDBETWEEN(-1,1)),
   "Value not matched")))</f>
        <v>Value not matched</v>
      </c>
      <c r="R49" s="833" t="s">
        <v>213</v>
      </c>
      <c r="S49" s="834" t="str">
        <f ca="1">IF(G49&lt;0.6, "IS 14650 CPS 10748/GR2", "IS 14650 CPS 10748/GR3")</f>
        <v>IS 14650 CPS 10748/GR2</v>
      </c>
      <c r="T49" s="831" t="s">
        <v>769</v>
      </c>
      <c r="U49" s="825"/>
      <c r="V49" s="826"/>
      <c r="W49" s="206">
        <f>Prod.!B27</f>
        <v>0</v>
      </c>
      <c r="X49" s="469">
        <f>Prod.!C27</f>
        <v>0</v>
      </c>
      <c r="Y49" s="469">
        <f>Prod.!D27</f>
        <v>0</v>
      </c>
      <c r="Z49" s="469">
        <f>Prod.!E27</f>
        <v>0</v>
      </c>
      <c r="AA49" s="282">
        <f>Prod.!F27</f>
        <v>0</v>
      </c>
      <c r="AB49" s="282">
        <f>Prod.!G27</f>
        <v>0</v>
      </c>
      <c r="AC49" s="836">
        <f>Prod.!H27</f>
        <v>0</v>
      </c>
      <c r="AD49" s="282">
        <f>Prod.!AB27</f>
        <v>0</v>
      </c>
      <c r="AE49" s="282">
        <f>AD49-AF49</f>
        <v>0</v>
      </c>
      <c r="AF49" s="282">
        <f>Prod.!AA27</f>
        <v>0</v>
      </c>
    </row>
    <row r="50" spans="1:32" ht="15" customHeight="1">
      <c r="A50" s="1435">
        <v>7</v>
      </c>
      <c r="B50" s="818">
        <f>W51</f>
        <v>0</v>
      </c>
      <c r="C50" s="819" t="s">
        <v>765</v>
      </c>
      <c r="D50" s="822"/>
      <c r="E50" s="822"/>
      <c r="F50" s="821">
        <f ca="1">F51 + (RAND() * 0.02 - 0.01)</f>
        <v>-8.6883528913362165E-5</v>
      </c>
      <c r="G50" s="821">
        <f ca="1">G51 + (RAND() * 0.06 - 0.03)</f>
        <v>0.57088589748029128</v>
      </c>
      <c r="H50" s="822">
        <f ca="1">H51 + (RAND() * 0.006 - 0.003)</f>
        <v>-1.1299441980991334E-3</v>
      </c>
      <c r="I50" s="822">
        <f ca="1">I51 + (RAND() * 0.006 - 0.003)</f>
        <v>-2.7137675596064182E-3</v>
      </c>
      <c r="J50" s="821">
        <f ca="1">J51 + (RAND() * 0.02 - 0.01)</f>
        <v>-8.9908624877388446E-3</v>
      </c>
      <c r="K50" s="821"/>
      <c r="L50" s="822"/>
      <c r="M50" s="821"/>
      <c r="N50" s="823"/>
      <c r="O50" s="823"/>
      <c r="P50" s="823"/>
      <c r="Q50" s="823"/>
      <c r="R50" s="839"/>
      <c r="S50" s="821"/>
      <c r="T50" s="821"/>
      <c r="U50" s="825"/>
      <c r="V50" s="826"/>
    </row>
    <row r="51" spans="1:32" ht="15" customHeight="1">
      <c r="A51" s="1435"/>
      <c r="B51" s="827">
        <f>B50</f>
        <v>0</v>
      </c>
      <c r="C51" s="828" t="s">
        <v>768</v>
      </c>
      <c r="D51" s="829" t="str">
        <f>IF(AC51=130, "130 × 130", IF(AC51=160, "160 × 160", IF(AC51=110, "110 × 110", "Value not 130, 160, or 110")))</f>
        <v>Value not 130, 160, or 110</v>
      </c>
      <c r="E51" s="830">
        <f>AD51</f>
        <v>0</v>
      </c>
      <c r="F51" s="831">
        <f ca="1">IF(X51 &gt; 0.1, RAND() * (0.1 - 0.06) + 0.06, X51)</f>
        <v>0</v>
      </c>
      <c r="G51" s="831">
        <f ca="1">IF(Y51 &lt; 0.5, 0.5 + RAND() * 0.1, Y51)</f>
        <v>0.57342496374217999</v>
      </c>
      <c r="H51" s="830">
        <f ca="1">IF(AB51&gt;0.04, 0.029 + (0.039-0.029)*RAND(), AB51)</f>
        <v>0</v>
      </c>
      <c r="I51" s="830">
        <f ca="1">IF(AA51&gt;0.04, 0.029 + (0.039-0.029)*RAND(), AA51)</f>
        <v>0</v>
      </c>
      <c r="J51" s="831">
        <f ca="1">IF(Z51&gt;0.15, 0.11 + (0.15-0.11) * RAND(), Z51)</f>
        <v>0</v>
      </c>
      <c r="K51" s="830">
        <f ca="1">0.004 + (RAND() * (0.001 - 0.004))</f>
        <v>3.8925571086488547E-3</v>
      </c>
      <c r="L51" s="830">
        <f ca="1">H51+I51</f>
        <v>0</v>
      </c>
      <c r="M51" s="831">
        <f ca="1">(G51/6)+F51</f>
        <v>9.5570827290363328E-2</v>
      </c>
      <c r="N51" s="831">
        <f ca="1">2 + RAND()</f>
        <v>2.9830049463240327</v>
      </c>
      <c r="O51" s="831">
        <f ca="1">1 + RAND()</f>
        <v>1.3919144976443603</v>
      </c>
      <c r="P51" s="831">
        <f ca="1">2.98 + (RAND() * (3.03 - 2.98))</f>
        <v>2.9888079706569979</v>
      </c>
      <c r="Q51" s="832" t="str">
        <f ca="1">IF(D51="130 × 130", (130 + RANDBETWEEN(-1,1)) &amp; " × " &amp; (130 + RANDBETWEEN(-1,1)),
   IF(D51="160 × 160", (160 + RANDBETWEEN(-1,1)) &amp; " × " &amp; (160 + RANDBETWEEN(-1,1)),
   IF(D51="110 × 110", (110 + RANDBETWEEN(-1,1)) &amp; " × " &amp; (110 + RANDBETWEEN(-1,1)),
   "Value not matched")))</f>
        <v>Value not matched</v>
      </c>
      <c r="R51" s="833" t="s">
        <v>213</v>
      </c>
      <c r="S51" s="834" t="str">
        <f ca="1">IF(G51&lt;0.6, "IS 14650 CPS 10748/GR2", "IS 14650 CPS 10748/GR3")</f>
        <v>IS 14650 CPS 10748/GR2</v>
      </c>
      <c r="T51" s="831" t="s">
        <v>769</v>
      </c>
      <c r="U51" s="825"/>
      <c r="V51" s="826"/>
      <c r="W51" s="206">
        <f>Prod.!B28</f>
        <v>0</v>
      </c>
      <c r="X51" s="469">
        <f>Prod.!C28</f>
        <v>0</v>
      </c>
      <c r="Y51" s="469">
        <f>Prod.!D28</f>
        <v>0</v>
      </c>
      <c r="Z51" s="469">
        <f>Prod.!E28</f>
        <v>0</v>
      </c>
      <c r="AA51" s="282">
        <f>Prod.!F28</f>
        <v>0</v>
      </c>
      <c r="AB51" s="282">
        <f>Prod.!G28</f>
        <v>0</v>
      </c>
      <c r="AC51" s="836">
        <f>Prod.!H28</f>
        <v>0</v>
      </c>
      <c r="AD51" s="282">
        <f>Prod.!AB28</f>
        <v>0</v>
      </c>
      <c r="AE51" s="282">
        <f>AD51-AF51</f>
        <v>0</v>
      </c>
      <c r="AF51" s="282">
        <f>Prod.!AA28</f>
        <v>0</v>
      </c>
    </row>
    <row r="52" spans="1:32" ht="15" customHeight="1">
      <c r="A52" s="1435">
        <v>8</v>
      </c>
      <c r="B52" s="818">
        <f>W53</f>
        <v>0</v>
      </c>
      <c r="C52" s="819" t="s">
        <v>765</v>
      </c>
      <c r="D52" s="822"/>
      <c r="E52" s="822"/>
      <c r="F52" s="821">
        <f ca="1">F53 + (RAND() * 0.02 - 0.01)</f>
        <v>3.7861851295609757E-3</v>
      </c>
      <c r="G52" s="821">
        <f ca="1">G53 + (RAND() * 0.06 - 0.03)</f>
        <v>0.49465768548992323</v>
      </c>
      <c r="H52" s="822">
        <f ca="1">H53 + (RAND() * 0.006 - 0.003)</f>
        <v>-9.5018642914499558E-4</v>
      </c>
      <c r="I52" s="822">
        <f ca="1">I53 + (RAND() * 0.006 - 0.003)</f>
        <v>1.2614031537334413E-3</v>
      </c>
      <c r="J52" s="821">
        <f ca="1">J53 + (RAND() * 0.02 - 0.01)</f>
        <v>2.0764027919266438E-3</v>
      </c>
      <c r="K52" s="821"/>
      <c r="L52" s="822"/>
      <c r="M52" s="821"/>
      <c r="N52" s="823"/>
      <c r="O52" s="823"/>
      <c r="P52" s="823"/>
      <c r="Q52" s="823"/>
      <c r="R52" s="839"/>
      <c r="S52" s="821"/>
      <c r="T52" s="821"/>
      <c r="U52" s="825"/>
      <c r="V52" s="826"/>
    </row>
    <row r="53" spans="1:32" ht="15" customHeight="1">
      <c r="A53" s="1435"/>
      <c r="B53" s="827">
        <f>B52</f>
        <v>0</v>
      </c>
      <c r="C53" s="828" t="s">
        <v>768</v>
      </c>
      <c r="D53" s="829" t="str">
        <f>IF(AC53=130, "130 × 130", IF(AC53=160, "160 × 160", IF(AC53=110, "110 × 110", "Value not 130, 160, or 110")))</f>
        <v>Value not 130, 160, or 110</v>
      </c>
      <c r="E53" s="830">
        <f>AD53</f>
        <v>0</v>
      </c>
      <c r="F53" s="831">
        <f ca="1">IF(X53 &gt; 0.1, RAND() * (0.1 - 0.06) + 0.06, X53)</f>
        <v>0</v>
      </c>
      <c r="G53" s="831">
        <f ca="1">IF(Y53 &lt; 0.5, 0.5 + RAND() * 0.1, Y53)</f>
        <v>0.52436656290696004</v>
      </c>
      <c r="H53" s="830">
        <f ca="1">IF(AB53&gt;0.04, 0.029 + (0.039-0.029)*RAND(), AB53)</f>
        <v>0</v>
      </c>
      <c r="I53" s="830">
        <f ca="1">IF(AA53&gt;0.04, 0.029 + (0.039-0.029)*RAND(), AA53)</f>
        <v>0</v>
      </c>
      <c r="J53" s="831">
        <f ca="1">IF(Z53&gt;0.15, 0.11 + (0.15-0.11) * RAND(), Z53)</f>
        <v>0</v>
      </c>
      <c r="K53" s="830">
        <f ca="1">0.004 + (RAND() * (0.001 - 0.004))</f>
        <v>1.5302782340625991E-3</v>
      </c>
      <c r="L53" s="830">
        <f ca="1">H53+I53</f>
        <v>0</v>
      </c>
      <c r="M53" s="831">
        <f ca="1">(G53/6)+F53</f>
        <v>8.7394427151160012E-2</v>
      </c>
      <c r="N53" s="831">
        <f ca="1">2 + RAND()</f>
        <v>2.9568105088804968</v>
      </c>
      <c r="O53" s="831">
        <f ca="1">1 + RAND()</f>
        <v>1.289046454037909</v>
      </c>
      <c r="P53" s="831">
        <f ca="1">2.98 + (RAND() * (3.03 - 2.98))</f>
        <v>3.0088047558563744</v>
      </c>
      <c r="Q53" s="832" t="str">
        <f ca="1">IF(D53="130 × 130", (130 + RANDBETWEEN(-1,1)) &amp; " × " &amp; (130 + RANDBETWEEN(-1,1)),
   IF(D53="160 × 160", (160 + RANDBETWEEN(-1,1)) &amp; " × " &amp; (160 + RANDBETWEEN(-1,1)),
   IF(D53="110 × 110", (110 + RANDBETWEEN(-1,1)) &amp; " × " &amp; (110 + RANDBETWEEN(-1,1)),
   "Value not matched")))</f>
        <v>Value not matched</v>
      </c>
      <c r="R53" s="833" t="s">
        <v>213</v>
      </c>
      <c r="S53" s="834" t="str">
        <f ca="1">IF(G53&lt;0.6, "IS 14650 CPS 10748/GR2", "IS 14650 CPS 10748/GR3")</f>
        <v>IS 14650 CPS 10748/GR2</v>
      </c>
      <c r="T53" s="831" t="s">
        <v>769</v>
      </c>
      <c r="U53" s="825"/>
      <c r="V53" s="826"/>
      <c r="W53" s="206">
        <f>Prod.!B29</f>
        <v>0</v>
      </c>
      <c r="X53" s="469">
        <f>Prod.!C29</f>
        <v>0</v>
      </c>
      <c r="Y53" s="469">
        <f>Prod.!D29</f>
        <v>0</v>
      </c>
      <c r="Z53" s="469">
        <f>Prod.!E29</f>
        <v>0</v>
      </c>
      <c r="AA53" s="282">
        <f>Prod.!F29</f>
        <v>0</v>
      </c>
      <c r="AB53" s="282">
        <f>Prod.!G29</f>
        <v>0</v>
      </c>
      <c r="AC53" s="836">
        <f>Prod.!H29</f>
        <v>0</v>
      </c>
      <c r="AD53" s="282">
        <f>Prod.!AB29</f>
        <v>0</v>
      </c>
      <c r="AE53" s="282">
        <f>AD53-AF53</f>
        <v>0</v>
      </c>
      <c r="AF53" s="282">
        <f>Prod.!AA29</f>
        <v>0</v>
      </c>
    </row>
    <row r="54" spans="1:32" ht="15" customHeight="1">
      <c r="A54" s="1435">
        <v>9</v>
      </c>
      <c r="B54" s="818">
        <f>W55</f>
        <v>0</v>
      </c>
      <c r="C54" s="819" t="s">
        <v>765</v>
      </c>
      <c r="D54" s="822"/>
      <c r="E54" s="822"/>
      <c r="F54" s="821">
        <f ca="1">F55 + (RAND() * 0.02 - 0.01)</f>
        <v>3.7869566722269505E-3</v>
      </c>
      <c r="G54" s="821">
        <f ca="1">G55 + (RAND() * 0.06 - 0.03)</f>
        <v>0.56034352379373853</v>
      </c>
      <c r="H54" s="822">
        <f ca="1">H55 + (RAND() * 0.006 - 0.003)</f>
        <v>-1.7659547104765545E-3</v>
      </c>
      <c r="I54" s="822">
        <f ca="1">I55 + (RAND() * 0.006 - 0.003)</f>
        <v>-8.5587550901964661E-4</v>
      </c>
      <c r="J54" s="821">
        <f ca="1">J55 + (RAND() * 0.02 - 0.01)</f>
        <v>-5.5407312230005079E-3</v>
      </c>
      <c r="K54" s="821"/>
      <c r="L54" s="822"/>
      <c r="M54" s="821"/>
      <c r="N54" s="823"/>
      <c r="O54" s="823"/>
      <c r="P54" s="823"/>
      <c r="Q54" s="823"/>
      <c r="R54" s="839"/>
      <c r="S54" s="821"/>
      <c r="T54" s="821"/>
      <c r="U54" s="825"/>
      <c r="V54" s="826"/>
    </row>
    <row r="55" spans="1:32" ht="15" customHeight="1">
      <c r="A55" s="1435"/>
      <c r="B55" s="827">
        <f>B54</f>
        <v>0</v>
      </c>
      <c r="C55" s="828" t="s">
        <v>768</v>
      </c>
      <c r="D55" s="829" t="str">
        <f>IF(AC55=130, "130 × 130", IF(AC55=160, "160 × 160", IF(AC55=110, "110 × 110", "Value not 130, 160, or 110")))</f>
        <v>Value not 130, 160, or 110</v>
      </c>
      <c r="E55" s="830">
        <f>AD55</f>
        <v>0</v>
      </c>
      <c r="F55" s="831">
        <f ca="1">IF(X55 &gt; 0.1, RAND() * (0.1 - 0.06) + 0.06, X55)</f>
        <v>0</v>
      </c>
      <c r="G55" s="831">
        <f ca="1">IF(Y55 &lt; 0.5, 0.5 + RAND() * 0.1, Y55)</f>
        <v>0.5476271876966935</v>
      </c>
      <c r="H55" s="830">
        <f ca="1">IF(AB55&gt;0.04, 0.029 + (0.039-0.029)*RAND(), AB55)</f>
        <v>0</v>
      </c>
      <c r="I55" s="830">
        <f ca="1">IF(AA55&gt;0.04, 0.029 + (0.039-0.029)*RAND(), AA55)</f>
        <v>0</v>
      </c>
      <c r="J55" s="831">
        <f ca="1">IF(Z55&gt;0.15, 0.11 + (0.15-0.11) * RAND(), Z55)</f>
        <v>0</v>
      </c>
      <c r="K55" s="830">
        <f ca="1">0.004 + (RAND() * (0.001 - 0.004))</f>
        <v>3.1569188387701726E-3</v>
      </c>
      <c r="L55" s="830">
        <f ca="1">H55+I55</f>
        <v>0</v>
      </c>
      <c r="M55" s="831">
        <f ca="1">(G55/6)+F55</f>
        <v>9.1271197949448921E-2</v>
      </c>
      <c r="N55" s="831">
        <f ca="1">2 + RAND()</f>
        <v>2.9871395742417963</v>
      </c>
      <c r="O55" s="831">
        <f ca="1">1 + RAND()</f>
        <v>1.1069745570030833</v>
      </c>
      <c r="P55" s="831">
        <f ca="1">2.98 + (RAND() * (3.03 - 2.98))</f>
        <v>3.0019344764251406</v>
      </c>
      <c r="Q55" s="832" t="str">
        <f ca="1">IF(D55="130 × 130", (130 + RANDBETWEEN(-1,1)) &amp; " × " &amp; (130 + RANDBETWEEN(-1,1)),
   IF(D55="160 × 160", (160 + RANDBETWEEN(-1,1)) &amp; " × " &amp; (160 + RANDBETWEEN(-1,1)),
   IF(D55="110 × 110", (110 + RANDBETWEEN(-1,1)) &amp; " × " &amp; (110 + RANDBETWEEN(-1,1)),
   "Value not matched")))</f>
        <v>Value not matched</v>
      </c>
      <c r="R55" s="833" t="s">
        <v>213</v>
      </c>
      <c r="S55" s="834" t="str">
        <f ca="1">IF(G55&lt;0.6, "IS 14650 CPS 10748/GR2", "IS 14650 CPS 10748/GR3")</f>
        <v>IS 14650 CPS 10748/GR2</v>
      </c>
      <c r="T55" s="831" t="s">
        <v>769</v>
      </c>
      <c r="U55" s="825"/>
      <c r="V55" s="826"/>
      <c r="W55" s="206">
        <f>Prod.!B30</f>
        <v>0</v>
      </c>
      <c r="X55" s="469">
        <f>Prod.!C30</f>
        <v>0</v>
      </c>
      <c r="Y55" s="469">
        <f>Prod.!D30</f>
        <v>0</v>
      </c>
      <c r="Z55" s="469">
        <f>Prod.!E30</f>
        <v>0</v>
      </c>
      <c r="AA55" s="282">
        <f>Prod.!F30</f>
        <v>0</v>
      </c>
      <c r="AB55" s="282">
        <f>Prod.!G30</f>
        <v>0</v>
      </c>
      <c r="AC55" s="836">
        <f>Prod.!H30</f>
        <v>0</v>
      </c>
      <c r="AD55" s="282">
        <f>Prod.!AB30</f>
        <v>0</v>
      </c>
      <c r="AE55" s="282">
        <f>AD55-AF55</f>
        <v>0</v>
      </c>
      <c r="AF55" s="282">
        <f>Prod.!AA30</f>
        <v>0</v>
      </c>
    </row>
    <row r="56" spans="1:32" ht="15" customHeight="1">
      <c r="A56" s="1435">
        <v>10</v>
      </c>
      <c r="B56" s="818">
        <f>W57</f>
        <v>0</v>
      </c>
      <c r="C56" s="819" t="s">
        <v>765</v>
      </c>
      <c r="D56" s="822"/>
      <c r="E56" s="822"/>
      <c r="F56" s="821">
        <f ca="1">F57 + (RAND() * 0.02 - 0.01)</f>
        <v>-1.9255865171468219E-3</v>
      </c>
      <c r="G56" s="821">
        <f ca="1">G57 + (RAND() * 0.06 - 0.03)</f>
        <v>0.52501572746005876</v>
      </c>
      <c r="H56" s="822">
        <f ca="1">H57 + (RAND() * 0.006 - 0.003)</f>
        <v>-1.6353552273023918E-3</v>
      </c>
      <c r="I56" s="822">
        <f ca="1">I57 + (RAND() * 0.006 - 0.003)</f>
        <v>6.8772063943134138E-5</v>
      </c>
      <c r="J56" s="821">
        <f ca="1">J57 + (RAND() * 0.02 - 0.01)</f>
        <v>7.3801174560183241E-3</v>
      </c>
      <c r="K56" s="821"/>
      <c r="L56" s="822"/>
      <c r="M56" s="821"/>
      <c r="N56" s="823"/>
      <c r="O56" s="823"/>
      <c r="P56" s="823"/>
      <c r="Q56" s="823"/>
      <c r="R56" s="839"/>
      <c r="S56" s="821"/>
      <c r="T56" s="821"/>
      <c r="U56" s="825"/>
      <c r="V56" s="826"/>
    </row>
    <row r="57" spans="1:32" ht="15" customHeight="1">
      <c r="A57" s="1435"/>
      <c r="B57" s="827">
        <f>B56</f>
        <v>0</v>
      </c>
      <c r="C57" s="828" t="s">
        <v>768</v>
      </c>
      <c r="D57" s="829" t="str">
        <f>IF(AC57=130, "130 × 130", IF(AC57=160, "160 × 160", IF(AC57=110, "110 × 110", "Value not 130, 160, or 110")))</f>
        <v>Value not 130, 160, or 110</v>
      </c>
      <c r="E57" s="830">
        <f>AD57</f>
        <v>0</v>
      </c>
      <c r="F57" s="831">
        <f ca="1">IF(X57 &gt; 0.1, RAND() * (0.1 - 0.06) + 0.06, X57)</f>
        <v>0</v>
      </c>
      <c r="G57" s="831">
        <f ca="1">IF(Y57 &lt; 0.5, 0.5 + RAND() * 0.1, Y57)</f>
        <v>0.53848405682090239</v>
      </c>
      <c r="H57" s="830">
        <f ca="1">IF(AB57&gt;0.04, 0.029 + (0.039-0.029)*RAND(), AB57)</f>
        <v>0</v>
      </c>
      <c r="I57" s="830">
        <f ca="1">IF(AA57&gt;0.04, 0.029 + (0.039-0.029)*RAND(), AA57)</f>
        <v>0</v>
      </c>
      <c r="J57" s="831">
        <f ca="1">IF(Z57&gt;0.15, 0.11 + (0.15-0.11) * RAND(), Z57)</f>
        <v>0</v>
      </c>
      <c r="K57" s="830">
        <f ca="1">0.004 + (RAND() * (0.001 - 0.004))</f>
        <v>3.8905573410114528E-3</v>
      </c>
      <c r="L57" s="830">
        <f ca="1">H57+I57</f>
        <v>0</v>
      </c>
      <c r="M57" s="831">
        <f ca="1">(G57/6)+F57</f>
        <v>8.9747342803483732E-2</v>
      </c>
      <c r="N57" s="831">
        <f ca="1">2 + RAND()</f>
        <v>2.8026829390872923</v>
      </c>
      <c r="O57" s="831">
        <f ca="1">1 + RAND()</f>
        <v>1.7669964896743728</v>
      </c>
      <c r="P57" s="831">
        <f ca="1">2.98 + (RAND() * (3.03 - 2.98))</f>
        <v>3.0023709882400396</v>
      </c>
      <c r="Q57" s="832" t="str">
        <f ca="1">IF(D57="130 × 130", (130 + RANDBETWEEN(-1,1)) &amp; " × " &amp; (130 + RANDBETWEEN(-1,1)),
   IF(D57="160 × 160", (160 + RANDBETWEEN(-1,1)) &amp; " × " &amp; (160 + RANDBETWEEN(-1,1)),
   IF(D57="110 × 110", (110 + RANDBETWEEN(-1,1)) &amp; " × " &amp; (110 + RANDBETWEEN(-1,1)),
   "Value not matched")))</f>
        <v>Value not matched</v>
      </c>
      <c r="R57" s="833" t="s">
        <v>213</v>
      </c>
      <c r="S57" s="834" t="str">
        <f ca="1">IF(G57&lt;0.6, "IS 14650 CPS 10748/GR2", "IS 14650 CPS 10748/GR3")</f>
        <v>IS 14650 CPS 10748/GR2</v>
      </c>
      <c r="T57" s="831" t="s">
        <v>769</v>
      </c>
      <c r="U57" s="825"/>
      <c r="V57" s="826"/>
      <c r="W57" s="206">
        <f>Prod.!B31</f>
        <v>0</v>
      </c>
      <c r="X57" s="469">
        <f>Prod.!C31</f>
        <v>0</v>
      </c>
      <c r="Y57" s="469">
        <f>Prod.!D31</f>
        <v>0</v>
      </c>
      <c r="Z57" s="469">
        <f>Prod.!E31</f>
        <v>0</v>
      </c>
      <c r="AA57" s="282">
        <f>Prod.!F31</f>
        <v>0</v>
      </c>
      <c r="AB57" s="282">
        <f>Prod.!G31</f>
        <v>0</v>
      </c>
      <c r="AC57" s="836">
        <f>Prod.!H31</f>
        <v>0</v>
      </c>
      <c r="AD57" s="282">
        <f>Prod.!AB31</f>
        <v>0</v>
      </c>
      <c r="AE57" s="282">
        <f>AD57-AF57</f>
        <v>0</v>
      </c>
      <c r="AF57" s="282">
        <f>Prod.!AA31</f>
        <v>0</v>
      </c>
    </row>
    <row r="58" spans="1:32" ht="15" customHeight="1">
      <c r="A58" s="1435">
        <v>11</v>
      </c>
      <c r="B58" s="818">
        <f>W59</f>
        <v>0</v>
      </c>
      <c r="C58" s="819" t="s">
        <v>765</v>
      </c>
      <c r="D58" s="822"/>
      <c r="E58" s="822"/>
      <c r="F58" s="821">
        <f ca="1">F59 + (RAND() * 0.02 - 0.01)</f>
        <v>-2.2372164729304147E-3</v>
      </c>
      <c r="G58" s="821">
        <f ca="1">G59 + (RAND() * 0.06 - 0.03)</f>
        <v>0.54501900400147607</v>
      </c>
      <c r="H58" s="822">
        <f ca="1">H59 + (RAND() * 0.006 - 0.003)</f>
        <v>-1.4273681539105612E-3</v>
      </c>
      <c r="I58" s="822">
        <f ca="1">I59 + (RAND() * 0.006 - 0.003)</f>
        <v>-2.9629033929809163E-4</v>
      </c>
      <c r="J58" s="821">
        <f ca="1">J59 + (RAND() * 0.02 - 0.01)</f>
        <v>-2.9692732233711138E-3</v>
      </c>
      <c r="K58" s="821"/>
      <c r="L58" s="822"/>
      <c r="M58" s="821"/>
      <c r="N58" s="823"/>
      <c r="O58" s="823"/>
      <c r="P58" s="823"/>
      <c r="Q58" s="823"/>
      <c r="R58" s="839"/>
      <c r="S58" s="821"/>
      <c r="T58" s="821"/>
      <c r="U58" s="825"/>
      <c r="V58" s="826"/>
    </row>
    <row r="59" spans="1:32" ht="15" customHeight="1">
      <c r="A59" s="1435"/>
      <c r="B59" s="827">
        <f>B58</f>
        <v>0</v>
      </c>
      <c r="C59" s="828" t="s">
        <v>768</v>
      </c>
      <c r="D59" s="829" t="str">
        <f>IF(AC59=130, "130 × 130", IF(AC59=160, "160 × 160", IF(AC59=110, "110 × 110", "Value not 130, 160, or 110")))</f>
        <v>Value not 130, 160, or 110</v>
      </c>
      <c r="E59" s="830">
        <f>AD59</f>
        <v>0</v>
      </c>
      <c r="F59" s="831">
        <f ca="1">IF(X59 &gt; 0.1, RAND() * (0.1 - 0.06) + 0.06, X59)</f>
        <v>0</v>
      </c>
      <c r="G59" s="831">
        <f ca="1">IF(Y59 &lt; 0.5, 0.5 + RAND() * 0.1, Y59)</f>
        <v>0.53059325579382821</v>
      </c>
      <c r="H59" s="830">
        <f ca="1">IF(AB59&gt;0.04, 0.029 + (0.039-0.029)*RAND(), AB59)</f>
        <v>0</v>
      </c>
      <c r="I59" s="830">
        <f ca="1">IF(AA59&gt;0.04, 0.029 + (0.039-0.029)*RAND(), AA59)</f>
        <v>0</v>
      </c>
      <c r="J59" s="831">
        <f ca="1">IF(Z59&gt;0.15, 0.11 + (0.15-0.11) * RAND(), Z59)</f>
        <v>0</v>
      </c>
      <c r="K59" s="830">
        <f ca="1">0.004 + (RAND() * (0.001 - 0.004))</f>
        <v>1.7074188776757073E-3</v>
      </c>
      <c r="L59" s="830">
        <f ca="1">H59+I59</f>
        <v>0</v>
      </c>
      <c r="M59" s="831">
        <f ca="1">(G59/6)+F59</f>
        <v>8.8432209298971373E-2</v>
      </c>
      <c r="N59" s="831">
        <f ca="1">2 + RAND()</f>
        <v>2.3164251007718391</v>
      </c>
      <c r="O59" s="831">
        <f ca="1">1 + RAND()</f>
        <v>1.3227620156562148</v>
      </c>
      <c r="P59" s="831">
        <f ca="1">2.98 + (RAND() * (3.03 - 2.98))</f>
        <v>2.9957133756621621</v>
      </c>
      <c r="Q59" s="832" t="str">
        <f ca="1">IF(D59="130 × 130", (130 + RANDBETWEEN(-1,1)) &amp; " × " &amp; (130 + RANDBETWEEN(-1,1)),
   IF(D59="160 × 160", (160 + RANDBETWEEN(-1,1)) &amp; " × " &amp; (160 + RANDBETWEEN(-1,1)),
   IF(D59="110 × 110", (110 + RANDBETWEEN(-1,1)) &amp; " × " &amp; (110 + RANDBETWEEN(-1,1)),
   "Value not matched")))</f>
        <v>Value not matched</v>
      </c>
      <c r="R59" s="833" t="s">
        <v>213</v>
      </c>
      <c r="S59" s="834" t="str">
        <f ca="1">IF(G59&lt;0.6, "IS 14650 CPS 10748/GR2", "IS 14650 CPS 10748/GR3")</f>
        <v>IS 14650 CPS 10748/GR2</v>
      </c>
      <c r="T59" s="831" t="s">
        <v>769</v>
      </c>
      <c r="U59" s="825"/>
      <c r="V59" s="826"/>
      <c r="W59" s="206">
        <f>Prod.!B32</f>
        <v>0</v>
      </c>
      <c r="X59" s="469">
        <f>Prod.!C32</f>
        <v>0</v>
      </c>
      <c r="Y59" s="469">
        <f>Prod.!D32</f>
        <v>0</v>
      </c>
      <c r="Z59" s="469">
        <f>Prod.!E32</f>
        <v>0</v>
      </c>
      <c r="AA59" s="282">
        <f>Prod.!F32</f>
        <v>0</v>
      </c>
      <c r="AB59" s="282">
        <f>Prod.!G32</f>
        <v>0</v>
      </c>
      <c r="AC59" s="836">
        <f>Prod.!H32</f>
        <v>0</v>
      </c>
      <c r="AD59" s="282">
        <f>Prod.!AB32</f>
        <v>0</v>
      </c>
      <c r="AE59" s="282">
        <f>AD59-AF59</f>
        <v>0</v>
      </c>
      <c r="AF59" s="282">
        <f>Prod.!AA32</f>
        <v>0</v>
      </c>
    </row>
    <row r="60" spans="1:32" ht="15" customHeight="1">
      <c r="A60" s="1435">
        <v>12</v>
      </c>
      <c r="B60" s="818">
        <f>W61</f>
        <v>0</v>
      </c>
      <c r="C60" s="819" t="s">
        <v>765</v>
      </c>
      <c r="D60" s="822"/>
      <c r="E60" s="822"/>
      <c r="F60" s="821">
        <f ca="1">F61 + (RAND() * 0.02 - 0.01)</f>
        <v>-7.087657974480582E-3</v>
      </c>
      <c r="G60" s="821">
        <f ca="1">G61 + (RAND() * 0.06 - 0.03)</f>
        <v>0.54139853664550963</v>
      </c>
      <c r="H60" s="822">
        <f ca="1">H61 + (RAND() * 0.006 - 0.003)</f>
        <v>2.1176580244193664E-3</v>
      </c>
      <c r="I60" s="822">
        <f ca="1">I61 + (RAND() * 0.006 - 0.003)</f>
        <v>-2.3774168583685852E-3</v>
      </c>
      <c r="J60" s="821">
        <f ca="1">J61 + (RAND() * 0.02 - 0.01)</f>
        <v>9.3550228636287095E-3</v>
      </c>
      <c r="K60" s="821"/>
      <c r="L60" s="822"/>
      <c r="M60" s="821"/>
      <c r="N60" s="823"/>
      <c r="O60" s="823"/>
      <c r="P60" s="823"/>
      <c r="Q60" s="823"/>
      <c r="R60" s="839"/>
      <c r="S60" s="821"/>
      <c r="T60" s="821"/>
      <c r="U60" s="825"/>
      <c r="V60" s="826"/>
    </row>
    <row r="61" spans="1:32" ht="15" customHeight="1">
      <c r="A61" s="1435"/>
      <c r="B61" s="827">
        <f>B60</f>
        <v>0</v>
      </c>
      <c r="C61" s="828" t="s">
        <v>768</v>
      </c>
      <c r="D61" s="829" t="str">
        <f>IF(AC61=130, "130 × 130", IF(AC61=160, "160 × 160", IF(AC61=110, "110 × 110", "Value not 130, 160, or 110")))</f>
        <v>Value not 130, 160, or 110</v>
      </c>
      <c r="E61" s="830">
        <f>AD61</f>
        <v>0</v>
      </c>
      <c r="F61" s="831">
        <f ca="1">IF(X61 &gt; 0.1, RAND() * (0.1 - 0.06) + 0.06, X61)</f>
        <v>0</v>
      </c>
      <c r="G61" s="831">
        <f ca="1">IF(Y61 &lt; 0.5, 0.5 + RAND() * 0.1, Y61)</f>
        <v>0.54318103707435195</v>
      </c>
      <c r="H61" s="830">
        <f ca="1">IF(AB61&gt;0.04, 0.029 + (0.039-0.029)*RAND(), AB61)</f>
        <v>0</v>
      </c>
      <c r="I61" s="830">
        <f ca="1">IF(AA61&gt;0.04, 0.029 + (0.039-0.029)*RAND(), AA61)</f>
        <v>0</v>
      </c>
      <c r="J61" s="831">
        <f ca="1">IF(Z61&gt;0.15, 0.11 + (0.15-0.11) * RAND(), Z61)</f>
        <v>0</v>
      </c>
      <c r="K61" s="830">
        <f ca="1">0.004 + (RAND() * (0.001 - 0.004))</f>
        <v>3.6912981888067658E-3</v>
      </c>
      <c r="L61" s="830">
        <f ca="1">H61+I61</f>
        <v>0</v>
      </c>
      <c r="M61" s="831">
        <f ca="1">(G61/6)+F61</f>
        <v>9.0530172845725329E-2</v>
      </c>
      <c r="N61" s="831">
        <f ca="1">2 + RAND()</f>
        <v>2.2543207400601761</v>
      </c>
      <c r="O61" s="831">
        <f ca="1">1 + RAND()</f>
        <v>1.879127537316974</v>
      </c>
      <c r="P61" s="831">
        <f ca="1">2.98 + (RAND() * (3.03 - 2.98))</f>
        <v>3.0274851086386909</v>
      </c>
      <c r="Q61" s="832" t="str">
        <f ca="1">IF(D61="130 × 130", (130 + RANDBETWEEN(-1,1)) &amp; " × " &amp; (130 + RANDBETWEEN(-1,1)),
   IF(D61="160 × 160", (160 + RANDBETWEEN(-1,1)) &amp; " × " &amp; (160 + RANDBETWEEN(-1,1)),
   IF(D61="110 × 110", (110 + RANDBETWEEN(-1,1)) &amp; " × " &amp; (110 + RANDBETWEEN(-1,1)),
   "Value not matched")))</f>
        <v>Value not matched</v>
      </c>
      <c r="R61" s="833" t="s">
        <v>213</v>
      </c>
      <c r="S61" s="834" t="str">
        <f ca="1">IF(G61&lt;0.6, "IS 14650 CPS 10748/GR2", "IS 14650 CPS 10748/GR3")</f>
        <v>IS 14650 CPS 10748/GR2</v>
      </c>
      <c r="T61" s="831" t="s">
        <v>769</v>
      </c>
      <c r="U61" s="825"/>
      <c r="V61" s="826"/>
      <c r="W61" s="206">
        <f>Prod.!B33</f>
        <v>0</v>
      </c>
      <c r="X61" s="469">
        <f>Prod.!C33</f>
        <v>0</v>
      </c>
      <c r="Y61" s="469">
        <f>Prod.!D33</f>
        <v>0</v>
      </c>
      <c r="Z61" s="469">
        <f>Prod.!E33</f>
        <v>0</v>
      </c>
      <c r="AA61" s="282">
        <f>Prod.!F33</f>
        <v>0</v>
      </c>
      <c r="AB61" s="282">
        <f>Prod.!G33</f>
        <v>0</v>
      </c>
      <c r="AC61" s="836">
        <f>Prod.!H33</f>
        <v>0</v>
      </c>
      <c r="AD61" s="282">
        <f>Prod.!AB33</f>
        <v>0</v>
      </c>
      <c r="AE61" s="282">
        <f>AD61-AF61</f>
        <v>0</v>
      </c>
      <c r="AF61" s="282">
        <f>Prod.!AA33</f>
        <v>0</v>
      </c>
    </row>
    <row r="62" spans="1:32" ht="15" customHeight="1">
      <c r="A62" s="1435"/>
      <c r="B62" s="818"/>
      <c r="C62" s="819"/>
      <c r="D62" s="822"/>
      <c r="E62" s="822"/>
      <c r="F62" s="821"/>
      <c r="G62" s="821"/>
      <c r="H62" s="840"/>
      <c r="I62" s="840"/>
      <c r="J62" s="821"/>
      <c r="K62" s="821"/>
      <c r="L62" s="822"/>
      <c r="M62" s="838"/>
      <c r="N62" s="821"/>
      <c r="O62" s="821"/>
      <c r="P62" s="821"/>
      <c r="Q62" s="821"/>
      <c r="R62" s="839"/>
      <c r="S62" s="841"/>
      <c r="T62" s="821"/>
      <c r="U62" s="825"/>
      <c r="V62" s="826"/>
    </row>
    <row r="63" spans="1:32" ht="15" customHeight="1">
      <c r="A63" s="1435"/>
      <c r="B63" s="827"/>
      <c r="C63" s="828"/>
      <c r="D63" s="842"/>
      <c r="E63" s="830"/>
      <c r="F63" s="831"/>
      <c r="G63" s="831"/>
      <c r="H63" s="843"/>
      <c r="I63" s="843"/>
      <c r="J63" s="831"/>
      <c r="K63" s="831"/>
      <c r="L63" s="830"/>
      <c r="M63" s="831"/>
      <c r="N63" s="831"/>
      <c r="O63" s="831"/>
      <c r="P63" s="831"/>
      <c r="Q63" s="831"/>
      <c r="R63" s="833"/>
      <c r="S63" s="834"/>
      <c r="T63" s="831"/>
      <c r="U63" s="825"/>
      <c r="V63" s="826"/>
    </row>
    <row r="64" spans="1:32" ht="15" customHeight="1">
      <c r="A64" s="180"/>
      <c r="B64" s="180"/>
      <c r="C64" s="180" t="s">
        <v>770</v>
      </c>
      <c r="D64" s="395"/>
      <c r="E64" s="844">
        <f>SUM(E38:E61)</f>
        <v>0</v>
      </c>
      <c r="F64" s="180"/>
      <c r="G64" s="180"/>
      <c r="H64" s="844"/>
      <c r="I64" s="180"/>
      <c r="J64" s="845"/>
      <c r="K64" s="845"/>
      <c r="L64" s="180"/>
      <c r="M64" s="845"/>
      <c r="N64" s="180"/>
      <c r="O64" s="180"/>
      <c r="P64" s="180"/>
      <c r="Q64" s="180"/>
      <c r="R64" s="263"/>
      <c r="S64" s="180"/>
      <c r="T64" s="180"/>
    </row>
    <row r="65" spans="1:32" ht="28.5" customHeight="1">
      <c r="A65" s="1436" t="s">
        <v>746</v>
      </c>
      <c r="B65" s="1436"/>
      <c r="C65" s="1436"/>
      <c r="D65" s="1436"/>
      <c r="E65" s="1436"/>
      <c r="F65" s="1436"/>
      <c r="G65" s="1436"/>
      <c r="H65" s="1436"/>
      <c r="I65" s="1436"/>
      <c r="J65" s="1436"/>
      <c r="K65" s="1436"/>
      <c r="L65" s="1436"/>
      <c r="M65" s="1436"/>
      <c r="N65" s="1436"/>
      <c r="O65" s="1436"/>
      <c r="P65" s="1436"/>
      <c r="Q65" s="1436"/>
      <c r="R65" s="1436"/>
      <c r="S65" s="1436"/>
      <c r="T65" s="1436"/>
      <c r="U65" s="515"/>
      <c r="V65" s="846"/>
    </row>
    <row r="66" spans="1:32" ht="15" customHeight="1">
      <c r="A66" s="1437" t="s">
        <v>747</v>
      </c>
      <c r="B66" s="1437"/>
      <c r="C66" s="1437"/>
      <c r="D66" s="1437"/>
      <c r="E66" s="1437"/>
      <c r="F66" s="1437"/>
      <c r="G66" s="1437"/>
      <c r="H66" s="1437"/>
      <c r="I66" s="1437"/>
      <c r="J66" s="1437"/>
      <c r="K66" s="1437"/>
      <c r="L66" s="1437"/>
      <c r="M66" s="1437"/>
      <c r="N66" s="1437"/>
      <c r="O66" s="1437"/>
      <c r="P66" s="1437"/>
      <c r="Q66" s="1437"/>
      <c r="R66" s="1437"/>
      <c r="S66" s="1437"/>
      <c r="T66" s="1437"/>
      <c r="U66" s="806"/>
      <c r="V66" s="807"/>
    </row>
    <row r="67" spans="1:32" ht="15" customHeight="1">
      <c r="A67" s="1438" t="str">
        <f>"DATE OF MANUFACTURING : " &amp; TEXT(V71, "DD-MM-YYYY")</f>
        <v>DATE OF MANUFACTURING : 00-01-1900</v>
      </c>
      <c r="B67" s="1438"/>
      <c r="C67" s="1438"/>
      <c r="D67" s="1438"/>
      <c r="E67" s="1438"/>
      <c r="F67" s="1438"/>
      <c r="G67" s="1438"/>
      <c r="H67" s="1438"/>
      <c r="I67" s="1438"/>
      <c r="J67" s="1438"/>
      <c r="K67" s="1438"/>
      <c r="L67" s="1438"/>
      <c r="M67" s="1438"/>
      <c r="N67" s="1437" t="s">
        <v>748</v>
      </c>
      <c r="O67" s="1437"/>
      <c r="P67" s="1437"/>
      <c r="Q67" s="1437"/>
      <c r="R67" s="1437"/>
      <c r="S67" s="1437"/>
      <c r="T67" s="1437"/>
      <c r="U67" s="808"/>
      <c r="V67" s="809"/>
    </row>
    <row r="68" spans="1:32" ht="29.25" customHeight="1">
      <c r="A68" s="1439" t="s">
        <v>749</v>
      </c>
      <c r="B68" s="1440" t="s">
        <v>750</v>
      </c>
      <c r="C68" s="1440"/>
      <c r="D68" s="1440" t="s">
        <v>751</v>
      </c>
      <c r="E68" s="1441" t="s">
        <v>752</v>
      </c>
      <c r="F68" s="1442" t="s">
        <v>753</v>
      </c>
      <c r="G68" s="1442"/>
      <c r="H68" s="1442"/>
      <c r="I68" s="1442"/>
      <c r="J68" s="1442"/>
      <c r="K68" s="1442"/>
      <c r="L68" s="1442"/>
      <c r="M68" s="1442"/>
      <c r="N68" s="1442" t="s">
        <v>754</v>
      </c>
      <c r="O68" s="1442"/>
      <c r="P68" s="1442"/>
      <c r="Q68" s="1442"/>
      <c r="R68" s="1443" t="s">
        <v>771</v>
      </c>
      <c r="S68" s="1441" t="s">
        <v>756</v>
      </c>
      <c r="T68" s="1440" t="s">
        <v>104</v>
      </c>
      <c r="U68" s="810"/>
      <c r="V68" s="811"/>
    </row>
    <row r="69" spans="1:32" ht="42.75" customHeight="1">
      <c r="A69" s="1439"/>
      <c r="B69" s="1440"/>
      <c r="C69" s="1440"/>
      <c r="D69" s="1440"/>
      <c r="E69" s="1440"/>
      <c r="F69" s="812" t="s">
        <v>40</v>
      </c>
      <c r="G69" s="812" t="s">
        <v>757</v>
      </c>
      <c r="H69" s="813" t="s">
        <v>758</v>
      </c>
      <c r="I69" s="812" t="s">
        <v>43</v>
      </c>
      <c r="J69" s="812" t="s">
        <v>42</v>
      </c>
      <c r="K69" s="812" t="s">
        <v>759</v>
      </c>
      <c r="L69" s="812" t="s">
        <v>760</v>
      </c>
      <c r="M69" s="812" t="s">
        <v>761</v>
      </c>
      <c r="N69" s="814" t="s">
        <v>762</v>
      </c>
      <c r="O69" s="815" t="s">
        <v>772</v>
      </c>
      <c r="P69" s="816" t="s">
        <v>773</v>
      </c>
      <c r="Q69" s="817" t="s">
        <v>764</v>
      </c>
      <c r="R69" s="1443"/>
      <c r="S69" s="1443"/>
      <c r="T69" s="1443"/>
      <c r="U69" s="810"/>
      <c r="V69" s="811"/>
    </row>
    <row r="70" spans="1:32" ht="15" customHeight="1">
      <c r="A70" s="1435">
        <v>1</v>
      </c>
      <c r="B70" s="818">
        <f>W71</f>
        <v>0</v>
      </c>
      <c r="C70" s="819" t="s">
        <v>765</v>
      </c>
      <c r="D70" s="820"/>
      <c r="E70" s="821"/>
      <c r="F70" s="821">
        <f ca="1">F71 + (RAND() * 0.02 - 0.01)</f>
        <v>8.6037140118863983E-3</v>
      </c>
      <c r="G70" s="821">
        <f ca="1">G71 + (RAND() * 0.06 - 0.03)</f>
        <v>0.59658115400930312</v>
      </c>
      <c r="H70" s="822">
        <f ca="1">H71 + (RAND() * 0.006 - 0.003)</f>
        <v>1.2983368238683865E-4</v>
      </c>
      <c r="I70" s="822">
        <f ca="1">I71 + (RAND() * 0.006 - 0.003)</f>
        <v>-1.6323080601453766E-3</v>
      </c>
      <c r="J70" s="821">
        <f ca="1">J71 + (RAND() * 0.02 - 0.01)</f>
        <v>8.926432499038444E-4</v>
      </c>
      <c r="K70" s="821"/>
      <c r="L70" s="822"/>
      <c r="M70" s="821"/>
      <c r="N70" s="823"/>
      <c r="O70" s="823"/>
      <c r="P70" s="823"/>
      <c r="Q70" s="823"/>
      <c r="R70" s="824"/>
      <c r="S70" s="821"/>
      <c r="T70" s="821"/>
      <c r="U70" s="825"/>
      <c r="V70" s="826"/>
      <c r="AE70" t="s">
        <v>767</v>
      </c>
    </row>
    <row r="71" spans="1:32" ht="15" customHeight="1">
      <c r="A71" s="1435"/>
      <c r="B71" s="827">
        <f>B70</f>
        <v>0</v>
      </c>
      <c r="C71" s="828" t="s">
        <v>768</v>
      </c>
      <c r="D71" s="829" t="str">
        <f>IF(AC71=130, "130 × 130", IF(AC71=160, "160 × 160", IF(AC71=110, "110 × 110", "Value not 130, 160, or 110")))</f>
        <v>Value not 130, 160, or 110</v>
      </c>
      <c r="E71" s="830">
        <f>AD71</f>
        <v>0</v>
      </c>
      <c r="F71" s="831">
        <f ca="1">IF(X71 &gt; 0.1, RAND() * (0.1 - 0.06) + 0.06, X71)</f>
        <v>0</v>
      </c>
      <c r="G71" s="831">
        <f ca="1">IF(Y71 &lt; 0.5, 0.5 + RAND() * 0.1, Y71)</f>
        <v>0.57350329586844606</v>
      </c>
      <c r="H71" s="830">
        <f ca="1">IF(AB71&gt;0.04, 0.029 + (0.039-0.029)*RAND(), AB71)</f>
        <v>0</v>
      </c>
      <c r="I71" s="830">
        <f ca="1">IF(AA71&gt;0.04, 0.029 + (0.039-0.029)*RAND(), AA71)</f>
        <v>0</v>
      </c>
      <c r="J71" s="831">
        <f ca="1">IF(Z71&gt;0.15, 0.11 + (0.15-0.11) * RAND(), Z71)</f>
        <v>0</v>
      </c>
      <c r="K71" s="830">
        <f ca="1">0.004 + (RAND() * (0.001 - 0.004))</f>
        <v>3.5199517962738311E-3</v>
      </c>
      <c r="L71" s="830">
        <f ca="1">H71+I71</f>
        <v>0</v>
      </c>
      <c r="M71" s="831">
        <f ca="1">(G71/6)+F71</f>
        <v>9.5583882644741006E-2</v>
      </c>
      <c r="N71" s="831">
        <f ca="1">2 + RAND()</f>
        <v>2.5696514901619754</v>
      </c>
      <c r="O71" s="831">
        <f ca="1">1 + RAND()</f>
        <v>1.5328845515497511</v>
      </c>
      <c r="P71" s="831">
        <f ca="1">2.98 + (RAND() * (3.03 - 2.98))</f>
        <v>3.0186096156284306</v>
      </c>
      <c r="Q71" s="832" t="str">
        <f ca="1">IF(D71="130 × 130", (130 + RANDBETWEEN(-1,1)) &amp; " × " &amp; (130 + RANDBETWEEN(-1,1)),
   IF(D71="160 × 160", (160 + RANDBETWEEN(-1,1)) &amp; " × " &amp; (160 + RANDBETWEEN(-1,1)),
   IF(D71="110 × 110", (110 + RANDBETWEEN(-1,1)) &amp; " × " &amp; (110 + RANDBETWEEN(-1,1)),
   "Value not matched")))</f>
        <v>Value not matched</v>
      </c>
      <c r="R71" s="833" t="s">
        <v>213</v>
      </c>
      <c r="S71" s="834" t="str">
        <f ca="1">IF(G71&lt;0.6, "IS 14650 CPS 10748/GR2", "IS 14650 CPS 10748/GR3")</f>
        <v>IS 14650 CPS 10748/GR2</v>
      </c>
      <c r="T71" s="831" t="s">
        <v>769</v>
      </c>
      <c r="U71" s="825"/>
      <c r="V71" s="835">
        <f>Prod.!A40</f>
        <v>0</v>
      </c>
      <c r="W71" s="206">
        <f>Prod.!B40</f>
        <v>0</v>
      </c>
      <c r="X71" s="469">
        <f>Prod.!C40</f>
        <v>0</v>
      </c>
      <c r="Y71" s="469">
        <f>Prod.!D40</f>
        <v>0</v>
      </c>
      <c r="Z71" s="469">
        <f>Prod.!E40</f>
        <v>0</v>
      </c>
      <c r="AA71" s="282">
        <f>Prod.!F40</f>
        <v>0</v>
      </c>
      <c r="AB71" s="282">
        <f>Prod.!G40</f>
        <v>0</v>
      </c>
      <c r="AC71" s="836">
        <f>Prod.!H40</f>
        <v>0</v>
      </c>
      <c r="AD71" s="282">
        <f>Prod.!AB40</f>
        <v>0</v>
      </c>
      <c r="AE71" s="282">
        <f>AD71-AF71</f>
        <v>0</v>
      </c>
      <c r="AF71" s="282">
        <f>Prod.!AA40</f>
        <v>0</v>
      </c>
    </row>
    <row r="72" spans="1:32" ht="15" customHeight="1">
      <c r="A72" s="1435">
        <v>2</v>
      </c>
      <c r="B72" s="818">
        <f>W73</f>
        <v>0</v>
      </c>
      <c r="C72" s="819" t="s">
        <v>765</v>
      </c>
      <c r="D72" s="822"/>
      <c r="E72" s="822"/>
      <c r="F72" s="821">
        <f ca="1">F73 + (RAND() * 0.02 - 0.01)</f>
        <v>-5.9816294680472941E-3</v>
      </c>
      <c r="G72" s="821">
        <f ca="1">G73 + (RAND() * 0.06 - 0.03)</f>
        <v>0.5757659180647744</v>
      </c>
      <c r="H72" s="822">
        <f ca="1">H73 + (RAND() * 0.006 - 0.003)</f>
        <v>2.1970615462410838E-3</v>
      </c>
      <c r="I72" s="822">
        <f ca="1">I73 + (RAND() * 0.006 - 0.003)</f>
        <v>1.2829378741496334E-3</v>
      </c>
      <c r="J72" s="821">
        <f ca="1">J73 + (RAND() * 0.02 - 0.01)</f>
        <v>-4.2750665412914146E-3</v>
      </c>
      <c r="K72" s="821"/>
      <c r="L72" s="822"/>
      <c r="M72" s="821"/>
      <c r="N72" s="823"/>
      <c r="O72" s="823"/>
      <c r="P72" s="823"/>
      <c r="Q72" s="823"/>
      <c r="R72" s="837"/>
      <c r="S72" s="821"/>
      <c r="T72" s="838"/>
      <c r="U72" s="825"/>
      <c r="V72" s="826"/>
    </row>
    <row r="73" spans="1:32" ht="15" customHeight="1">
      <c r="A73" s="1435"/>
      <c r="B73" s="827">
        <f>B72</f>
        <v>0</v>
      </c>
      <c r="C73" s="828" t="s">
        <v>768</v>
      </c>
      <c r="D73" s="829" t="str">
        <f>IF(AC73=130, "130 × 130", IF(AC73=160, "160 × 160", IF(AC73=110, "110 × 110", "Value not 130, 160, or 110")))</f>
        <v>Value not 130, 160, or 110</v>
      </c>
      <c r="E73" s="830">
        <f>AD73</f>
        <v>0</v>
      </c>
      <c r="F73" s="831">
        <f ca="1">IF(X73 &gt; 0.1, RAND() * (0.1 - 0.06) + 0.06, X73)</f>
        <v>0</v>
      </c>
      <c r="G73" s="831">
        <f ca="1">IF(Y73 &lt; 0.5, 0.5 + RAND() * 0.1, Y73)</f>
        <v>0.58255417410866051</v>
      </c>
      <c r="H73" s="830">
        <f ca="1">IF(AB73&gt;0.04, 0.029 + (0.039-0.029)*RAND(), AB73)</f>
        <v>0</v>
      </c>
      <c r="I73" s="830">
        <f ca="1">IF(AA73&gt;0.04, 0.029 + (0.039-0.029)*RAND(), AA73)</f>
        <v>0</v>
      </c>
      <c r="J73" s="831">
        <f ca="1">IF(Z73&gt;0.15, 0.11 + (0.15-0.11) * RAND(), Z73)</f>
        <v>0</v>
      </c>
      <c r="K73" s="830">
        <f ca="1">0.004 + (RAND() * (0.001 - 0.004))</f>
        <v>1.321178724464616E-3</v>
      </c>
      <c r="L73" s="830">
        <f ca="1">H73+I73</f>
        <v>0</v>
      </c>
      <c r="M73" s="831">
        <f ca="1">(G73/6)+F73</f>
        <v>9.7092362351443418E-2</v>
      </c>
      <c r="N73" s="831">
        <f ca="1">2 + RAND()</f>
        <v>2.7831381238596316</v>
      </c>
      <c r="O73" s="831">
        <f ca="1">1 + RAND()</f>
        <v>1.5500264851668566</v>
      </c>
      <c r="P73" s="831">
        <f ca="1">2.98 + (RAND() * (3.03 - 2.98))</f>
        <v>2.9997441733405088</v>
      </c>
      <c r="Q73" s="832" t="str">
        <f ca="1">IF(D73="130 × 130", (130 + RANDBETWEEN(-1,1)) &amp; " × " &amp; (130 + RANDBETWEEN(-1,1)),
   IF(D73="160 × 160", (160 + RANDBETWEEN(-1,1)) &amp; " × " &amp; (160 + RANDBETWEEN(-1,1)),
   IF(D73="110 × 110", (110 + RANDBETWEEN(-1,1)) &amp; " × " &amp; (110 + RANDBETWEEN(-1,1)),
   "Value not matched")))</f>
        <v>Value not matched</v>
      </c>
      <c r="R73" s="833" t="s">
        <v>213</v>
      </c>
      <c r="S73" s="834" t="str">
        <f ca="1">IF(G73&lt;0.6, "IS 14650 CPS 10748/GR2", "IS 14650 CPS 10748/GR3")</f>
        <v>IS 14650 CPS 10748/GR2</v>
      </c>
      <c r="T73" s="831" t="s">
        <v>769</v>
      </c>
      <c r="U73" s="825"/>
      <c r="V73" s="826"/>
      <c r="W73" s="206">
        <f>Prod.!B41</f>
        <v>0</v>
      </c>
      <c r="X73" s="469">
        <f>Prod.!C41</f>
        <v>0</v>
      </c>
      <c r="Y73" s="469">
        <f>Prod.!D41</f>
        <v>0</v>
      </c>
      <c r="Z73" s="469">
        <f>Prod.!E41</f>
        <v>0</v>
      </c>
      <c r="AA73" s="282">
        <f>Prod.!F41</f>
        <v>0</v>
      </c>
      <c r="AB73" s="282">
        <f>Prod.!G41</f>
        <v>0</v>
      </c>
      <c r="AC73" s="836">
        <f>Prod.!H41</f>
        <v>0</v>
      </c>
      <c r="AD73" s="282">
        <f>Prod.!AB41</f>
        <v>0</v>
      </c>
      <c r="AE73" s="282">
        <f>AD73-AF73</f>
        <v>0</v>
      </c>
      <c r="AF73" s="282">
        <f>Prod.!AA41</f>
        <v>0</v>
      </c>
    </row>
    <row r="74" spans="1:32" ht="15" customHeight="1">
      <c r="A74" s="1435">
        <v>3</v>
      </c>
      <c r="B74" s="818">
        <f>W75</f>
        <v>0</v>
      </c>
      <c r="C74" s="819" t="s">
        <v>765</v>
      </c>
      <c r="D74" s="822"/>
      <c r="E74" s="822"/>
      <c r="F74" s="821">
        <f ca="1">F75 + (RAND() * 0.02 - 0.01)</f>
        <v>7.6607044732526618E-3</v>
      </c>
      <c r="G74" s="821">
        <f ca="1">G75 + (RAND() * 0.06 - 0.03)</f>
        <v>0.51078867685826268</v>
      </c>
      <c r="H74" s="822">
        <f ca="1">H75 + (RAND() * 0.006 - 0.003)</f>
        <v>1.7017248239433198E-3</v>
      </c>
      <c r="I74" s="822">
        <f ca="1">I75 + (RAND() * 0.006 - 0.003)</f>
        <v>-1.7682005161592405E-4</v>
      </c>
      <c r="J74" s="821">
        <f ca="1">J75 + (RAND() * 0.02 - 0.01)</f>
        <v>-1.123404376465827E-3</v>
      </c>
      <c r="K74" s="821"/>
      <c r="L74" s="822"/>
      <c r="M74" s="821"/>
      <c r="N74" s="823"/>
      <c r="O74" s="823"/>
      <c r="P74" s="823"/>
      <c r="Q74" s="823"/>
      <c r="R74" s="839"/>
      <c r="S74" s="821"/>
      <c r="T74" s="821"/>
      <c r="U74" s="825"/>
      <c r="V74" s="826"/>
    </row>
    <row r="75" spans="1:32" ht="15" customHeight="1">
      <c r="A75" s="1435"/>
      <c r="B75" s="827">
        <f>B74</f>
        <v>0</v>
      </c>
      <c r="C75" s="828" t="s">
        <v>768</v>
      </c>
      <c r="D75" s="829" t="str">
        <f>IF(AC75=130, "130 × 130", IF(AC75=160, "160 × 160", IF(AC75=110, "110 × 110", "Value not 130, 160, or 110")))</f>
        <v>Value not 130, 160, or 110</v>
      </c>
      <c r="E75" s="830">
        <f>AD75</f>
        <v>0</v>
      </c>
      <c r="F75" s="831">
        <f ca="1">IF(X75 &gt; 0.1, RAND() * (0.1 - 0.06) + 0.06, X75)</f>
        <v>0</v>
      </c>
      <c r="G75" s="831">
        <f ca="1">IF(Y75 &lt; 0.5, 0.5 + RAND() * 0.1, Y75)</f>
        <v>0.52463157772814795</v>
      </c>
      <c r="H75" s="830">
        <f ca="1">IF(AB75&gt;0.04, 0.029 + (0.039-0.029)*RAND(), AB75)</f>
        <v>0</v>
      </c>
      <c r="I75" s="830">
        <f ca="1">IF(AA75&gt;0.04, 0.029 + (0.039-0.029)*RAND(), AA75)</f>
        <v>0</v>
      </c>
      <c r="J75" s="831">
        <f ca="1">IF(Z75&gt;0.15, 0.11 + (0.15-0.11) * RAND(), Z75)</f>
        <v>0</v>
      </c>
      <c r="K75" s="830">
        <f ca="1">0.004 + (RAND() * (0.001 - 0.004))</f>
        <v>1.0750765760359723E-3</v>
      </c>
      <c r="L75" s="830">
        <f ca="1">H75+I75</f>
        <v>0</v>
      </c>
      <c r="M75" s="831">
        <f ca="1">(G75/6)+F75</f>
        <v>8.7438596288024653E-2</v>
      </c>
      <c r="N75" s="831">
        <f ca="1">2 + RAND()</f>
        <v>2.651989748173031</v>
      </c>
      <c r="O75" s="831">
        <f ca="1">1 + RAND()</f>
        <v>1.0846869315732055</v>
      </c>
      <c r="P75" s="831">
        <f ca="1">2.98 + (RAND() * (3.03 - 2.98))</f>
        <v>2.9970438084569504</v>
      </c>
      <c r="Q75" s="832" t="str">
        <f ca="1">IF(D75="130 × 130", (130 + RANDBETWEEN(-1,1)) &amp; " × " &amp; (130 + RANDBETWEEN(-1,1)),
   IF(D75="160 × 160", (160 + RANDBETWEEN(-1,1)) &amp; " × " &amp; (160 + RANDBETWEEN(-1,1)),
   IF(D75="110 × 110", (110 + RANDBETWEEN(-1,1)) &amp; " × " &amp; (110 + RANDBETWEEN(-1,1)),
   "Value not matched")))</f>
        <v>Value not matched</v>
      </c>
      <c r="R75" s="833" t="s">
        <v>213</v>
      </c>
      <c r="S75" s="834" t="str">
        <f ca="1">IF(G75&lt;0.6, "IS 14650 CPS 10748/GR2", "IS 14650 CPS 10748/GR3")</f>
        <v>IS 14650 CPS 10748/GR2</v>
      </c>
      <c r="T75" s="831" t="s">
        <v>769</v>
      </c>
      <c r="U75" s="825"/>
      <c r="V75" s="826"/>
      <c r="W75" s="206">
        <f>Prod.!B42</f>
        <v>0</v>
      </c>
      <c r="X75" s="469">
        <f>Prod.!C42</f>
        <v>0</v>
      </c>
      <c r="Y75" s="469">
        <f>Prod.!D42</f>
        <v>0</v>
      </c>
      <c r="Z75" s="469">
        <f>Prod.!E42</f>
        <v>0</v>
      </c>
      <c r="AA75" s="282">
        <f>Prod.!F42</f>
        <v>0</v>
      </c>
      <c r="AB75" s="282">
        <f>Prod.!G42</f>
        <v>0</v>
      </c>
      <c r="AC75" s="836">
        <f>Prod.!H42</f>
        <v>0</v>
      </c>
      <c r="AD75" s="282">
        <f>Prod.!AB42</f>
        <v>0</v>
      </c>
      <c r="AE75" s="282">
        <f>AD75-AF75</f>
        <v>0</v>
      </c>
      <c r="AF75" s="282">
        <f>Prod.!AA42</f>
        <v>0</v>
      </c>
    </row>
    <row r="76" spans="1:32" ht="15" customHeight="1">
      <c r="A76" s="1435">
        <v>4</v>
      </c>
      <c r="B76" s="818">
        <f>W77</f>
        <v>0</v>
      </c>
      <c r="C76" s="819" t="s">
        <v>765</v>
      </c>
      <c r="D76" s="822"/>
      <c r="E76" s="822"/>
      <c r="F76" s="821">
        <f ca="1">F77 + (RAND() * 0.02 - 0.01)</f>
        <v>-7.122487528613804E-3</v>
      </c>
      <c r="G76" s="821">
        <f ca="1">G77 + (RAND() * 0.06 - 0.03)</f>
        <v>0.60268505071789757</v>
      </c>
      <c r="H76" s="822">
        <f ca="1">H77 + (RAND() * 0.006 - 0.003)</f>
        <v>2.2578584188791594E-3</v>
      </c>
      <c r="I76" s="822">
        <f ca="1">I77 + (RAND() * 0.006 - 0.003)</f>
        <v>-1.8116904013557502E-3</v>
      </c>
      <c r="J76" s="821">
        <f ca="1">J77 + (RAND() * 0.02 - 0.01)</f>
        <v>-7.4668049870571076E-3</v>
      </c>
      <c r="K76" s="821"/>
      <c r="L76" s="822"/>
      <c r="M76" s="821"/>
      <c r="N76" s="823"/>
      <c r="O76" s="823"/>
      <c r="P76" s="823"/>
      <c r="Q76" s="823"/>
      <c r="R76" s="839"/>
      <c r="S76" s="821"/>
      <c r="T76" s="821"/>
      <c r="U76" s="825"/>
      <c r="V76" s="826"/>
    </row>
    <row r="77" spans="1:32" ht="15" customHeight="1">
      <c r="A77" s="1435"/>
      <c r="B77" s="827">
        <f>B76</f>
        <v>0</v>
      </c>
      <c r="C77" s="828" t="s">
        <v>768</v>
      </c>
      <c r="D77" s="829" t="str">
        <f>IF(AC77=130, "130 × 130", IF(AC77=160, "160 × 160", IF(AC77=110, "110 × 110", "Value not 130, 160, or 110")))</f>
        <v>Value not 130, 160, or 110</v>
      </c>
      <c r="E77" s="830">
        <f>AD77</f>
        <v>0</v>
      </c>
      <c r="F77" s="831">
        <f ca="1">IF(X77 &gt; 0.1, RAND() * (0.1 - 0.06) + 0.06, X77)</f>
        <v>0</v>
      </c>
      <c r="G77" s="831">
        <f ca="1">IF(Y77 &lt; 0.5, 0.5 + RAND() * 0.1, Y77)</f>
        <v>0.58204155131212276</v>
      </c>
      <c r="H77" s="830">
        <f ca="1">IF(AB77&gt;0.04, 0.029 + (0.039-0.029)*RAND(), AB77)</f>
        <v>0</v>
      </c>
      <c r="I77" s="830">
        <f ca="1">IF(AA77&gt;0.04, 0.029 + (0.039-0.029)*RAND(), AA77)</f>
        <v>0</v>
      </c>
      <c r="J77" s="831">
        <f ca="1">IF(Z77&gt;0.15, 0.11 + (0.15-0.11) * RAND(), Z77)</f>
        <v>0</v>
      </c>
      <c r="K77" s="830">
        <f ca="1">0.004 + (RAND() * (0.001 - 0.004))</f>
        <v>2.739895471001261E-3</v>
      </c>
      <c r="L77" s="830">
        <f ca="1">H77+I77</f>
        <v>0</v>
      </c>
      <c r="M77" s="831">
        <f ca="1">(G77/6)+F77</f>
        <v>9.7006925218687132E-2</v>
      </c>
      <c r="N77" s="831">
        <f ca="1">2 + RAND()</f>
        <v>2.8002074115613986</v>
      </c>
      <c r="O77" s="831">
        <f ca="1">1 + RAND()</f>
        <v>1.4513156623415688</v>
      </c>
      <c r="P77" s="831">
        <f ca="1">2.98 + (RAND() * (3.03 - 2.98))</f>
        <v>3.0254045805177481</v>
      </c>
      <c r="Q77" s="832" t="str">
        <f ca="1">IF(D77="130 × 130", (130 + RANDBETWEEN(-1,1)) &amp; " × " &amp; (130 + RANDBETWEEN(-1,1)),
   IF(D77="160 × 160", (160 + RANDBETWEEN(-1,1)) &amp; " × " &amp; (160 + RANDBETWEEN(-1,1)),
   IF(D77="110 × 110", (110 + RANDBETWEEN(-1,1)) &amp; " × " &amp; (110 + RANDBETWEEN(-1,1)),
   "Value not matched")))</f>
        <v>Value not matched</v>
      </c>
      <c r="R77" s="833" t="s">
        <v>213</v>
      </c>
      <c r="S77" s="834" t="str">
        <f ca="1">IF(G77&lt;0.6, "IS 14650 CPS 10748/GR2", "IS 14650 CPS 10748/GR3")</f>
        <v>IS 14650 CPS 10748/GR2</v>
      </c>
      <c r="T77" s="831" t="s">
        <v>769</v>
      </c>
      <c r="U77" s="825"/>
      <c r="V77" s="826"/>
      <c r="W77" s="206">
        <f>Prod.!B43</f>
        <v>0</v>
      </c>
      <c r="X77" s="469">
        <f>Prod.!C43</f>
        <v>0</v>
      </c>
      <c r="Y77" s="469">
        <f>Prod.!D43</f>
        <v>0</v>
      </c>
      <c r="Z77" s="469">
        <f>Prod.!E43</f>
        <v>0</v>
      </c>
      <c r="AA77" s="282">
        <f>Prod.!F43</f>
        <v>0</v>
      </c>
      <c r="AB77" s="282">
        <f>Prod.!G43</f>
        <v>0</v>
      </c>
      <c r="AC77" s="836">
        <f>Prod.!H43</f>
        <v>0</v>
      </c>
      <c r="AD77" s="282">
        <f>Prod.!AB43</f>
        <v>0</v>
      </c>
      <c r="AE77" s="282">
        <f>AD77-AF77</f>
        <v>0</v>
      </c>
      <c r="AF77" s="282">
        <f>Prod.!AA43</f>
        <v>0</v>
      </c>
    </row>
    <row r="78" spans="1:32" ht="15" customHeight="1">
      <c r="A78" s="1435">
        <v>5</v>
      </c>
      <c r="B78" s="818">
        <f>W79</f>
        <v>0</v>
      </c>
      <c r="C78" s="819" t="s">
        <v>765</v>
      </c>
      <c r="D78" s="822"/>
      <c r="E78" s="822"/>
      <c r="F78" s="821">
        <f ca="1">F79 + (RAND() * 0.02 - 0.01)</f>
        <v>9.3792762225630519E-3</v>
      </c>
      <c r="G78" s="821">
        <f ca="1">G79 + (RAND() * 0.06 - 0.03)</f>
        <v>0.57263002196320589</v>
      </c>
      <c r="H78" s="822">
        <f ca="1">H79 + (RAND() * 0.006 - 0.003)</f>
        <v>9.1901537787137614E-4</v>
      </c>
      <c r="I78" s="822">
        <f ca="1">I79 + (RAND() * 0.006 - 0.003)</f>
        <v>-2.4697905528536252E-3</v>
      </c>
      <c r="J78" s="821">
        <f ca="1">J79 + (RAND() * 0.02 - 0.01)</f>
        <v>-2.2255151903148819E-3</v>
      </c>
      <c r="K78" s="821"/>
      <c r="L78" s="822"/>
      <c r="M78" s="821"/>
      <c r="N78" s="823"/>
      <c r="O78" s="823"/>
      <c r="P78" s="823"/>
      <c r="Q78" s="823"/>
      <c r="R78" s="839"/>
      <c r="S78" s="821"/>
      <c r="T78" s="821"/>
      <c r="U78" s="825"/>
      <c r="V78" s="826"/>
    </row>
    <row r="79" spans="1:32" ht="15" customHeight="1">
      <c r="A79" s="1435"/>
      <c r="B79" s="827">
        <f>B78</f>
        <v>0</v>
      </c>
      <c r="C79" s="828" t="s">
        <v>768</v>
      </c>
      <c r="D79" s="829" t="str">
        <f>IF(AC79=130, "130 × 130", IF(AC79=160, "160 × 160", IF(AC79=110, "110 × 110", "Value not 130, 160, or 110")))</f>
        <v>Value not 130, 160, or 110</v>
      </c>
      <c r="E79" s="830">
        <f>AD79</f>
        <v>0</v>
      </c>
      <c r="F79" s="831">
        <f ca="1">IF(X79 &gt; 0.1, RAND() * (0.1 - 0.06) + 0.06, X79)</f>
        <v>0</v>
      </c>
      <c r="G79" s="831">
        <f ca="1">IF(Y79 &lt; 0.5, 0.5 + RAND() * 0.1, Y79)</f>
        <v>0.57329207585672182</v>
      </c>
      <c r="H79" s="830">
        <f ca="1">IF(AB79&gt;0.04, 0.029 + (0.039-0.029)*RAND(), AB79)</f>
        <v>0</v>
      </c>
      <c r="I79" s="830">
        <f ca="1">IF(AA79&gt;0.04, 0.029 + (0.039-0.029)*RAND(), AA79)</f>
        <v>0</v>
      </c>
      <c r="J79" s="831">
        <f ca="1">IF(Z79&gt;0.15, 0.11 + (0.15-0.11) * RAND(), Z79)</f>
        <v>0</v>
      </c>
      <c r="K79" s="830">
        <f ca="1">0.004 + (RAND() * (0.001 - 0.004))</f>
        <v>1.7902635272058266E-3</v>
      </c>
      <c r="L79" s="830">
        <f ca="1">H79+I79</f>
        <v>0</v>
      </c>
      <c r="M79" s="831">
        <f ca="1">(G79/6)+F79</f>
        <v>9.5548679309453641E-2</v>
      </c>
      <c r="N79" s="831">
        <f ca="1">2 + RAND()</f>
        <v>2.2698570840008325</v>
      </c>
      <c r="O79" s="831">
        <f ca="1">1 + RAND()</f>
        <v>1.5281275369989411</v>
      </c>
      <c r="P79" s="831">
        <f ca="1">2.98 + (RAND() * (3.03 - 2.98))</f>
        <v>3.0073118178159701</v>
      </c>
      <c r="Q79" s="832" t="str">
        <f ca="1">IF(D79="130 × 130", (130 + RANDBETWEEN(-1,1)) &amp; " × " &amp; (130 + RANDBETWEEN(-1,1)),
   IF(D79="160 × 160", (160 + RANDBETWEEN(-1,1)) &amp; " × " &amp; (160 + RANDBETWEEN(-1,1)),
   IF(D79="110 × 110", (110 + RANDBETWEEN(-1,1)) &amp; " × " &amp; (110 + RANDBETWEEN(-1,1)),
   "Value not matched")))</f>
        <v>Value not matched</v>
      </c>
      <c r="R79" s="833" t="s">
        <v>213</v>
      </c>
      <c r="S79" s="834" t="str">
        <f ca="1">IF(G79&lt;0.6, "IS 14650 CPS 10748/GR2", "IS 14650 CPS 10748/GR3")</f>
        <v>IS 14650 CPS 10748/GR2</v>
      </c>
      <c r="T79" s="831" t="s">
        <v>769</v>
      </c>
      <c r="U79" s="825"/>
      <c r="V79" s="826"/>
      <c r="W79" s="206">
        <f>Prod.!B44</f>
        <v>0</v>
      </c>
      <c r="X79" s="469">
        <f>Prod.!C44</f>
        <v>0</v>
      </c>
      <c r="Y79" s="469">
        <f>Prod.!D44</f>
        <v>0</v>
      </c>
      <c r="Z79" s="469">
        <f>Prod.!E44</f>
        <v>0</v>
      </c>
      <c r="AA79" s="282">
        <f>Prod.!F44</f>
        <v>0</v>
      </c>
      <c r="AB79" s="282">
        <f>Prod.!G44</f>
        <v>0</v>
      </c>
      <c r="AC79" s="836">
        <f>Prod.!H44</f>
        <v>0</v>
      </c>
      <c r="AD79" s="282">
        <f>Prod.!AB44</f>
        <v>0</v>
      </c>
      <c r="AE79" s="282">
        <f>AD79-AF79</f>
        <v>0</v>
      </c>
      <c r="AF79" s="282">
        <f>Prod.!AA44</f>
        <v>0</v>
      </c>
    </row>
    <row r="80" spans="1:32" ht="15" customHeight="1">
      <c r="A80" s="1435">
        <v>6</v>
      </c>
      <c r="B80" s="818">
        <f>W81</f>
        <v>0</v>
      </c>
      <c r="C80" s="819" t="s">
        <v>765</v>
      </c>
      <c r="D80" s="822"/>
      <c r="E80" s="822"/>
      <c r="F80" s="821">
        <f ca="1">F81 + (RAND() * 0.02 - 0.01)</f>
        <v>9.6590337507613516E-3</v>
      </c>
      <c r="G80" s="821">
        <f ca="1">G81 + (RAND() * 0.06 - 0.03)</f>
        <v>0.55199733091665293</v>
      </c>
      <c r="H80" s="822">
        <f ca="1">H81 + (RAND() * 0.006 - 0.003)</f>
        <v>7.7528090198428039E-5</v>
      </c>
      <c r="I80" s="822">
        <f ca="1">I81 + (RAND() * 0.006 - 0.003)</f>
        <v>-4.8114516602074326E-4</v>
      </c>
      <c r="J80" s="821">
        <f ca="1">J81 + (RAND() * 0.02 - 0.01)</f>
        <v>-8.5065707207175548E-3</v>
      </c>
      <c r="K80" s="821"/>
      <c r="L80" s="822"/>
      <c r="M80" s="821"/>
      <c r="N80" s="823"/>
      <c r="O80" s="823"/>
      <c r="P80" s="823"/>
      <c r="Q80" s="823"/>
      <c r="R80" s="839"/>
      <c r="S80" s="821"/>
      <c r="T80" s="821"/>
      <c r="U80" s="825"/>
      <c r="V80" s="826"/>
    </row>
    <row r="81" spans="1:32" ht="15" customHeight="1">
      <c r="A81" s="1435"/>
      <c r="B81" s="827">
        <f>B80</f>
        <v>0</v>
      </c>
      <c r="C81" s="828" t="s">
        <v>768</v>
      </c>
      <c r="D81" s="829" t="str">
        <f>IF(AC81=130, "130 × 130", IF(AC81=160, "160 × 160", IF(AC81=110, "110 × 110", "Value not 130, 160, or 110")))</f>
        <v>Value not 130, 160, or 110</v>
      </c>
      <c r="E81" s="830">
        <f>AD81</f>
        <v>0</v>
      </c>
      <c r="F81" s="831">
        <f ca="1">IF(X81 &gt; 0.1, RAND() * (0.1 - 0.06) + 0.06, X81)</f>
        <v>0</v>
      </c>
      <c r="G81" s="831">
        <f ca="1">IF(Y81 &lt; 0.5, 0.5 + RAND() * 0.1, Y81)</f>
        <v>0.53312457041282246</v>
      </c>
      <c r="H81" s="830">
        <f ca="1">IF(AB81&gt;0.04, 0.029 + (0.039-0.029)*RAND(), AB81)</f>
        <v>0</v>
      </c>
      <c r="I81" s="830">
        <f ca="1">IF(AA81&gt;0.04, 0.029 + (0.039-0.029)*RAND(), AA81)</f>
        <v>0</v>
      </c>
      <c r="J81" s="831">
        <f ca="1">IF(Z81&gt;0.15, 0.11 + (0.15-0.11) * RAND(), Z81)</f>
        <v>0</v>
      </c>
      <c r="K81" s="830">
        <f ca="1">0.004 + (RAND() * (0.001 - 0.004))</f>
        <v>1.2726931334977481E-3</v>
      </c>
      <c r="L81" s="830">
        <f ca="1">H81+I81</f>
        <v>0</v>
      </c>
      <c r="M81" s="831">
        <f ca="1">(G81/6)+F81</f>
        <v>8.8854095068803748E-2</v>
      </c>
      <c r="N81" s="831">
        <f ca="1">2 + RAND()</f>
        <v>2.5111471087318962</v>
      </c>
      <c r="O81" s="831">
        <f ca="1">1 + RAND()</f>
        <v>1.3294192747166071</v>
      </c>
      <c r="P81" s="831">
        <f ca="1">2.98 + (RAND() * (3.03 - 2.98))</f>
        <v>3.0134775009096644</v>
      </c>
      <c r="Q81" s="832" t="str">
        <f ca="1">IF(D81="130 × 130", (130 + RANDBETWEEN(-1,1)) &amp; " × " &amp; (130 + RANDBETWEEN(-1,1)),
   IF(D81="160 × 160", (160 + RANDBETWEEN(-1,1)) &amp; " × " &amp; (160 + RANDBETWEEN(-1,1)),
   IF(D81="110 × 110", (110 + RANDBETWEEN(-1,1)) &amp; " × " &amp; (110 + RANDBETWEEN(-1,1)),
   "Value not matched")))</f>
        <v>Value not matched</v>
      </c>
      <c r="R81" s="833" t="s">
        <v>213</v>
      </c>
      <c r="S81" s="834" t="str">
        <f ca="1">IF(G81&lt;0.6, "IS 14650 CPS 10748/GR2", "IS 14650 CPS 10748/GR3")</f>
        <v>IS 14650 CPS 10748/GR2</v>
      </c>
      <c r="T81" s="831" t="s">
        <v>769</v>
      </c>
      <c r="U81" s="825"/>
      <c r="V81" s="826"/>
      <c r="W81" s="206">
        <f>Prod.!B45</f>
        <v>0</v>
      </c>
      <c r="X81" s="469">
        <f>Prod.!C45</f>
        <v>0</v>
      </c>
      <c r="Y81" s="469">
        <f>Prod.!D45</f>
        <v>0</v>
      </c>
      <c r="Z81" s="469">
        <f>Prod.!E45</f>
        <v>0</v>
      </c>
      <c r="AA81" s="282">
        <f>Prod.!F45</f>
        <v>0</v>
      </c>
      <c r="AB81" s="282">
        <f>Prod.!G45</f>
        <v>0</v>
      </c>
      <c r="AC81" s="836">
        <f>Prod.!H45</f>
        <v>0</v>
      </c>
      <c r="AD81" s="282">
        <f>Prod.!AB45</f>
        <v>0</v>
      </c>
      <c r="AE81" s="282">
        <f>AD81-AF81</f>
        <v>0</v>
      </c>
      <c r="AF81" s="282">
        <f>Prod.!AA45</f>
        <v>0</v>
      </c>
    </row>
    <row r="82" spans="1:32" ht="15" customHeight="1">
      <c r="A82" s="1435">
        <v>7</v>
      </c>
      <c r="B82" s="818">
        <f>W83</f>
        <v>0</v>
      </c>
      <c r="C82" s="819" t="s">
        <v>765</v>
      </c>
      <c r="D82" s="822"/>
      <c r="E82" s="822"/>
      <c r="F82" s="821">
        <f ca="1">F83 + (RAND() * 0.02 - 0.01)</f>
        <v>-3.7126138049690298E-3</v>
      </c>
      <c r="G82" s="821">
        <f ca="1">G83 + (RAND() * 0.06 - 0.03)</f>
        <v>0.53137632164776838</v>
      </c>
      <c r="H82" s="822">
        <f ca="1">H83 + (RAND() * 0.006 - 0.003)</f>
        <v>-2.4765121167769338E-5</v>
      </c>
      <c r="I82" s="822">
        <f ca="1">I83 + (RAND() * 0.006 - 0.003)</f>
        <v>-2.2401451842987336E-3</v>
      </c>
      <c r="J82" s="821">
        <f ca="1">J83 + (RAND() * 0.02 - 0.01)</f>
        <v>9.2367223145727647E-3</v>
      </c>
      <c r="K82" s="821"/>
      <c r="L82" s="822"/>
      <c r="M82" s="821"/>
      <c r="N82" s="823"/>
      <c r="O82" s="823"/>
      <c r="P82" s="823"/>
      <c r="Q82" s="823"/>
      <c r="R82" s="839"/>
      <c r="S82" s="821"/>
      <c r="T82" s="821"/>
      <c r="U82" s="825"/>
      <c r="V82" s="826"/>
    </row>
    <row r="83" spans="1:32" ht="15" customHeight="1">
      <c r="A83" s="1435"/>
      <c r="B83" s="827">
        <f>B82</f>
        <v>0</v>
      </c>
      <c r="C83" s="828" t="s">
        <v>768</v>
      </c>
      <c r="D83" s="829" t="str">
        <f>IF(AC83=130, "130 × 130", IF(AC83=160, "160 × 160", IF(AC83=110, "110 × 110", "Value not 130, 160, or 110")))</f>
        <v>Value not 130, 160, or 110</v>
      </c>
      <c r="E83" s="830">
        <f>AD83</f>
        <v>0</v>
      </c>
      <c r="F83" s="831">
        <f ca="1">IF(X83 &gt; 0.1, RAND() * (0.1 - 0.06) + 0.06, X83)</f>
        <v>0</v>
      </c>
      <c r="G83" s="831">
        <f ca="1">IF(Y83 &lt; 0.5, 0.5 + RAND() * 0.1, Y83)</f>
        <v>0.53299319348364294</v>
      </c>
      <c r="H83" s="830">
        <f ca="1">IF(AB83&gt;0.04, 0.029 + (0.039-0.029)*RAND(), AB83)</f>
        <v>0</v>
      </c>
      <c r="I83" s="830">
        <f ca="1">IF(AA83&gt;0.04, 0.029 + (0.039-0.029)*RAND(), AA83)</f>
        <v>0</v>
      </c>
      <c r="J83" s="831">
        <f ca="1">IF(Z83&gt;0.15, 0.11 + (0.15-0.11) * RAND(), Z83)</f>
        <v>0</v>
      </c>
      <c r="K83" s="830">
        <f ca="1">0.004 + (RAND() * (0.001 - 0.004))</f>
        <v>2.4670695159126426E-3</v>
      </c>
      <c r="L83" s="830">
        <f ca="1">H83+I83</f>
        <v>0</v>
      </c>
      <c r="M83" s="831">
        <f ca="1">(G83/6)+F83</f>
        <v>8.8832198913940494E-2</v>
      </c>
      <c r="N83" s="831">
        <f ca="1">2 + RAND()</f>
        <v>2.6545320460998649</v>
      </c>
      <c r="O83" s="831">
        <f ca="1">1 + RAND()</f>
        <v>1.1272756507151696</v>
      </c>
      <c r="P83" s="831">
        <f ca="1">2.98 + (RAND() * (3.03 - 2.98))</f>
        <v>2.9928738107709925</v>
      </c>
      <c r="Q83" s="832" t="str">
        <f ca="1">IF(D83="130 × 130", (130 + RANDBETWEEN(-1,1)) &amp; " × " &amp; (130 + RANDBETWEEN(-1,1)),
   IF(D83="160 × 160", (160 + RANDBETWEEN(-1,1)) &amp; " × " &amp; (160 + RANDBETWEEN(-1,1)),
   IF(D83="110 × 110", (110 + RANDBETWEEN(-1,1)) &amp; " × " &amp; (110 + RANDBETWEEN(-1,1)),
   "Value not matched")))</f>
        <v>Value not matched</v>
      </c>
      <c r="R83" s="833" t="s">
        <v>213</v>
      </c>
      <c r="S83" s="834" t="str">
        <f ca="1">IF(G83&lt;0.6, "IS 14650 CPS 10748/GR2", "IS 14650 CPS 10748/GR3")</f>
        <v>IS 14650 CPS 10748/GR2</v>
      </c>
      <c r="T83" s="831" t="s">
        <v>769</v>
      </c>
      <c r="U83" s="825"/>
      <c r="V83" s="826"/>
      <c r="W83" s="206">
        <f>Prod.!B46</f>
        <v>0</v>
      </c>
      <c r="X83" s="469">
        <f>Prod.!C46</f>
        <v>0</v>
      </c>
      <c r="Y83" s="469">
        <f>Prod.!D46</f>
        <v>0</v>
      </c>
      <c r="Z83" s="469">
        <f>Prod.!E46</f>
        <v>0</v>
      </c>
      <c r="AA83" s="282">
        <f>Prod.!F46</f>
        <v>0</v>
      </c>
      <c r="AB83" s="282">
        <f>Prod.!G46</f>
        <v>0</v>
      </c>
      <c r="AC83" s="836">
        <f>Prod.!H46</f>
        <v>0</v>
      </c>
      <c r="AD83" s="282">
        <f>Prod.!AB46</f>
        <v>0</v>
      </c>
      <c r="AE83" s="282">
        <f>AD83-AF83</f>
        <v>0</v>
      </c>
      <c r="AF83" s="282">
        <f>Prod.!AA46</f>
        <v>0</v>
      </c>
    </row>
    <row r="84" spans="1:32" ht="15" customHeight="1">
      <c r="A84" s="1435">
        <v>8</v>
      </c>
      <c r="B84" s="818">
        <f>W85</f>
        <v>0</v>
      </c>
      <c r="C84" s="819" t="s">
        <v>765</v>
      </c>
      <c r="D84" s="822"/>
      <c r="E84" s="822"/>
      <c r="F84" s="821">
        <f ca="1">F85 + (RAND() * 0.02 - 0.01)</f>
        <v>7.9565932686242787E-3</v>
      </c>
      <c r="G84" s="821">
        <f ca="1">G85 + (RAND() * 0.06 - 0.03)</f>
        <v>0.54846870108274148</v>
      </c>
      <c r="H84" s="822">
        <f ca="1">H85 + (RAND() * 0.006 - 0.003)</f>
        <v>6.4970657272518315E-4</v>
      </c>
      <c r="I84" s="822">
        <f ca="1">I85 + (RAND() * 0.006 - 0.003)</f>
        <v>2.7821868318430309E-3</v>
      </c>
      <c r="J84" s="821">
        <f ca="1">J85 + (RAND() * 0.02 - 0.01)</f>
        <v>-8.9074010252676201E-3</v>
      </c>
      <c r="K84" s="821"/>
      <c r="L84" s="822"/>
      <c r="M84" s="821"/>
      <c r="N84" s="823"/>
      <c r="O84" s="823"/>
      <c r="P84" s="823"/>
      <c r="Q84" s="823"/>
      <c r="R84" s="839"/>
      <c r="S84" s="821"/>
      <c r="T84" s="821"/>
      <c r="U84" s="825"/>
      <c r="V84" s="826"/>
    </row>
    <row r="85" spans="1:32" ht="15" customHeight="1">
      <c r="A85" s="1435"/>
      <c r="B85" s="827">
        <f>B84</f>
        <v>0</v>
      </c>
      <c r="C85" s="828" t="s">
        <v>768</v>
      </c>
      <c r="D85" s="829" t="str">
        <f>IF(AC85=130, "130 × 130", IF(AC85=160, "160 × 160", IF(AC85=110, "110 × 110", "Value not 130, 160, or 110")))</f>
        <v>Value not 130, 160, or 110</v>
      </c>
      <c r="E85" s="830">
        <f>AD85</f>
        <v>0</v>
      </c>
      <c r="F85" s="831">
        <f ca="1">IF(X85 &gt; 0.1, RAND() * (0.1 - 0.06) + 0.06, X85)</f>
        <v>0</v>
      </c>
      <c r="G85" s="831">
        <f ca="1">IF(Y85 &lt; 0.5, 0.5 + RAND() * 0.1, Y85)</f>
        <v>0.57615004239434453</v>
      </c>
      <c r="H85" s="830">
        <f ca="1">IF(AB85&gt;0.04, 0.029 + (0.039-0.029)*RAND(), AB85)</f>
        <v>0</v>
      </c>
      <c r="I85" s="830">
        <f ca="1">IF(AA85&gt;0.04, 0.029 + (0.039-0.029)*RAND(), AA85)</f>
        <v>0</v>
      </c>
      <c r="J85" s="831">
        <f ca="1">IF(Z85&gt;0.15, 0.11 + (0.15-0.11) * RAND(), Z85)</f>
        <v>0</v>
      </c>
      <c r="K85" s="830">
        <f ca="1">0.004 + (RAND() * (0.001 - 0.004))</f>
        <v>2.56693678735153E-3</v>
      </c>
      <c r="L85" s="830">
        <f ca="1">H85+I85</f>
        <v>0</v>
      </c>
      <c r="M85" s="831">
        <f ca="1">(G85/6)+F85</f>
        <v>9.6025007065724088E-2</v>
      </c>
      <c r="N85" s="831">
        <f ca="1">2 + RAND()</f>
        <v>2.7610119270847582</v>
      </c>
      <c r="O85" s="831">
        <f ca="1">1 + RAND()</f>
        <v>1.8703057989935101</v>
      </c>
      <c r="P85" s="831">
        <f ca="1">2.98 + (RAND() * (3.03 - 2.98))</f>
        <v>2.9943457491579539</v>
      </c>
      <c r="Q85" s="832" t="str">
        <f ca="1">IF(D85="130 × 130", (130 + RANDBETWEEN(-1,1)) &amp; " × " &amp; (130 + RANDBETWEEN(-1,1)),
   IF(D85="160 × 160", (160 + RANDBETWEEN(-1,1)) &amp; " × " &amp; (160 + RANDBETWEEN(-1,1)),
   IF(D85="110 × 110", (110 + RANDBETWEEN(-1,1)) &amp; " × " &amp; (110 + RANDBETWEEN(-1,1)),
   "Value not matched")))</f>
        <v>Value not matched</v>
      </c>
      <c r="R85" s="833" t="s">
        <v>213</v>
      </c>
      <c r="S85" s="834" t="str">
        <f ca="1">IF(G85&lt;0.6, "IS 14650 CPS 10748/GR2", "IS 14650 CPS 10748/GR3")</f>
        <v>IS 14650 CPS 10748/GR2</v>
      </c>
      <c r="T85" s="831" t="s">
        <v>769</v>
      </c>
      <c r="U85" s="825"/>
      <c r="V85" s="826"/>
      <c r="W85" s="206">
        <f>Prod.!B47</f>
        <v>0</v>
      </c>
      <c r="X85" s="469">
        <f>Prod.!C47</f>
        <v>0</v>
      </c>
      <c r="Y85" s="469">
        <f>Prod.!D47</f>
        <v>0</v>
      </c>
      <c r="Z85" s="469">
        <f>Prod.!E47</f>
        <v>0</v>
      </c>
      <c r="AA85" s="282">
        <f>Prod.!F47</f>
        <v>0</v>
      </c>
      <c r="AB85" s="282">
        <f>Prod.!G47</f>
        <v>0</v>
      </c>
      <c r="AC85" s="836">
        <f>Prod.!H47</f>
        <v>0</v>
      </c>
      <c r="AD85" s="282">
        <f>Prod.!AB47</f>
        <v>0</v>
      </c>
      <c r="AE85" s="282">
        <f>AD85-AF85</f>
        <v>0</v>
      </c>
      <c r="AF85" s="282">
        <f>Prod.!AA47</f>
        <v>0</v>
      </c>
    </row>
    <row r="86" spans="1:32" ht="15" customHeight="1">
      <c r="A86" s="1435">
        <v>9</v>
      </c>
      <c r="B86" s="818">
        <f>W87</f>
        <v>0</v>
      </c>
      <c r="C86" s="819" t="s">
        <v>765</v>
      </c>
      <c r="D86" s="822"/>
      <c r="E86" s="822"/>
      <c r="F86" s="821">
        <f ca="1">F87 + (RAND() * 0.02 - 0.01)</f>
        <v>-5.0600220524386957E-3</v>
      </c>
      <c r="G86" s="821">
        <f ca="1">G87 + (RAND() * 0.06 - 0.03)</f>
        <v>0.56480231226195599</v>
      </c>
      <c r="H86" s="822">
        <f ca="1">H87 + (RAND() * 0.006 - 0.003)</f>
        <v>1.8645483361275535E-3</v>
      </c>
      <c r="I86" s="822">
        <f ca="1">I87 + (RAND() * 0.006 - 0.003)</f>
        <v>1.7147135936899241E-3</v>
      </c>
      <c r="J86" s="821">
        <f ca="1">J87 + (RAND() * 0.02 - 0.01)</f>
        <v>-6.3049215515529689E-3</v>
      </c>
      <c r="K86" s="821"/>
      <c r="L86" s="822"/>
      <c r="M86" s="821"/>
      <c r="N86" s="823"/>
      <c r="O86" s="823"/>
      <c r="P86" s="823"/>
      <c r="Q86" s="823"/>
      <c r="R86" s="839"/>
      <c r="S86" s="821"/>
      <c r="T86" s="821"/>
      <c r="U86" s="825"/>
      <c r="V86" s="826"/>
    </row>
    <row r="87" spans="1:32" ht="15" customHeight="1">
      <c r="A87" s="1435"/>
      <c r="B87" s="827">
        <f>B86</f>
        <v>0</v>
      </c>
      <c r="C87" s="828" t="s">
        <v>768</v>
      </c>
      <c r="D87" s="829" t="str">
        <f>IF(AC87=130, "130 × 130", IF(AC87=160, "160 × 160", IF(AC87=110, "110 × 110", "Value not 130, 160, or 110")))</f>
        <v>Value not 130, 160, or 110</v>
      </c>
      <c r="E87" s="830">
        <f>AD87</f>
        <v>0</v>
      </c>
      <c r="F87" s="831">
        <f ca="1">IF(X87 &gt; 0.1, RAND() * (0.1 - 0.06) + 0.06, X87)</f>
        <v>0</v>
      </c>
      <c r="G87" s="831">
        <f ca="1">IF(Y87 &lt; 0.5, 0.5 + RAND() * 0.1, Y87)</f>
        <v>0.54227679863407885</v>
      </c>
      <c r="H87" s="830">
        <f ca="1">IF(AB87&gt;0.04, 0.029 + (0.039-0.029)*RAND(), AB87)</f>
        <v>0</v>
      </c>
      <c r="I87" s="830">
        <f ca="1">IF(AA87&gt;0.04, 0.029 + (0.039-0.029)*RAND(), AA87)</f>
        <v>0</v>
      </c>
      <c r="J87" s="831">
        <f ca="1">IF(Z87&gt;0.15, 0.11 + (0.15-0.11) * RAND(), Z87)</f>
        <v>0</v>
      </c>
      <c r="K87" s="830">
        <f ca="1">0.004 + (RAND() * (0.001 - 0.004))</f>
        <v>3.1689608865561642E-3</v>
      </c>
      <c r="L87" s="830">
        <f ca="1">H87+I87</f>
        <v>0</v>
      </c>
      <c r="M87" s="831">
        <f ca="1">(G87/6)+F87</f>
        <v>9.0379466439013137E-2</v>
      </c>
      <c r="N87" s="831">
        <f ca="1">2 + RAND()</f>
        <v>2.4111112084864175</v>
      </c>
      <c r="O87" s="831">
        <f ca="1">1 + RAND()</f>
        <v>1.4986156101722363</v>
      </c>
      <c r="P87" s="831">
        <f ca="1">2.98 + (RAND() * (3.03 - 2.98))</f>
        <v>3.0137008612392453</v>
      </c>
      <c r="Q87" s="832" t="str">
        <f ca="1">IF(D87="130 × 130", (130 + RANDBETWEEN(-1,1)) &amp; " × " &amp; (130 + RANDBETWEEN(-1,1)),
   IF(D87="160 × 160", (160 + RANDBETWEEN(-1,1)) &amp; " × " &amp; (160 + RANDBETWEEN(-1,1)),
   IF(D87="110 × 110", (110 + RANDBETWEEN(-1,1)) &amp; " × " &amp; (110 + RANDBETWEEN(-1,1)),
   "Value not matched")))</f>
        <v>Value not matched</v>
      </c>
      <c r="R87" s="833" t="s">
        <v>213</v>
      </c>
      <c r="S87" s="834" t="str">
        <f ca="1">IF(G87&lt;0.6, "IS 14650 CPS 10748/GR2", "IS 14650 CPS 10748/GR3")</f>
        <v>IS 14650 CPS 10748/GR2</v>
      </c>
      <c r="T87" s="831" t="s">
        <v>769</v>
      </c>
      <c r="U87" s="825"/>
      <c r="V87" s="826"/>
      <c r="W87" s="206">
        <f>Prod.!B48</f>
        <v>0</v>
      </c>
      <c r="X87" s="469">
        <f>Prod.!C48</f>
        <v>0</v>
      </c>
      <c r="Y87" s="469">
        <f>Prod.!D48</f>
        <v>0</v>
      </c>
      <c r="Z87" s="469">
        <f>Prod.!E48</f>
        <v>0</v>
      </c>
      <c r="AA87" s="282">
        <f>Prod.!F48</f>
        <v>0</v>
      </c>
      <c r="AB87" s="282">
        <f>Prod.!G48</f>
        <v>0</v>
      </c>
      <c r="AC87" s="836">
        <f>Prod.!H48</f>
        <v>0</v>
      </c>
      <c r="AD87" s="282">
        <f>Prod.!AB48</f>
        <v>0</v>
      </c>
      <c r="AE87" s="282">
        <f>AD87-AF87</f>
        <v>0</v>
      </c>
      <c r="AF87" s="282">
        <f>Prod.!AA48</f>
        <v>0</v>
      </c>
    </row>
    <row r="88" spans="1:32" ht="15" customHeight="1">
      <c r="A88" s="1435">
        <v>10</v>
      </c>
      <c r="B88" s="818">
        <f>W89</f>
        <v>0</v>
      </c>
      <c r="C88" s="819" t="s">
        <v>765</v>
      </c>
      <c r="D88" s="822"/>
      <c r="E88" s="822"/>
      <c r="F88" s="821">
        <f ca="1">F89 + (RAND() * 0.02 - 0.01)</f>
        <v>-1.6575575723267837E-3</v>
      </c>
      <c r="G88" s="821">
        <f ca="1">G89 + (RAND() * 0.06 - 0.03)</f>
        <v>0.55928156333044676</v>
      </c>
      <c r="H88" s="822">
        <f ca="1">H89 + (RAND() * 0.006 - 0.003)</f>
        <v>-2.1999862072983609E-3</v>
      </c>
      <c r="I88" s="822">
        <f ca="1">I89 + (RAND() * 0.006 - 0.003)</f>
        <v>2.4590449050000077E-4</v>
      </c>
      <c r="J88" s="821">
        <f ca="1">J89 + (RAND() * 0.02 - 0.01)</f>
        <v>2.1977968422865393E-3</v>
      </c>
      <c r="K88" s="821"/>
      <c r="L88" s="822"/>
      <c r="M88" s="821"/>
      <c r="N88" s="823"/>
      <c r="O88" s="823"/>
      <c r="P88" s="823"/>
      <c r="Q88" s="823"/>
      <c r="R88" s="839"/>
      <c r="S88" s="821"/>
      <c r="T88" s="821"/>
      <c r="U88" s="825"/>
      <c r="V88" s="826"/>
    </row>
    <row r="89" spans="1:32" ht="15" customHeight="1">
      <c r="A89" s="1435"/>
      <c r="B89" s="827">
        <f>B88</f>
        <v>0</v>
      </c>
      <c r="C89" s="828" t="s">
        <v>768</v>
      </c>
      <c r="D89" s="829" t="str">
        <f>IF(AC89=130, "130 × 130", IF(AC89=160, "160 × 160", IF(AC89=110, "110 × 110", "Value not 130, 160, or 110")))</f>
        <v>Value not 130, 160, or 110</v>
      </c>
      <c r="E89" s="830">
        <f>AD89</f>
        <v>0</v>
      </c>
      <c r="F89" s="831">
        <f ca="1">IF(X89 &gt; 0.1, RAND() * (0.1 - 0.06) + 0.06, X89)</f>
        <v>0</v>
      </c>
      <c r="G89" s="831">
        <f ca="1">IF(Y89 &lt; 0.5, 0.5 + RAND() * 0.1, Y89)</f>
        <v>0.58687025151365924</v>
      </c>
      <c r="H89" s="830">
        <f ca="1">IF(AB89&gt;0.04, 0.029 + (0.039-0.029)*RAND(), AB89)</f>
        <v>0</v>
      </c>
      <c r="I89" s="830">
        <f ca="1">IF(AA89&gt;0.04, 0.029 + (0.039-0.029)*RAND(), AA89)</f>
        <v>0</v>
      </c>
      <c r="J89" s="831">
        <f ca="1">IF(Z89&gt;0.15, 0.11 + (0.15-0.11) * RAND(), Z89)</f>
        <v>0</v>
      </c>
      <c r="K89" s="830">
        <f ca="1">0.004 + (RAND() * (0.001 - 0.004))</f>
        <v>2.4784032085973383E-3</v>
      </c>
      <c r="L89" s="830">
        <f ca="1">H89+I89</f>
        <v>0</v>
      </c>
      <c r="M89" s="831">
        <f ca="1">(G89/6)+F89</f>
        <v>9.7811708585609877E-2</v>
      </c>
      <c r="N89" s="831">
        <f ca="1">2 + RAND()</f>
        <v>2.5339230455681552</v>
      </c>
      <c r="O89" s="831">
        <f ca="1">1 + RAND()</f>
        <v>1.8837892432463303</v>
      </c>
      <c r="P89" s="831">
        <f ca="1">2.98 + (RAND() * (3.03 - 2.98))</f>
        <v>3.0000731020271236</v>
      </c>
      <c r="Q89" s="832" t="str">
        <f ca="1">IF(D89="130 × 130", (130 + RANDBETWEEN(-1,1)) &amp; " × " &amp; (130 + RANDBETWEEN(-1,1)),
   IF(D89="160 × 160", (160 + RANDBETWEEN(-1,1)) &amp; " × " &amp; (160 + RANDBETWEEN(-1,1)),
   IF(D89="110 × 110", (110 + RANDBETWEEN(-1,1)) &amp; " × " &amp; (110 + RANDBETWEEN(-1,1)),
   "Value not matched")))</f>
        <v>Value not matched</v>
      </c>
      <c r="R89" s="833" t="s">
        <v>213</v>
      </c>
      <c r="S89" s="834" t="str">
        <f ca="1">IF(G89&lt;0.6, "IS 14650 CPS 10748/GR2", "IS 14650 CPS 10748/GR3")</f>
        <v>IS 14650 CPS 10748/GR2</v>
      </c>
      <c r="T89" s="831" t="s">
        <v>769</v>
      </c>
      <c r="U89" s="825"/>
      <c r="V89" s="826"/>
      <c r="W89" s="206">
        <f>Prod.!B49</f>
        <v>0</v>
      </c>
      <c r="X89" s="469">
        <f>Prod.!C49</f>
        <v>0</v>
      </c>
      <c r="Y89" s="469">
        <f>Prod.!D49</f>
        <v>0</v>
      </c>
      <c r="Z89" s="469">
        <f>Prod.!E49</f>
        <v>0</v>
      </c>
      <c r="AA89" s="282">
        <f>Prod.!F49</f>
        <v>0</v>
      </c>
      <c r="AB89" s="282">
        <f>Prod.!G49</f>
        <v>0</v>
      </c>
      <c r="AC89" s="836">
        <f>Prod.!H49</f>
        <v>0</v>
      </c>
      <c r="AD89" s="282">
        <f>Prod.!AB49</f>
        <v>0</v>
      </c>
      <c r="AE89" s="282">
        <f>AD89-AF89</f>
        <v>0</v>
      </c>
      <c r="AF89" s="282">
        <f>Prod.!AA49</f>
        <v>0</v>
      </c>
    </row>
    <row r="90" spans="1:32" ht="15" customHeight="1">
      <c r="A90" s="1435">
        <v>11</v>
      </c>
      <c r="B90" s="818">
        <f>W91</f>
        <v>0</v>
      </c>
      <c r="C90" s="819" t="s">
        <v>765</v>
      </c>
      <c r="D90" s="822"/>
      <c r="E90" s="822"/>
      <c r="F90" s="821">
        <f ca="1">F91 + (RAND() * 0.02 - 0.01)</f>
        <v>2.4648031603347713E-3</v>
      </c>
      <c r="G90" s="821">
        <f ca="1">G91 + (RAND() * 0.06 - 0.03)</f>
        <v>0.56656554183903696</v>
      </c>
      <c r="H90" s="822">
        <f ca="1">H91 + (RAND() * 0.006 - 0.003)</f>
        <v>-3.0758374321130603E-4</v>
      </c>
      <c r="I90" s="822">
        <f ca="1">I91 + (RAND() * 0.006 - 0.003)</f>
        <v>1.6993519861330485E-3</v>
      </c>
      <c r="J90" s="821">
        <f ca="1">J91 + (RAND() * 0.02 - 0.01)</f>
        <v>2.2711334029084512E-4</v>
      </c>
      <c r="K90" s="821"/>
      <c r="L90" s="822"/>
      <c r="M90" s="821"/>
      <c r="N90" s="823"/>
      <c r="O90" s="823"/>
      <c r="P90" s="823"/>
      <c r="Q90" s="823"/>
      <c r="R90" s="839"/>
      <c r="S90" s="821"/>
      <c r="T90" s="821"/>
      <c r="U90" s="825"/>
      <c r="V90" s="826"/>
    </row>
    <row r="91" spans="1:32" ht="15" customHeight="1">
      <c r="A91" s="1435"/>
      <c r="B91" s="827">
        <f>B90</f>
        <v>0</v>
      </c>
      <c r="C91" s="828" t="s">
        <v>768</v>
      </c>
      <c r="D91" s="829" t="str">
        <f>IF(AC91=130, "130 × 130", IF(AC91=160, "160 × 160", IF(AC91=110, "110 × 110", "Value not 130, 160, or 110")))</f>
        <v>Value not 130, 160, or 110</v>
      </c>
      <c r="E91" s="830">
        <f>AD91</f>
        <v>0</v>
      </c>
      <c r="F91" s="831">
        <f ca="1">IF(X91 &gt; 0.1, RAND() * (0.1 - 0.06) + 0.06, X91)</f>
        <v>0</v>
      </c>
      <c r="G91" s="831">
        <f ca="1">IF(Y91 &lt; 0.5, 0.5 + RAND() * 0.1, Y91)</f>
        <v>0.57291119614921182</v>
      </c>
      <c r="H91" s="830">
        <f ca="1">IF(AB91&gt;0.04, 0.029 + (0.039-0.029)*RAND(), AB91)</f>
        <v>0</v>
      </c>
      <c r="I91" s="830">
        <f ca="1">IF(AA91&gt;0.04, 0.029 + (0.039-0.029)*RAND(), AA91)</f>
        <v>0</v>
      </c>
      <c r="J91" s="831">
        <f ca="1">IF(Z91&gt;0.15, 0.11 + (0.15-0.11) * RAND(), Z91)</f>
        <v>0</v>
      </c>
      <c r="K91" s="830">
        <f ca="1">0.004 + (RAND() * (0.001 - 0.004))</f>
        <v>3.4246321640867337E-3</v>
      </c>
      <c r="L91" s="830">
        <f ca="1">H91+I91</f>
        <v>0</v>
      </c>
      <c r="M91" s="831">
        <f ca="1">(G91/6)+F91</f>
        <v>9.5485199358201975E-2</v>
      </c>
      <c r="N91" s="831">
        <f ca="1">2 + RAND()</f>
        <v>2.8388837850326816</v>
      </c>
      <c r="O91" s="831">
        <f ca="1">1 + RAND()</f>
        <v>1.7109923883668725</v>
      </c>
      <c r="P91" s="831">
        <f ca="1">2.98 + (RAND() * (3.03 - 2.98))</f>
        <v>2.9932018772172602</v>
      </c>
      <c r="Q91" s="832" t="str">
        <f ca="1">IF(D91="130 × 130", (130 + RANDBETWEEN(-1,1)) &amp; " × " &amp; (130 + RANDBETWEEN(-1,1)),
   IF(D91="160 × 160", (160 + RANDBETWEEN(-1,1)) &amp; " × " &amp; (160 + RANDBETWEEN(-1,1)),
   IF(D91="110 × 110", (110 + RANDBETWEEN(-1,1)) &amp; " × " &amp; (110 + RANDBETWEEN(-1,1)),
   "Value not matched")))</f>
        <v>Value not matched</v>
      </c>
      <c r="R91" s="833" t="s">
        <v>213</v>
      </c>
      <c r="S91" s="834" t="str">
        <f ca="1">IF(G91&lt;0.6, "IS 14650 CPS 10748/GR2", "IS 14650 CPS 10748/GR3")</f>
        <v>IS 14650 CPS 10748/GR2</v>
      </c>
      <c r="T91" s="831" t="s">
        <v>769</v>
      </c>
      <c r="U91" s="825"/>
      <c r="V91" s="826"/>
      <c r="W91" s="206">
        <f>Prod.!B50</f>
        <v>0</v>
      </c>
      <c r="X91" s="469">
        <f>Prod.!C50</f>
        <v>0</v>
      </c>
      <c r="Y91" s="469">
        <f>Prod.!D50</f>
        <v>0</v>
      </c>
      <c r="Z91" s="469">
        <f>Prod.!E50</f>
        <v>0</v>
      </c>
      <c r="AA91" s="282">
        <f>Prod.!F50</f>
        <v>0</v>
      </c>
      <c r="AB91" s="282">
        <f>Prod.!G50</f>
        <v>0</v>
      </c>
      <c r="AC91" s="836">
        <f>Prod.!H50</f>
        <v>0</v>
      </c>
      <c r="AD91" s="282">
        <f>Prod.!AB50</f>
        <v>0</v>
      </c>
      <c r="AE91" s="282">
        <f>AD91-AF91</f>
        <v>0</v>
      </c>
      <c r="AF91" s="282">
        <f>Prod.!AA50</f>
        <v>0</v>
      </c>
    </row>
    <row r="92" spans="1:32" ht="15" customHeight="1">
      <c r="A92" s="1435">
        <v>12</v>
      </c>
      <c r="B92" s="818">
        <f>W93</f>
        <v>0</v>
      </c>
      <c r="C92" s="819" t="s">
        <v>765</v>
      </c>
      <c r="D92" s="822"/>
      <c r="E92" s="822"/>
      <c r="F92" s="821">
        <f ca="1">F93 + (RAND() * 0.02 - 0.01)</f>
        <v>-7.9580313006726352E-3</v>
      </c>
      <c r="G92" s="821">
        <f ca="1">G93 + (RAND() * 0.06 - 0.03)</f>
        <v>0.53615775340760496</v>
      </c>
      <c r="H92" s="822">
        <f ca="1">H93 + (RAND() * 0.006 - 0.003)</f>
        <v>-1.8353245468013559E-3</v>
      </c>
      <c r="I92" s="822">
        <f ca="1">I93 + (RAND() * 0.006 - 0.003)</f>
        <v>1.6056464045237232E-3</v>
      </c>
      <c r="J92" s="821">
        <f ca="1">J93 + (RAND() * 0.02 - 0.01)</f>
        <v>-3.8111648755321959E-3</v>
      </c>
      <c r="K92" s="821"/>
      <c r="L92" s="822"/>
      <c r="M92" s="821"/>
      <c r="N92" s="823"/>
      <c r="O92" s="823"/>
      <c r="P92" s="823"/>
      <c r="Q92" s="823"/>
      <c r="R92" s="839"/>
      <c r="S92" s="821"/>
      <c r="T92" s="821"/>
      <c r="U92" s="825"/>
      <c r="V92" s="826"/>
    </row>
    <row r="93" spans="1:32" ht="15" customHeight="1">
      <c r="A93" s="1435"/>
      <c r="B93" s="827">
        <f>B92</f>
        <v>0</v>
      </c>
      <c r="C93" s="828" t="s">
        <v>768</v>
      </c>
      <c r="D93" s="829" t="str">
        <f>IF(AC93=130, "130 × 130", IF(AC93=160, "160 × 160", IF(AC93=110, "110 × 110", "Value not 130, 160, or 110")))</f>
        <v>Value not 130, 160, or 110</v>
      </c>
      <c r="E93" s="830">
        <f>AD93</f>
        <v>0</v>
      </c>
      <c r="F93" s="831">
        <f ca="1">IF(X93 &gt; 0.1, RAND() * (0.1 - 0.06) + 0.06, X93)</f>
        <v>0</v>
      </c>
      <c r="G93" s="831">
        <f ca="1">IF(Y93 &lt; 0.5, 0.5 + RAND() * 0.1, Y93)</f>
        <v>0.53477747321189839</v>
      </c>
      <c r="H93" s="830">
        <f ca="1">IF(AB93&gt;0.04, 0.029 + (0.039-0.029)*RAND(), AB93)</f>
        <v>0</v>
      </c>
      <c r="I93" s="830">
        <f ca="1">IF(AA93&gt;0.04, 0.029 + (0.039-0.029)*RAND(), AA93)</f>
        <v>0</v>
      </c>
      <c r="J93" s="831">
        <f ca="1">IF(Z93&gt;0.15, 0.11 + (0.15-0.11) * RAND(), Z93)</f>
        <v>0</v>
      </c>
      <c r="K93" s="830">
        <f ca="1">0.004 + (RAND() * (0.001 - 0.004))</f>
        <v>2.0407370092171162E-3</v>
      </c>
      <c r="L93" s="830">
        <f ca="1">H93+I93</f>
        <v>0</v>
      </c>
      <c r="M93" s="831">
        <f ca="1">(G93/6)+F93</f>
        <v>8.9129578868649736E-2</v>
      </c>
      <c r="N93" s="831">
        <f ca="1">2 + RAND()</f>
        <v>2.6919072033107576</v>
      </c>
      <c r="O93" s="831">
        <f ca="1">1 + RAND()</f>
        <v>1.347659691712596</v>
      </c>
      <c r="P93" s="831">
        <f ca="1">2.98 + (RAND() * (3.03 - 2.98))</f>
        <v>3.0243571808283081</v>
      </c>
      <c r="Q93" s="832" t="str">
        <f ca="1">IF(D93="130 × 130", (130 + RANDBETWEEN(-1,1)) &amp; " × " &amp; (130 + RANDBETWEEN(-1,1)),
   IF(D93="160 × 160", (160 + RANDBETWEEN(-1,1)) &amp; " × " &amp; (160 + RANDBETWEEN(-1,1)),
   IF(D93="110 × 110", (110 + RANDBETWEEN(-1,1)) &amp; " × " &amp; (110 + RANDBETWEEN(-1,1)),
   "Value not matched")))</f>
        <v>Value not matched</v>
      </c>
      <c r="R93" s="833" t="s">
        <v>213</v>
      </c>
      <c r="S93" s="834" t="str">
        <f ca="1">IF(G93&lt;0.6, "IS 14650 CPS 10748/GR2", "IS 14650 CPS 10748/GR3")</f>
        <v>IS 14650 CPS 10748/GR2</v>
      </c>
      <c r="T93" s="831" t="s">
        <v>769</v>
      </c>
      <c r="U93" s="825"/>
      <c r="V93" s="826"/>
      <c r="W93" s="206">
        <f>Prod.!B51</f>
        <v>0</v>
      </c>
      <c r="X93" s="469">
        <f>Prod.!C51</f>
        <v>0</v>
      </c>
      <c r="Y93" s="469">
        <f>Prod.!D51</f>
        <v>0</v>
      </c>
      <c r="Z93" s="469">
        <f>Prod.!E51</f>
        <v>0</v>
      </c>
      <c r="AA93" s="282">
        <f>Prod.!F51</f>
        <v>0</v>
      </c>
      <c r="AB93" s="282">
        <f>Prod.!G51</f>
        <v>0</v>
      </c>
      <c r="AC93" s="836">
        <f>Prod.!H51</f>
        <v>0</v>
      </c>
      <c r="AD93" s="282">
        <f>Prod.!AB51</f>
        <v>0</v>
      </c>
      <c r="AE93" s="282">
        <f>AD93-AF93</f>
        <v>0</v>
      </c>
      <c r="AF93" s="282">
        <f>Prod.!AA51</f>
        <v>0</v>
      </c>
    </row>
    <row r="94" spans="1:32" ht="15" customHeight="1">
      <c r="A94" s="1435"/>
      <c r="B94" s="818"/>
      <c r="C94" s="819"/>
      <c r="D94" s="822"/>
      <c r="E94" s="822"/>
      <c r="F94" s="821"/>
      <c r="G94" s="821"/>
      <c r="H94" s="840"/>
      <c r="I94" s="840"/>
      <c r="J94" s="821"/>
      <c r="K94" s="821"/>
      <c r="L94" s="822"/>
      <c r="M94" s="838"/>
      <c r="N94" s="821"/>
      <c r="O94" s="821"/>
      <c r="P94" s="821"/>
      <c r="Q94" s="821"/>
      <c r="R94" s="839"/>
      <c r="S94" s="841"/>
      <c r="T94" s="821"/>
      <c r="U94" s="825"/>
      <c r="V94" s="826"/>
    </row>
    <row r="95" spans="1:32" ht="15" customHeight="1">
      <c r="A95" s="1435"/>
      <c r="B95" s="827"/>
      <c r="C95" s="828"/>
      <c r="D95" s="842"/>
      <c r="E95" s="830"/>
      <c r="F95" s="831"/>
      <c r="G95" s="831"/>
      <c r="H95" s="843"/>
      <c r="I95" s="843"/>
      <c r="J95" s="831"/>
      <c r="K95" s="831"/>
      <c r="L95" s="830"/>
      <c r="M95" s="831"/>
      <c r="N95" s="831"/>
      <c r="O95" s="831"/>
      <c r="P95" s="831"/>
      <c r="Q95" s="831"/>
      <c r="R95" s="833"/>
      <c r="S95" s="834"/>
      <c r="T95" s="831"/>
      <c r="U95" s="825"/>
      <c r="V95" s="826"/>
    </row>
    <row r="96" spans="1:32" ht="15" customHeight="1">
      <c r="A96" s="180"/>
      <c r="B96" s="180"/>
      <c r="C96" s="180" t="s">
        <v>770</v>
      </c>
      <c r="D96" s="395"/>
      <c r="E96" s="844">
        <f>SUM(E70:E93)</f>
        <v>0</v>
      </c>
      <c r="F96" s="180"/>
      <c r="G96" s="180"/>
      <c r="H96" s="844"/>
      <c r="I96" s="180"/>
      <c r="J96" s="845"/>
      <c r="K96" s="845"/>
      <c r="L96" s="180"/>
      <c r="M96" s="845"/>
      <c r="N96" s="180"/>
      <c r="O96" s="180"/>
      <c r="P96" s="180"/>
      <c r="Q96" s="180"/>
      <c r="R96" s="263"/>
      <c r="S96" s="180"/>
      <c r="T96" s="180"/>
    </row>
    <row r="97" spans="1:32" ht="28.5" customHeight="1">
      <c r="A97" s="1436" t="s">
        <v>746</v>
      </c>
      <c r="B97" s="1436"/>
      <c r="C97" s="1436"/>
      <c r="D97" s="1436"/>
      <c r="E97" s="1436"/>
      <c r="F97" s="1436"/>
      <c r="G97" s="1436"/>
      <c r="H97" s="1436"/>
      <c r="I97" s="1436"/>
      <c r="J97" s="1436"/>
      <c r="K97" s="1436"/>
      <c r="L97" s="1436"/>
      <c r="M97" s="1436"/>
      <c r="N97" s="1436"/>
      <c r="O97" s="1436"/>
      <c r="P97" s="1436"/>
      <c r="Q97" s="1436"/>
      <c r="R97" s="1436"/>
      <c r="S97" s="1436"/>
      <c r="T97" s="1436"/>
      <c r="U97" s="515"/>
      <c r="V97" s="846"/>
    </row>
    <row r="98" spans="1:32" ht="15" customHeight="1">
      <c r="A98" s="1437" t="s">
        <v>747</v>
      </c>
      <c r="B98" s="1437"/>
      <c r="C98" s="1437"/>
      <c r="D98" s="1437"/>
      <c r="E98" s="1437"/>
      <c r="F98" s="1437"/>
      <c r="G98" s="1437"/>
      <c r="H98" s="1437"/>
      <c r="I98" s="1437"/>
      <c r="J98" s="1437"/>
      <c r="K98" s="1437"/>
      <c r="L98" s="1437"/>
      <c r="M98" s="1437"/>
      <c r="N98" s="1437"/>
      <c r="O98" s="1437"/>
      <c r="P98" s="1437"/>
      <c r="Q98" s="1437"/>
      <c r="R98" s="1437"/>
      <c r="S98" s="1437"/>
      <c r="T98" s="1437"/>
      <c r="U98" s="806"/>
      <c r="V98" s="807"/>
    </row>
    <row r="99" spans="1:32" ht="15" customHeight="1">
      <c r="A99" s="1438" t="str">
        <f>"DATE OF MANUFACTURING : " &amp; TEXT(V103, "DD-MM-YYYY")</f>
        <v>DATE OF MANUFACTURING : 00-01-1900</v>
      </c>
      <c r="B99" s="1438"/>
      <c r="C99" s="1438"/>
      <c r="D99" s="1438"/>
      <c r="E99" s="1438"/>
      <c r="F99" s="1438"/>
      <c r="G99" s="1438"/>
      <c r="H99" s="1438"/>
      <c r="I99" s="1438"/>
      <c r="J99" s="1438"/>
      <c r="K99" s="1438"/>
      <c r="L99" s="1438"/>
      <c r="M99" s="1438"/>
      <c r="N99" s="1437" t="s">
        <v>748</v>
      </c>
      <c r="O99" s="1437"/>
      <c r="P99" s="1437"/>
      <c r="Q99" s="1437"/>
      <c r="R99" s="1437"/>
      <c r="S99" s="1437"/>
      <c r="T99" s="1437"/>
      <c r="U99" s="808"/>
      <c r="V99" s="809"/>
    </row>
    <row r="100" spans="1:32" ht="29.25" customHeight="1">
      <c r="A100" s="1439" t="s">
        <v>749</v>
      </c>
      <c r="B100" s="1440" t="s">
        <v>750</v>
      </c>
      <c r="C100" s="1440"/>
      <c r="D100" s="1440" t="s">
        <v>751</v>
      </c>
      <c r="E100" s="1441" t="s">
        <v>752</v>
      </c>
      <c r="F100" s="1442" t="s">
        <v>753</v>
      </c>
      <c r="G100" s="1442"/>
      <c r="H100" s="1442"/>
      <c r="I100" s="1442"/>
      <c r="J100" s="1442"/>
      <c r="K100" s="1442"/>
      <c r="L100" s="1442"/>
      <c r="M100" s="1442"/>
      <c r="N100" s="1442" t="s">
        <v>754</v>
      </c>
      <c r="O100" s="1442"/>
      <c r="P100" s="1442"/>
      <c r="Q100" s="1442"/>
      <c r="R100" s="1443" t="s">
        <v>771</v>
      </c>
      <c r="S100" s="1441" t="s">
        <v>756</v>
      </c>
      <c r="T100" s="1440" t="s">
        <v>104</v>
      </c>
      <c r="U100" s="810"/>
      <c r="V100" s="811"/>
    </row>
    <row r="101" spans="1:32" ht="42.75" customHeight="1">
      <c r="A101" s="1439"/>
      <c r="B101" s="1440"/>
      <c r="C101" s="1440"/>
      <c r="D101" s="1440"/>
      <c r="E101" s="1440"/>
      <c r="F101" s="812" t="s">
        <v>40</v>
      </c>
      <c r="G101" s="812" t="s">
        <v>757</v>
      </c>
      <c r="H101" s="813" t="s">
        <v>758</v>
      </c>
      <c r="I101" s="812" t="s">
        <v>43</v>
      </c>
      <c r="J101" s="812" t="s">
        <v>42</v>
      </c>
      <c r="K101" s="812" t="s">
        <v>759</v>
      </c>
      <c r="L101" s="812" t="s">
        <v>760</v>
      </c>
      <c r="M101" s="812" t="s">
        <v>761</v>
      </c>
      <c r="N101" s="814" t="s">
        <v>762</v>
      </c>
      <c r="O101" s="815" t="s">
        <v>772</v>
      </c>
      <c r="P101" s="816" t="s">
        <v>773</v>
      </c>
      <c r="Q101" s="817" t="s">
        <v>764</v>
      </c>
      <c r="R101" s="1443"/>
      <c r="S101" s="1443"/>
      <c r="T101" s="1443"/>
      <c r="U101" s="810"/>
      <c r="V101" s="811"/>
    </row>
    <row r="102" spans="1:32" ht="15" customHeight="1">
      <c r="A102" s="1435">
        <v>1</v>
      </c>
      <c r="B102" s="818">
        <f>W103</f>
        <v>0</v>
      </c>
      <c r="C102" s="819" t="s">
        <v>765</v>
      </c>
      <c r="D102" s="820"/>
      <c r="E102" s="821"/>
      <c r="F102" s="821">
        <f ca="1">F103 + (RAND() * 0.02 - 0.01)</f>
        <v>8.8422911315397031E-3</v>
      </c>
      <c r="G102" s="821">
        <f ca="1">G103 + (RAND() * 0.06 - 0.03)</f>
        <v>0.53370995855069048</v>
      </c>
      <c r="H102" s="822">
        <f ca="1">H103 + (RAND() * 0.006 - 0.003)</f>
        <v>2.5367159371385267E-3</v>
      </c>
      <c r="I102" s="822">
        <f ca="1">I103 + (RAND() * 0.006 - 0.003)</f>
        <v>1.8851789231026997E-4</v>
      </c>
      <c r="J102" s="821">
        <f ca="1">J103 + (RAND() * 0.02 - 0.01)</f>
        <v>4.9633090841119925E-3</v>
      </c>
      <c r="K102" s="821"/>
      <c r="L102" s="822"/>
      <c r="M102" s="821"/>
      <c r="N102" s="823"/>
      <c r="O102" s="823"/>
      <c r="P102" s="823"/>
      <c r="Q102" s="823"/>
      <c r="R102" s="824"/>
      <c r="S102" s="821"/>
      <c r="T102" s="821"/>
      <c r="U102" s="825"/>
      <c r="V102" s="826"/>
      <c r="AE102" t="s">
        <v>767</v>
      </c>
    </row>
    <row r="103" spans="1:32" ht="15" customHeight="1">
      <c r="A103" s="1435"/>
      <c r="B103" s="827">
        <f>B102</f>
        <v>0</v>
      </c>
      <c r="C103" s="828" t="s">
        <v>768</v>
      </c>
      <c r="D103" s="829" t="str">
        <f>IF(AC103=130, "130 × 130", IF(AC103=160, "160 × 160", IF(AC103=110, "110 × 110", "Value not 130, 160, or 110")))</f>
        <v>Value not 130, 160, or 110</v>
      </c>
      <c r="E103" s="830">
        <f>AD103</f>
        <v>0</v>
      </c>
      <c r="F103" s="831">
        <f ca="1">IF(X103 &gt; 0.1, RAND() * (0.1 - 0.06) + 0.06, X103)</f>
        <v>0</v>
      </c>
      <c r="G103" s="831">
        <f ca="1">IF(Y103 &lt; 0.5, 0.5 + RAND() * 0.1, Y103)</f>
        <v>0.54068315147606927</v>
      </c>
      <c r="H103" s="830">
        <f ca="1">IF(AB103&gt;0.04, 0.029 + (0.039-0.029)*RAND(), AB103)</f>
        <v>0</v>
      </c>
      <c r="I103" s="830">
        <f ca="1">IF(AA103&gt;0.04, 0.029 + (0.039-0.029)*RAND(), AA103)</f>
        <v>0</v>
      </c>
      <c r="J103" s="831">
        <f ca="1">IF(Z103&gt;0.15, 0.11 + (0.15-0.11) * RAND(), Z103)</f>
        <v>0</v>
      </c>
      <c r="K103" s="830">
        <f ca="1">0.004 + (RAND() * (0.001 - 0.004))</f>
        <v>2.4391697819956771E-3</v>
      </c>
      <c r="L103" s="830">
        <f ca="1">H103+I103</f>
        <v>0</v>
      </c>
      <c r="M103" s="831">
        <f ca="1">(G103/6)+F103</f>
        <v>9.0113858579344883E-2</v>
      </c>
      <c r="N103" s="831">
        <f ca="1">2 + RAND()</f>
        <v>2.9838226180972982</v>
      </c>
      <c r="O103" s="831">
        <f ca="1">1 + RAND()</f>
        <v>1.568002846787214</v>
      </c>
      <c r="P103" s="831">
        <f ca="1">2.98 + (RAND() * (3.03 - 2.98))</f>
        <v>3.0252206553882788</v>
      </c>
      <c r="Q103" s="832" t="str">
        <f ca="1">IF(D103="130 × 130", (130 + RANDBETWEEN(-1,1)) &amp; " × " &amp; (130 + RANDBETWEEN(-1,1)),
   IF(D103="160 × 160", (160 + RANDBETWEEN(-1,1)) &amp; " × " &amp; (160 + RANDBETWEEN(-1,1)),
   IF(D103="110 × 110", (110 + RANDBETWEEN(-1,1)) &amp; " × " &amp; (110 + RANDBETWEEN(-1,1)),
   "Value not matched")))</f>
        <v>Value not matched</v>
      </c>
      <c r="R103" s="833" t="s">
        <v>213</v>
      </c>
      <c r="S103" s="834" t="str">
        <f ca="1">IF(G103&lt;0.6, "IS 14650 CPS 10748/GR2", "IS 14650 CPS 10748/GR3")</f>
        <v>IS 14650 CPS 10748/GR2</v>
      </c>
      <c r="T103" s="831" t="s">
        <v>769</v>
      </c>
      <c r="U103" s="825"/>
      <c r="V103" s="835">
        <f>Prod.!A58</f>
        <v>0</v>
      </c>
      <c r="W103" s="206">
        <f>Prod.!B58</f>
        <v>0</v>
      </c>
      <c r="X103" s="469">
        <f>Prod.!C58</f>
        <v>0</v>
      </c>
      <c r="Y103" s="469">
        <f>Prod.!D58</f>
        <v>0</v>
      </c>
      <c r="Z103" s="469">
        <f>Prod.!E58</f>
        <v>0</v>
      </c>
      <c r="AA103" s="282">
        <f>Prod.!F58</f>
        <v>0</v>
      </c>
      <c r="AB103" s="282">
        <f>Prod.!G58</f>
        <v>0</v>
      </c>
      <c r="AC103" s="836">
        <f>Prod.!H58</f>
        <v>0</v>
      </c>
      <c r="AD103" s="282">
        <f>Prod.!AB58</f>
        <v>0</v>
      </c>
      <c r="AE103" s="282">
        <f>AD103-AF103</f>
        <v>0</v>
      </c>
      <c r="AF103" s="282">
        <f>Prod.!AA58</f>
        <v>0</v>
      </c>
    </row>
    <row r="104" spans="1:32" ht="15" customHeight="1">
      <c r="A104" s="1435">
        <v>2</v>
      </c>
      <c r="B104" s="818">
        <f>W105</f>
        <v>0</v>
      </c>
      <c r="C104" s="819" t="s">
        <v>765</v>
      </c>
      <c r="D104" s="822"/>
      <c r="E104" s="822"/>
      <c r="F104" s="821">
        <f ca="1">F105 + (RAND() * 0.02 - 0.01)</f>
        <v>-7.2356642838146933E-3</v>
      </c>
      <c r="G104" s="821">
        <f ca="1">G105 + (RAND() * 0.06 - 0.03)</f>
        <v>0.55687701653682842</v>
      </c>
      <c r="H104" s="822">
        <f ca="1">H105 + (RAND() * 0.006 - 0.003)</f>
        <v>-9.5047228426529051E-4</v>
      </c>
      <c r="I104" s="822">
        <f ca="1">I105 + (RAND() * 0.006 - 0.003)</f>
        <v>1.3994093634736192E-3</v>
      </c>
      <c r="J104" s="821">
        <f ca="1">J105 + (RAND() * 0.02 - 0.01)</f>
        <v>-9.9316665637594267E-3</v>
      </c>
      <c r="K104" s="821"/>
      <c r="L104" s="822"/>
      <c r="M104" s="821"/>
      <c r="N104" s="823"/>
      <c r="O104" s="823"/>
      <c r="P104" s="823"/>
      <c r="Q104" s="823"/>
      <c r="R104" s="837"/>
      <c r="S104" s="821"/>
      <c r="T104" s="838"/>
      <c r="U104" s="825"/>
      <c r="V104" s="826"/>
    </row>
    <row r="105" spans="1:32" ht="15" customHeight="1">
      <c r="A105" s="1435"/>
      <c r="B105" s="827">
        <f>B104</f>
        <v>0</v>
      </c>
      <c r="C105" s="828" t="s">
        <v>768</v>
      </c>
      <c r="D105" s="829" t="str">
        <f>IF(AC105=130, "130 × 130", IF(AC105=160, "160 × 160", IF(AC105=110, "110 × 110", "Value not 130, 160, or 110")))</f>
        <v>Value not 130, 160, or 110</v>
      </c>
      <c r="E105" s="830">
        <f>AD105</f>
        <v>0</v>
      </c>
      <c r="F105" s="831">
        <f ca="1">IF(X105 &gt; 0.1, RAND() * (0.1 - 0.06) + 0.06, X105)</f>
        <v>0</v>
      </c>
      <c r="G105" s="831">
        <f ca="1">IF(Y105 &lt; 0.5, 0.5 + RAND() * 0.1, Y105)</f>
        <v>0.54498250147421423</v>
      </c>
      <c r="H105" s="830">
        <f ca="1">IF(AB105&gt;0.04, 0.029 + (0.039-0.029)*RAND(), AB105)</f>
        <v>0</v>
      </c>
      <c r="I105" s="830">
        <f ca="1">IF(AA105&gt;0.04, 0.029 + (0.039-0.029)*RAND(), AA105)</f>
        <v>0</v>
      </c>
      <c r="J105" s="831">
        <f ca="1">IF(Z105&gt;0.15, 0.11 + (0.15-0.11) * RAND(), Z105)</f>
        <v>0</v>
      </c>
      <c r="K105" s="830">
        <f ca="1">0.004 + (RAND() * (0.001 - 0.004))</f>
        <v>1.7564517750904285E-3</v>
      </c>
      <c r="L105" s="830">
        <f ca="1">H105+I105</f>
        <v>0</v>
      </c>
      <c r="M105" s="831">
        <f ca="1">(G105/6)+F105</f>
        <v>9.0830416912369039E-2</v>
      </c>
      <c r="N105" s="831">
        <f ca="1">2 + RAND()</f>
        <v>2.6694504185587968</v>
      </c>
      <c r="O105" s="831">
        <f ca="1">1 + RAND()</f>
        <v>1.595437991568367</v>
      </c>
      <c r="P105" s="831">
        <f ca="1">2.98 + (RAND() * (3.03 - 2.98))</f>
        <v>3.0040888077487882</v>
      </c>
      <c r="Q105" s="832" t="str">
        <f ca="1">IF(D105="130 × 130", (130 + RANDBETWEEN(-1,1)) &amp; " × " &amp; (130 + RANDBETWEEN(-1,1)),
   IF(D105="160 × 160", (160 + RANDBETWEEN(-1,1)) &amp; " × " &amp; (160 + RANDBETWEEN(-1,1)),
   IF(D105="110 × 110", (110 + RANDBETWEEN(-1,1)) &amp; " × " &amp; (110 + RANDBETWEEN(-1,1)),
   "Value not matched")))</f>
        <v>Value not matched</v>
      </c>
      <c r="R105" s="833" t="s">
        <v>213</v>
      </c>
      <c r="S105" s="834" t="str">
        <f ca="1">IF(G105&lt;0.6, "IS 14650 CPS 10748/GR2", "IS 14650 CPS 10748/GR3")</f>
        <v>IS 14650 CPS 10748/GR2</v>
      </c>
      <c r="T105" s="831" t="s">
        <v>769</v>
      </c>
      <c r="U105" s="825"/>
      <c r="V105" s="826"/>
      <c r="W105" s="206">
        <f>Prod.!B59</f>
        <v>0</v>
      </c>
      <c r="X105" s="469">
        <f>Prod.!C59</f>
        <v>0</v>
      </c>
      <c r="Y105" s="469">
        <f>Prod.!D59</f>
        <v>0</v>
      </c>
      <c r="Z105" s="469">
        <f>Prod.!E59</f>
        <v>0</v>
      </c>
      <c r="AA105" s="282">
        <f>Prod.!F59</f>
        <v>0</v>
      </c>
      <c r="AB105" s="282">
        <f>Prod.!G59</f>
        <v>0</v>
      </c>
      <c r="AC105" s="836">
        <f>Prod.!H59</f>
        <v>0</v>
      </c>
      <c r="AD105" s="282">
        <f>Prod.!AB59</f>
        <v>0</v>
      </c>
      <c r="AE105" s="282">
        <f>AD105-AF105</f>
        <v>0</v>
      </c>
      <c r="AF105" s="282">
        <f>Prod.!AA59</f>
        <v>0</v>
      </c>
    </row>
    <row r="106" spans="1:32" ht="15" customHeight="1">
      <c r="A106" s="1435">
        <v>3</v>
      </c>
      <c r="B106" s="818">
        <f>W107</f>
        <v>0</v>
      </c>
      <c r="C106" s="819" t="s">
        <v>765</v>
      </c>
      <c r="D106" s="822"/>
      <c r="E106" s="822"/>
      <c r="F106" s="821">
        <f ca="1">F107 + (RAND() * 0.02 - 0.01)</f>
        <v>-8.6398865484182408E-3</v>
      </c>
      <c r="G106" s="821">
        <f ca="1">G107 + (RAND() * 0.06 - 0.03)</f>
        <v>0.51778896868265267</v>
      </c>
      <c r="H106" s="822">
        <f ca="1">H107 + (RAND() * 0.006 - 0.003)</f>
        <v>-1.0047359117586027E-3</v>
      </c>
      <c r="I106" s="822">
        <f ca="1">I107 + (RAND() * 0.006 - 0.003)</f>
        <v>-5.1440671097371287E-4</v>
      </c>
      <c r="J106" s="821">
        <f ca="1">J107 + (RAND() * 0.02 - 0.01)</f>
        <v>2.113645939569378E-4</v>
      </c>
      <c r="K106" s="821"/>
      <c r="L106" s="822"/>
      <c r="M106" s="821"/>
      <c r="N106" s="823"/>
      <c r="O106" s="823"/>
      <c r="P106" s="823"/>
      <c r="Q106" s="823"/>
      <c r="R106" s="839"/>
      <c r="S106" s="821"/>
      <c r="T106" s="821"/>
      <c r="U106" s="825"/>
      <c r="V106" s="826"/>
    </row>
    <row r="107" spans="1:32" ht="15" customHeight="1">
      <c r="A107" s="1435"/>
      <c r="B107" s="827">
        <f>B106</f>
        <v>0</v>
      </c>
      <c r="C107" s="828" t="s">
        <v>768</v>
      </c>
      <c r="D107" s="829" t="str">
        <f>IF(AC107=130, "130 × 130", IF(AC107=160, "160 × 160", IF(AC107=110, "110 × 110", "Value not 130, 160, or 110")))</f>
        <v>Value not 130, 160, or 110</v>
      </c>
      <c r="E107" s="830">
        <f>AD107</f>
        <v>0</v>
      </c>
      <c r="F107" s="831">
        <f ca="1">IF(X107 &gt; 0.1, RAND() * (0.1 - 0.06) + 0.06, X107)</f>
        <v>0</v>
      </c>
      <c r="G107" s="831">
        <f ca="1">IF(Y107 &lt; 0.5, 0.5 + RAND() * 0.1, Y107)</f>
        <v>0.5314521414065837</v>
      </c>
      <c r="H107" s="830">
        <f ca="1">IF(AB107&gt;0.04, 0.029 + (0.039-0.029)*RAND(), AB107)</f>
        <v>0</v>
      </c>
      <c r="I107" s="830">
        <f ca="1">IF(AA107&gt;0.04, 0.029 + (0.039-0.029)*RAND(), AA107)</f>
        <v>0</v>
      </c>
      <c r="J107" s="831">
        <f ca="1">IF(Z107&gt;0.15, 0.11 + (0.15-0.11) * RAND(), Z107)</f>
        <v>0</v>
      </c>
      <c r="K107" s="830">
        <f ca="1">0.004 + (RAND() * (0.001 - 0.004))</f>
        <v>3.4040054557104727E-3</v>
      </c>
      <c r="L107" s="830">
        <f ca="1">H107+I107</f>
        <v>0</v>
      </c>
      <c r="M107" s="831">
        <f ca="1">(G107/6)+F107</f>
        <v>8.8575356901097288E-2</v>
      </c>
      <c r="N107" s="831">
        <f ca="1">2 + RAND()</f>
        <v>2.4602224465179585</v>
      </c>
      <c r="O107" s="831">
        <f ca="1">1 + RAND()</f>
        <v>1.1786031508053414</v>
      </c>
      <c r="P107" s="831">
        <f ca="1">2.98 + (RAND() * (3.03 - 2.98))</f>
        <v>3.0273840674004524</v>
      </c>
      <c r="Q107" s="832" t="str">
        <f ca="1">IF(D107="130 × 130", (130 + RANDBETWEEN(-1,1)) &amp; " × " &amp; (130 + RANDBETWEEN(-1,1)),
   IF(D107="160 × 160", (160 + RANDBETWEEN(-1,1)) &amp; " × " &amp; (160 + RANDBETWEEN(-1,1)),
   IF(D107="110 × 110", (110 + RANDBETWEEN(-1,1)) &amp; " × " &amp; (110 + RANDBETWEEN(-1,1)),
   "Value not matched")))</f>
        <v>Value not matched</v>
      </c>
      <c r="R107" s="833" t="s">
        <v>213</v>
      </c>
      <c r="S107" s="834" t="str">
        <f ca="1">IF(G107&lt;0.6, "IS 14650 CPS 10748/GR2", "IS 14650 CPS 10748/GR3")</f>
        <v>IS 14650 CPS 10748/GR2</v>
      </c>
      <c r="T107" s="831" t="s">
        <v>769</v>
      </c>
      <c r="U107" s="825"/>
      <c r="V107" s="826"/>
      <c r="W107" s="206">
        <f>Prod.!B60</f>
        <v>0</v>
      </c>
      <c r="X107" s="469">
        <f>Prod.!C60</f>
        <v>0</v>
      </c>
      <c r="Y107" s="469">
        <f>Prod.!D60</f>
        <v>0</v>
      </c>
      <c r="Z107" s="469">
        <f>Prod.!E60</f>
        <v>0</v>
      </c>
      <c r="AA107" s="282">
        <f>Prod.!F60</f>
        <v>0</v>
      </c>
      <c r="AB107" s="282">
        <f>Prod.!G60</f>
        <v>0</v>
      </c>
      <c r="AC107" s="836">
        <f>Prod.!H60</f>
        <v>0</v>
      </c>
      <c r="AD107" s="282">
        <f>Prod.!AB60</f>
        <v>0</v>
      </c>
      <c r="AE107" s="282">
        <f>AD107-AF107</f>
        <v>0</v>
      </c>
      <c r="AF107" s="282">
        <f>Prod.!AA60</f>
        <v>0</v>
      </c>
    </row>
    <row r="108" spans="1:32" ht="15" customHeight="1">
      <c r="A108" s="1435">
        <v>4</v>
      </c>
      <c r="B108" s="818">
        <f>W109</f>
        <v>0</v>
      </c>
      <c r="C108" s="819" t="s">
        <v>765</v>
      </c>
      <c r="D108" s="822"/>
      <c r="E108" s="822"/>
      <c r="F108" s="821">
        <f ca="1">F109 + (RAND() * 0.02 - 0.01)</f>
        <v>-7.0443011660163042E-3</v>
      </c>
      <c r="G108" s="821">
        <f ca="1">G109 + (RAND() * 0.06 - 0.03)</f>
        <v>0.62324140066303879</v>
      </c>
      <c r="H108" s="822">
        <f ca="1">H109 + (RAND() * 0.006 - 0.003)</f>
        <v>-1.8556771589512578E-3</v>
      </c>
      <c r="I108" s="822">
        <f ca="1">I109 + (RAND() * 0.006 - 0.003)</f>
        <v>1.7174543573124403E-3</v>
      </c>
      <c r="J108" s="821">
        <f ca="1">J109 + (RAND() * 0.02 - 0.01)</f>
        <v>4.7286166933780474E-3</v>
      </c>
      <c r="K108" s="821"/>
      <c r="L108" s="822"/>
      <c r="M108" s="821"/>
      <c r="N108" s="823"/>
      <c r="O108" s="823"/>
      <c r="P108" s="823"/>
      <c r="Q108" s="823"/>
      <c r="R108" s="839"/>
      <c r="S108" s="821"/>
      <c r="T108" s="821"/>
      <c r="U108" s="825"/>
      <c r="V108" s="826"/>
    </row>
    <row r="109" spans="1:32" ht="15" customHeight="1">
      <c r="A109" s="1435"/>
      <c r="B109" s="827">
        <f>B108</f>
        <v>0</v>
      </c>
      <c r="C109" s="828" t="s">
        <v>768</v>
      </c>
      <c r="D109" s="829" t="str">
        <f>IF(AC109=130, "130 × 130", IF(AC109=160, "160 × 160", IF(AC109=110, "110 × 110", "Value not 130, 160, or 110")))</f>
        <v>Value not 130, 160, or 110</v>
      </c>
      <c r="E109" s="830">
        <f>AD109</f>
        <v>0</v>
      </c>
      <c r="F109" s="831">
        <f ca="1">IF(X109 &gt; 0.1, RAND() * (0.1 - 0.06) + 0.06, X109)</f>
        <v>0</v>
      </c>
      <c r="G109" s="831">
        <f ca="1">IF(Y109 &lt; 0.5, 0.5 + RAND() * 0.1, Y109)</f>
        <v>0.59622248674849532</v>
      </c>
      <c r="H109" s="830">
        <f ca="1">IF(AB109&gt;0.04, 0.029 + (0.039-0.029)*RAND(), AB109)</f>
        <v>0</v>
      </c>
      <c r="I109" s="830">
        <f ca="1">IF(AA109&gt;0.04, 0.029 + (0.039-0.029)*RAND(), AA109)</f>
        <v>0</v>
      </c>
      <c r="J109" s="831">
        <f ca="1">IF(Z109&gt;0.15, 0.11 + (0.15-0.11) * RAND(), Z109)</f>
        <v>0</v>
      </c>
      <c r="K109" s="830">
        <f ca="1">0.004 + (RAND() * (0.001 - 0.004))</f>
        <v>3.9089893639485734E-3</v>
      </c>
      <c r="L109" s="830">
        <f ca="1">H109+I109</f>
        <v>0</v>
      </c>
      <c r="M109" s="831">
        <f ca="1">(G109/6)+F109</f>
        <v>9.9370414458082548E-2</v>
      </c>
      <c r="N109" s="831">
        <f ca="1">2 + RAND()</f>
        <v>2.5434864396323564</v>
      </c>
      <c r="O109" s="831">
        <f ca="1">1 + RAND()</f>
        <v>1.4168099940787993</v>
      </c>
      <c r="P109" s="831">
        <f ca="1">2.98 + (RAND() * (3.03 - 2.98))</f>
        <v>3.0028715578149647</v>
      </c>
      <c r="Q109" s="832" t="str">
        <f ca="1">IF(D109="130 × 130", (130 + RANDBETWEEN(-1,1)) &amp; " × " &amp; (130 + RANDBETWEEN(-1,1)),
   IF(D109="160 × 160", (160 + RANDBETWEEN(-1,1)) &amp; " × " &amp; (160 + RANDBETWEEN(-1,1)),
   IF(D109="110 × 110", (110 + RANDBETWEEN(-1,1)) &amp; " × " &amp; (110 + RANDBETWEEN(-1,1)),
   "Value not matched")))</f>
        <v>Value not matched</v>
      </c>
      <c r="R109" s="833" t="s">
        <v>213</v>
      </c>
      <c r="S109" s="834" t="str">
        <f ca="1">IF(G109&lt;0.6, "IS 14650 CPS 10748/GR2", "IS 14650 CPS 10748/GR3")</f>
        <v>IS 14650 CPS 10748/GR2</v>
      </c>
      <c r="T109" s="831" t="s">
        <v>769</v>
      </c>
      <c r="U109" s="825"/>
      <c r="V109" s="826"/>
      <c r="W109" s="206">
        <f>Prod.!B61</f>
        <v>0</v>
      </c>
      <c r="X109" s="469">
        <f>Prod.!C61</f>
        <v>0</v>
      </c>
      <c r="Y109" s="469">
        <f>Prod.!D61</f>
        <v>0</v>
      </c>
      <c r="Z109" s="469">
        <f>Prod.!E61</f>
        <v>0</v>
      </c>
      <c r="AA109" s="282">
        <f>Prod.!F61</f>
        <v>0</v>
      </c>
      <c r="AB109" s="282">
        <f>Prod.!G61</f>
        <v>0</v>
      </c>
      <c r="AC109" s="836">
        <f>Prod.!H61</f>
        <v>0</v>
      </c>
      <c r="AD109" s="282">
        <f>Prod.!AB61</f>
        <v>0</v>
      </c>
      <c r="AE109" s="282">
        <f>AD109-AF109</f>
        <v>0</v>
      </c>
      <c r="AF109" s="282">
        <f>Prod.!AA61</f>
        <v>0</v>
      </c>
    </row>
    <row r="110" spans="1:32" ht="15" customHeight="1">
      <c r="A110" s="1435">
        <v>5</v>
      </c>
      <c r="B110" s="818">
        <f>W111</f>
        <v>0</v>
      </c>
      <c r="C110" s="819" t="s">
        <v>765</v>
      </c>
      <c r="D110" s="822"/>
      <c r="E110" s="822"/>
      <c r="F110" s="821">
        <f ca="1">F111 + (RAND() * 0.02 - 0.01)</f>
        <v>3.2186664260724866E-3</v>
      </c>
      <c r="G110" s="821">
        <f ca="1">G111 + (RAND() * 0.06 - 0.03)</f>
        <v>0.54579799630278358</v>
      </c>
      <c r="H110" s="822">
        <f ca="1">H111 + (RAND() * 0.006 - 0.003)</f>
        <v>9.5940558596785408E-4</v>
      </c>
      <c r="I110" s="822">
        <f ca="1">I111 + (RAND() * 0.006 - 0.003)</f>
        <v>-2.8058524638834058E-4</v>
      </c>
      <c r="J110" s="821">
        <f ca="1">J111 + (RAND() * 0.02 - 0.01)</f>
        <v>2.2308609346168677E-3</v>
      </c>
      <c r="K110" s="821"/>
      <c r="L110" s="822"/>
      <c r="M110" s="821"/>
      <c r="N110" s="823"/>
      <c r="O110" s="823"/>
      <c r="P110" s="823"/>
      <c r="Q110" s="823"/>
      <c r="R110" s="839"/>
      <c r="S110" s="821"/>
      <c r="T110" s="821"/>
      <c r="U110" s="825"/>
      <c r="V110" s="826"/>
    </row>
    <row r="111" spans="1:32" ht="15" customHeight="1">
      <c r="A111" s="1435"/>
      <c r="B111" s="827">
        <f>B110</f>
        <v>0</v>
      </c>
      <c r="C111" s="828" t="s">
        <v>768</v>
      </c>
      <c r="D111" s="829" t="str">
        <f>IF(AC111=130, "130 × 130", IF(AC111=160, "160 × 160", IF(AC111=110, "110 × 110", "Value not 130, 160, or 110")))</f>
        <v>Value not 130, 160, or 110</v>
      </c>
      <c r="E111" s="830">
        <f>AD111</f>
        <v>0</v>
      </c>
      <c r="F111" s="831">
        <f ca="1">IF(X111 &gt; 0.1, RAND() * (0.1 - 0.06) + 0.06, X111)</f>
        <v>0</v>
      </c>
      <c r="G111" s="831">
        <f ca="1">IF(Y111 &lt; 0.5, 0.5 + RAND() * 0.1, Y111)</f>
        <v>0.56009540573688277</v>
      </c>
      <c r="H111" s="830">
        <f ca="1">IF(AB111&gt;0.04, 0.029 + (0.039-0.029)*RAND(), AB111)</f>
        <v>0</v>
      </c>
      <c r="I111" s="830">
        <f ca="1">IF(AA111&gt;0.04, 0.029 + (0.039-0.029)*RAND(), AA111)</f>
        <v>0</v>
      </c>
      <c r="J111" s="831">
        <f ca="1">IF(Z111&gt;0.15, 0.11 + (0.15-0.11) * RAND(), Z111)</f>
        <v>0</v>
      </c>
      <c r="K111" s="830">
        <f ca="1">0.004 + (RAND() * (0.001 - 0.004))</f>
        <v>1.0025068954499948E-3</v>
      </c>
      <c r="L111" s="830">
        <f ca="1">H111+I111</f>
        <v>0</v>
      </c>
      <c r="M111" s="831">
        <f ca="1">(G111/6)+F111</f>
        <v>9.3349234289480457E-2</v>
      </c>
      <c r="N111" s="831">
        <f ca="1">2 + RAND()</f>
        <v>2.0949605206407242</v>
      </c>
      <c r="O111" s="831">
        <f ca="1">1 + RAND()</f>
        <v>1.2404417386411533</v>
      </c>
      <c r="P111" s="831">
        <f ca="1">2.98 + (RAND() * (3.03 - 2.98))</f>
        <v>2.9932373578611595</v>
      </c>
      <c r="Q111" s="832" t="str">
        <f ca="1">IF(D111="130 × 130", (130 + RANDBETWEEN(-1,1)) &amp; " × " &amp; (130 + RANDBETWEEN(-1,1)),
   IF(D111="160 × 160", (160 + RANDBETWEEN(-1,1)) &amp; " × " &amp; (160 + RANDBETWEEN(-1,1)),
   IF(D111="110 × 110", (110 + RANDBETWEEN(-1,1)) &amp; " × " &amp; (110 + RANDBETWEEN(-1,1)),
   "Value not matched")))</f>
        <v>Value not matched</v>
      </c>
      <c r="R111" s="833" t="s">
        <v>213</v>
      </c>
      <c r="S111" s="834" t="str">
        <f ca="1">IF(G111&lt;0.6, "IS 14650 CPS 10748/GR2", "IS 14650 CPS 10748/GR3")</f>
        <v>IS 14650 CPS 10748/GR2</v>
      </c>
      <c r="T111" s="831" t="s">
        <v>769</v>
      </c>
      <c r="U111" s="825"/>
      <c r="V111" s="826"/>
      <c r="W111" s="206">
        <f>Prod.!B62</f>
        <v>0</v>
      </c>
      <c r="X111" s="469">
        <f>Prod.!C62</f>
        <v>0</v>
      </c>
      <c r="Y111" s="469">
        <f>Prod.!D62</f>
        <v>0</v>
      </c>
      <c r="Z111" s="469">
        <f>Prod.!E62</f>
        <v>0</v>
      </c>
      <c r="AA111" s="282">
        <f>Prod.!F62</f>
        <v>0</v>
      </c>
      <c r="AB111" s="282">
        <f>Prod.!G62</f>
        <v>0</v>
      </c>
      <c r="AC111" s="836">
        <f>Prod.!H62</f>
        <v>0</v>
      </c>
      <c r="AD111" s="282">
        <f>Prod.!AB62</f>
        <v>0</v>
      </c>
      <c r="AE111" s="282">
        <f>AD111-AF111</f>
        <v>0</v>
      </c>
      <c r="AF111" s="282">
        <f>Prod.!AA62</f>
        <v>0</v>
      </c>
    </row>
    <row r="112" spans="1:32" ht="15" customHeight="1">
      <c r="A112" s="1435">
        <v>6</v>
      </c>
      <c r="B112" s="818">
        <f>W113</f>
        <v>0</v>
      </c>
      <c r="C112" s="819" t="s">
        <v>765</v>
      </c>
      <c r="D112" s="822"/>
      <c r="E112" s="822"/>
      <c r="F112" s="821">
        <f ca="1">F113 + (RAND() * 0.02 - 0.01)</f>
        <v>-2.0596106321593873E-4</v>
      </c>
      <c r="G112" s="821">
        <f ca="1">G113 + (RAND() * 0.06 - 0.03)</f>
        <v>0.54553566969405287</v>
      </c>
      <c r="H112" s="822">
        <f ca="1">H113 + (RAND() * 0.006 - 0.003)</f>
        <v>2.3400250780099118E-3</v>
      </c>
      <c r="I112" s="822">
        <f ca="1">I113 + (RAND() * 0.006 - 0.003)</f>
        <v>2.2577143835252273E-3</v>
      </c>
      <c r="J112" s="821">
        <f ca="1">J113 + (RAND() * 0.02 - 0.01)</f>
        <v>-6.8802779135659249E-3</v>
      </c>
      <c r="K112" s="821"/>
      <c r="L112" s="822"/>
      <c r="M112" s="821"/>
      <c r="N112" s="823"/>
      <c r="O112" s="823"/>
      <c r="P112" s="823"/>
      <c r="Q112" s="823"/>
      <c r="R112" s="839"/>
      <c r="S112" s="821"/>
      <c r="T112" s="821"/>
      <c r="U112" s="825"/>
      <c r="V112" s="826"/>
    </row>
    <row r="113" spans="1:32" ht="15" customHeight="1">
      <c r="A113" s="1435"/>
      <c r="B113" s="827">
        <f>B112</f>
        <v>0</v>
      </c>
      <c r="C113" s="828" t="s">
        <v>768</v>
      </c>
      <c r="D113" s="829" t="str">
        <f>IF(AC113=130, "130 × 130", IF(AC113=160, "160 × 160", IF(AC113=110, "110 × 110", "Value not 130, 160, or 110")))</f>
        <v>Value not 130, 160, or 110</v>
      </c>
      <c r="E113" s="830">
        <f>AD113</f>
        <v>0</v>
      </c>
      <c r="F113" s="831">
        <f ca="1">IF(X113 &gt; 0.1, RAND() * (0.1 - 0.06) + 0.06, X113)</f>
        <v>0</v>
      </c>
      <c r="G113" s="831">
        <f ca="1">IF(Y113 &lt; 0.5, 0.5 + RAND() * 0.1, Y113)</f>
        <v>0.57295418836841672</v>
      </c>
      <c r="H113" s="830">
        <f ca="1">IF(AB113&gt;0.04, 0.029 + (0.039-0.029)*RAND(), AB113)</f>
        <v>0</v>
      </c>
      <c r="I113" s="830">
        <f ca="1">IF(AA113&gt;0.04, 0.029 + (0.039-0.029)*RAND(), AA113)</f>
        <v>0</v>
      </c>
      <c r="J113" s="831">
        <f ca="1">IF(Z113&gt;0.15, 0.11 + (0.15-0.11) * RAND(), Z113)</f>
        <v>0</v>
      </c>
      <c r="K113" s="830">
        <f ca="1">0.004 + (RAND() * (0.001 - 0.004))</f>
        <v>3.4086514223688313E-3</v>
      </c>
      <c r="L113" s="830">
        <f ca="1">H113+I113</f>
        <v>0</v>
      </c>
      <c r="M113" s="831">
        <f ca="1">(G113/6)+F113</f>
        <v>9.5492364728069448E-2</v>
      </c>
      <c r="N113" s="831">
        <f ca="1">2 + RAND()</f>
        <v>2.5527973887833122</v>
      </c>
      <c r="O113" s="831">
        <f ca="1">1 + RAND()</f>
        <v>1.411327576788528</v>
      </c>
      <c r="P113" s="831">
        <f ca="1">2.98 + (RAND() * (3.03 - 2.98))</f>
        <v>3.0036997417347862</v>
      </c>
      <c r="Q113" s="832" t="str">
        <f ca="1">IF(D113="130 × 130", (130 + RANDBETWEEN(-1,1)) &amp; " × " &amp; (130 + RANDBETWEEN(-1,1)),
   IF(D113="160 × 160", (160 + RANDBETWEEN(-1,1)) &amp; " × " &amp; (160 + RANDBETWEEN(-1,1)),
   IF(D113="110 × 110", (110 + RANDBETWEEN(-1,1)) &amp; " × " &amp; (110 + RANDBETWEEN(-1,1)),
   "Value not matched")))</f>
        <v>Value not matched</v>
      </c>
      <c r="R113" s="833" t="s">
        <v>213</v>
      </c>
      <c r="S113" s="834" t="str">
        <f ca="1">IF(G113&lt;0.6, "IS 14650 CPS 10748/GR2", "IS 14650 CPS 10748/GR3")</f>
        <v>IS 14650 CPS 10748/GR2</v>
      </c>
      <c r="T113" s="831" t="s">
        <v>769</v>
      </c>
      <c r="U113" s="825"/>
      <c r="V113" s="826"/>
      <c r="W113" s="206">
        <f>Prod.!B63</f>
        <v>0</v>
      </c>
      <c r="X113" s="469">
        <f>Prod.!C63</f>
        <v>0</v>
      </c>
      <c r="Y113" s="469">
        <f>Prod.!D63</f>
        <v>0</v>
      </c>
      <c r="Z113" s="469">
        <f>Prod.!E63</f>
        <v>0</v>
      </c>
      <c r="AA113" s="282">
        <f>Prod.!F63</f>
        <v>0</v>
      </c>
      <c r="AB113" s="282">
        <f>Prod.!G63</f>
        <v>0</v>
      </c>
      <c r="AC113" s="836">
        <f>Prod.!H63</f>
        <v>0</v>
      </c>
      <c r="AD113" s="282">
        <f>Prod.!AB63</f>
        <v>0</v>
      </c>
      <c r="AE113" s="282">
        <f>AD113-AF113</f>
        <v>0</v>
      </c>
      <c r="AF113" s="282">
        <f>Prod.!AA63</f>
        <v>0</v>
      </c>
    </row>
    <row r="114" spans="1:32" ht="15" customHeight="1">
      <c r="A114" s="1435">
        <v>7</v>
      </c>
      <c r="B114" s="818">
        <f>W115</f>
        <v>0</v>
      </c>
      <c r="C114" s="819" t="s">
        <v>765</v>
      </c>
      <c r="D114" s="822"/>
      <c r="E114" s="822"/>
      <c r="F114" s="821">
        <f ca="1">F115 + (RAND() * 0.02 - 0.01)</f>
        <v>-3.3151690145542465E-4</v>
      </c>
      <c r="G114" s="821">
        <f ca="1">G115 + (RAND() * 0.06 - 0.03)</f>
        <v>0.5401464598866067</v>
      </c>
      <c r="H114" s="822">
        <f ca="1">H115 + (RAND() * 0.006 - 0.003)</f>
        <v>2.3671418909118292E-3</v>
      </c>
      <c r="I114" s="822">
        <f ca="1">I115 + (RAND() * 0.006 - 0.003)</f>
        <v>1.6271946991012884E-3</v>
      </c>
      <c r="J114" s="821">
        <f ca="1">J115 + (RAND() * 0.02 - 0.01)</f>
        <v>1.4042496001311806E-3</v>
      </c>
      <c r="K114" s="821"/>
      <c r="L114" s="822"/>
      <c r="M114" s="821"/>
      <c r="N114" s="823"/>
      <c r="O114" s="823"/>
      <c r="P114" s="823"/>
      <c r="Q114" s="823"/>
      <c r="R114" s="839"/>
      <c r="S114" s="821"/>
      <c r="T114" s="821"/>
      <c r="U114" s="825"/>
      <c r="V114" s="826"/>
    </row>
    <row r="115" spans="1:32" ht="15" customHeight="1">
      <c r="A115" s="1435"/>
      <c r="B115" s="827">
        <f>B114</f>
        <v>0</v>
      </c>
      <c r="C115" s="828" t="s">
        <v>768</v>
      </c>
      <c r="D115" s="829" t="str">
        <f>IF(AC115=130, "130 × 130", IF(AC115=160, "160 × 160", IF(AC115=110, "110 × 110", "Value not 130, 160, or 110")))</f>
        <v>Value not 130, 160, or 110</v>
      </c>
      <c r="E115" s="830">
        <f>AD115</f>
        <v>0</v>
      </c>
      <c r="F115" s="831">
        <f ca="1">IF(X115 &gt; 0.1, RAND() * (0.1 - 0.06) + 0.06, X115)</f>
        <v>0</v>
      </c>
      <c r="G115" s="831">
        <f ca="1">IF(Y115 &lt; 0.5, 0.5 + RAND() * 0.1, Y115)</f>
        <v>0.55598057037227389</v>
      </c>
      <c r="H115" s="830">
        <f ca="1">IF(AB115&gt;0.04, 0.029 + (0.039-0.029)*RAND(), AB115)</f>
        <v>0</v>
      </c>
      <c r="I115" s="830">
        <f ca="1">IF(AA115&gt;0.04, 0.029 + (0.039-0.029)*RAND(), AA115)</f>
        <v>0</v>
      </c>
      <c r="J115" s="831">
        <f ca="1">IF(Z115&gt;0.15, 0.11 + (0.15-0.11) * RAND(), Z115)</f>
        <v>0</v>
      </c>
      <c r="K115" s="830">
        <f ca="1">0.004 + (RAND() * (0.001 - 0.004))</f>
        <v>1.8774409283746634E-3</v>
      </c>
      <c r="L115" s="830">
        <f ca="1">H115+I115</f>
        <v>0</v>
      </c>
      <c r="M115" s="831">
        <f ca="1">(G115/6)+F115</f>
        <v>9.2663428395378986E-2</v>
      </c>
      <c r="N115" s="831">
        <f ca="1">2 + RAND()</f>
        <v>2.7805363154174731</v>
      </c>
      <c r="O115" s="831">
        <f ca="1">1 + RAND()</f>
        <v>1.869134940142672</v>
      </c>
      <c r="P115" s="831">
        <f ca="1">2.98 + (RAND() * (3.03 - 2.98))</f>
        <v>3.0108189980561879</v>
      </c>
      <c r="Q115" s="832" t="str">
        <f ca="1">IF(D115="130 × 130", (130 + RANDBETWEEN(-1,1)) &amp; " × " &amp; (130 + RANDBETWEEN(-1,1)),
   IF(D115="160 × 160", (160 + RANDBETWEEN(-1,1)) &amp; " × " &amp; (160 + RANDBETWEEN(-1,1)),
   IF(D115="110 × 110", (110 + RANDBETWEEN(-1,1)) &amp; " × " &amp; (110 + RANDBETWEEN(-1,1)),
   "Value not matched")))</f>
        <v>Value not matched</v>
      </c>
      <c r="R115" s="833" t="s">
        <v>213</v>
      </c>
      <c r="S115" s="834" t="str">
        <f ca="1">IF(G115&lt;0.6, "IS 14650 CPS 10748/GR2", "IS 14650 CPS 10748/GR3")</f>
        <v>IS 14650 CPS 10748/GR2</v>
      </c>
      <c r="T115" s="831" t="s">
        <v>769</v>
      </c>
      <c r="U115" s="825"/>
      <c r="V115" s="826"/>
      <c r="W115" s="206">
        <f>Prod.!B64</f>
        <v>0</v>
      </c>
      <c r="X115" s="469">
        <f>Prod.!C64</f>
        <v>0</v>
      </c>
      <c r="Y115" s="469">
        <f>Prod.!D64</f>
        <v>0</v>
      </c>
      <c r="Z115" s="469">
        <f>Prod.!E64</f>
        <v>0</v>
      </c>
      <c r="AA115" s="282">
        <f>Prod.!F64</f>
        <v>0</v>
      </c>
      <c r="AB115" s="282">
        <f>Prod.!G64</f>
        <v>0</v>
      </c>
      <c r="AC115" s="836">
        <f>Prod.!H64</f>
        <v>0</v>
      </c>
      <c r="AD115" s="282">
        <f>Prod.!AB64</f>
        <v>0</v>
      </c>
      <c r="AE115" s="282">
        <f>AD115-AF115</f>
        <v>0</v>
      </c>
      <c r="AF115" s="282">
        <f>Prod.!AA64</f>
        <v>0</v>
      </c>
    </row>
    <row r="116" spans="1:32" ht="15" customHeight="1">
      <c r="A116" s="1435">
        <v>8</v>
      </c>
      <c r="B116" s="818">
        <f>W117</f>
        <v>0</v>
      </c>
      <c r="C116" s="819" t="s">
        <v>765</v>
      </c>
      <c r="D116" s="822"/>
      <c r="E116" s="822"/>
      <c r="F116" s="821">
        <f ca="1">F117 + (RAND() * 0.02 - 0.01)</f>
        <v>-7.1619384736975027E-3</v>
      </c>
      <c r="G116" s="821">
        <f ca="1">G117 + (RAND() * 0.06 - 0.03)</f>
        <v>0.59109816382189861</v>
      </c>
      <c r="H116" s="822">
        <f ca="1">H117 + (RAND() * 0.006 - 0.003)</f>
        <v>-4.1393208517274179E-4</v>
      </c>
      <c r="I116" s="822">
        <f ca="1">I117 + (RAND() * 0.006 - 0.003)</f>
        <v>-2.7909004177245635E-3</v>
      </c>
      <c r="J116" s="821">
        <f ca="1">J117 + (RAND() * 0.02 - 0.01)</f>
        <v>7.2251923015510828E-3</v>
      </c>
      <c r="K116" s="821"/>
      <c r="L116" s="822"/>
      <c r="M116" s="821"/>
      <c r="N116" s="823"/>
      <c r="O116" s="823"/>
      <c r="P116" s="823"/>
      <c r="Q116" s="823"/>
      <c r="R116" s="839"/>
      <c r="S116" s="821"/>
      <c r="T116" s="821"/>
      <c r="U116" s="825"/>
      <c r="V116" s="826"/>
    </row>
    <row r="117" spans="1:32" ht="15" customHeight="1">
      <c r="A117" s="1435"/>
      <c r="B117" s="827">
        <f>B116</f>
        <v>0</v>
      </c>
      <c r="C117" s="828" t="s">
        <v>768</v>
      </c>
      <c r="D117" s="829" t="str">
        <f>IF(AC117=130, "130 × 130", IF(AC117=160, "160 × 160", IF(AC117=110, "110 × 110", "Value not 130, 160, or 110")))</f>
        <v>Value not 130, 160, or 110</v>
      </c>
      <c r="E117" s="830">
        <f>AD117</f>
        <v>0</v>
      </c>
      <c r="F117" s="831">
        <f ca="1">IF(X117 &gt; 0.1, RAND() * (0.1 - 0.06) + 0.06, X117)</f>
        <v>0</v>
      </c>
      <c r="G117" s="831">
        <f ca="1">IF(Y117 &lt; 0.5, 0.5 + RAND() * 0.1, Y117)</f>
        <v>0.58075183149286458</v>
      </c>
      <c r="H117" s="830">
        <f ca="1">IF(AB117&gt;0.04, 0.029 + (0.039-0.029)*RAND(), AB117)</f>
        <v>0</v>
      </c>
      <c r="I117" s="830">
        <f ca="1">IF(AA117&gt;0.04, 0.029 + (0.039-0.029)*RAND(), AA117)</f>
        <v>0</v>
      </c>
      <c r="J117" s="831">
        <f ca="1">IF(Z117&gt;0.15, 0.11 + (0.15-0.11) * RAND(), Z117)</f>
        <v>0</v>
      </c>
      <c r="K117" s="830">
        <f ca="1">0.004 + (RAND() * (0.001 - 0.004))</f>
        <v>3.4221193502199554E-3</v>
      </c>
      <c r="L117" s="830">
        <f ca="1">H117+I117</f>
        <v>0</v>
      </c>
      <c r="M117" s="831">
        <f ca="1">(G117/6)+F117</f>
        <v>9.6791971915477434E-2</v>
      </c>
      <c r="N117" s="831">
        <f ca="1">2 + RAND()</f>
        <v>2.122906369612326</v>
      </c>
      <c r="O117" s="831">
        <f ca="1">1 + RAND()</f>
        <v>1.1560115294056619</v>
      </c>
      <c r="P117" s="831">
        <f ca="1">2.98 + (RAND() * (3.03 - 2.98))</f>
        <v>3.0113192138546445</v>
      </c>
      <c r="Q117" s="832" t="str">
        <f ca="1">IF(D117="130 × 130", (130 + RANDBETWEEN(-1,1)) &amp; " × " &amp; (130 + RANDBETWEEN(-1,1)),
   IF(D117="160 × 160", (160 + RANDBETWEEN(-1,1)) &amp; " × " &amp; (160 + RANDBETWEEN(-1,1)),
   IF(D117="110 × 110", (110 + RANDBETWEEN(-1,1)) &amp; " × " &amp; (110 + RANDBETWEEN(-1,1)),
   "Value not matched")))</f>
        <v>Value not matched</v>
      </c>
      <c r="R117" s="833" t="s">
        <v>213</v>
      </c>
      <c r="S117" s="834" t="str">
        <f ca="1">IF(G117&lt;0.6, "IS 14650 CPS 10748/GR2", "IS 14650 CPS 10748/GR3")</f>
        <v>IS 14650 CPS 10748/GR2</v>
      </c>
      <c r="T117" s="831" t="s">
        <v>769</v>
      </c>
      <c r="U117" s="825"/>
      <c r="V117" s="826"/>
      <c r="W117" s="206">
        <f>Prod.!B65</f>
        <v>0</v>
      </c>
      <c r="X117" s="469">
        <f>Prod.!C65</f>
        <v>0</v>
      </c>
      <c r="Y117" s="469">
        <f>Prod.!D65</f>
        <v>0</v>
      </c>
      <c r="Z117" s="469">
        <f>Prod.!E65</f>
        <v>0</v>
      </c>
      <c r="AA117" s="282">
        <f>Prod.!F65</f>
        <v>0</v>
      </c>
      <c r="AB117" s="282">
        <f>Prod.!G65</f>
        <v>0</v>
      </c>
      <c r="AC117" s="836">
        <f>Prod.!H65</f>
        <v>0</v>
      </c>
      <c r="AD117" s="282">
        <f>Prod.!AB65</f>
        <v>0</v>
      </c>
      <c r="AE117" s="282">
        <f>AD117-AF117</f>
        <v>0</v>
      </c>
      <c r="AF117" s="282">
        <f>Prod.!AA65</f>
        <v>0</v>
      </c>
    </row>
    <row r="118" spans="1:32" ht="15" customHeight="1">
      <c r="A118" s="1435">
        <v>9</v>
      </c>
      <c r="B118" s="818">
        <f>W119</f>
        <v>0</v>
      </c>
      <c r="C118" s="819" t="s">
        <v>765</v>
      </c>
      <c r="D118" s="822"/>
      <c r="E118" s="822"/>
      <c r="F118" s="821">
        <f ca="1">F119 + (RAND() * 0.02 - 0.01)</f>
        <v>4.8920692735358925E-3</v>
      </c>
      <c r="G118" s="821">
        <f ca="1">G119 + (RAND() * 0.06 - 0.03)</f>
        <v>0.52055484126416851</v>
      </c>
      <c r="H118" s="822">
        <f ca="1">H119 + (RAND() * 0.006 - 0.003)</f>
        <v>2.9763364407178099E-4</v>
      </c>
      <c r="I118" s="822">
        <f ca="1">I119 + (RAND() * 0.006 - 0.003)</f>
        <v>1.1436603411372811E-3</v>
      </c>
      <c r="J118" s="821">
        <f ca="1">J119 + (RAND() * 0.02 - 0.01)</f>
        <v>-5.6878722331438888E-3</v>
      </c>
      <c r="K118" s="821"/>
      <c r="L118" s="822"/>
      <c r="M118" s="821"/>
      <c r="N118" s="823"/>
      <c r="O118" s="823"/>
      <c r="P118" s="823"/>
      <c r="Q118" s="823"/>
      <c r="R118" s="839"/>
      <c r="S118" s="821"/>
      <c r="T118" s="821"/>
      <c r="U118" s="825"/>
      <c r="V118" s="826"/>
    </row>
    <row r="119" spans="1:32" ht="15" customHeight="1">
      <c r="A119" s="1435"/>
      <c r="B119" s="827">
        <f>B118</f>
        <v>0</v>
      </c>
      <c r="C119" s="828" t="s">
        <v>768</v>
      </c>
      <c r="D119" s="829" t="str">
        <f>IF(AC119=130, "130 × 130", IF(AC119=160, "160 × 160", IF(AC119=110, "110 × 110", "Value not 130, 160, or 110")))</f>
        <v>Value not 130, 160, or 110</v>
      </c>
      <c r="E119" s="830">
        <f>AD119</f>
        <v>0</v>
      </c>
      <c r="F119" s="831">
        <f ca="1">IF(X119 &gt; 0.1, RAND() * (0.1 - 0.06) + 0.06, X119)</f>
        <v>0</v>
      </c>
      <c r="G119" s="831">
        <f ca="1">IF(Y119 &lt; 0.5, 0.5 + RAND() * 0.1, Y119)</f>
        <v>0.53608170906386565</v>
      </c>
      <c r="H119" s="830">
        <f ca="1">IF(AB119&gt;0.04, 0.029 + (0.039-0.029)*RAND(), AB119)</f>
        <v>0</v>
      </c>
      <c r="I119" s="830">
        <f ca="1">IF(AA119&gt;0.04, 0.029 + (0.039-0.029)*RAND(), AA119)</f>
        <v>0</v>
      </c>
      <c r="J119" s="831">
        <f ca="1">IF(Z119&gt;0.15, 0.11 + (0.15-0.11) * RAND(), Z119)</f>
        <v>0</v>
      </c>
      <c r="K119" s="830">
        <f ca="1">0.004 + (RAND() * (0.001 - 0.004))</f>
        <v>3.3149295729620475E-3</v>
      </c>
      <c r="L119" s="830">
        <f ca="1">H119+I119</f>
        <v>0</v>
      </c>
      <c r="M119" s="831">
        <f ca="1">(G119/6)+F119</f>
        <v>8.9346951510644271E-2</v>
      </c>
      <c r="N119" s="831">
        <f ca="1">2 + RAND()</f>
        <v>2.780443263492737</v>
      </c>
      <c r="O119" s="831">
        <f ca="1">1 + RAND()</f>
        <v>1.8093317425167694</v>
      </c>
      <c r="P119" s="831">
        <f ca="1">2.98 + (RAND() * (3.03 - 2.98))</f>
        <v>3.0273681743604959</v>
      </c>
      <c r="Q119" s="832" t="str">
        <f ca="1">IF(D119="130 × 130", (130 + RANDBETWEEN(-1,1)) &amp; " × " &amp; (130 + RANDBETWEEN(-1,1)),
   IF(D119="160 × 160", (160 + RANDBETWEEN(-1,1)) &amp; " × " &amp; (160 + RANDBETWEEN(-1,1)),
   IF(D119="110 × 110", (110 + RANDBETWEEN(-1,1)) &amp; " × " &amp; (110 + RANDBETWEEN(-1,1)),
   "Value not matched")))</f>
        <v>Value not matched</v>
      </c>
      <c r="R119" s="833" t="s">
        <v>213</v>
      </c>
      <c r="S119" s="834" t="str">
        <f ca="1">IF(G119&lt;0.6, "IS 14650 CPS 10748/GR2", "IS 14650 CPS 10748/GR3")</f>
        <v>IS 14650 CPS 10748/GR2</v>
      </c>
      <c r="T119" s="831" t="s">
        <v>769</v>
      </c>
      <c r="U119" s="825"/>
      <c r="V119" s="826"/>
      <c r="W119" s="206">
        <f>Prod.!B66</f>
        <v>0</v>
      </c>
      <c r="X119" s="469">
        <f>Prod.!C66</f>
        <v>0</v>
      </c>
      <c r="Y119" s="469">
        <f>Prod.!D66</f>
        <v>0</v>
      </c>
      <c r="Z119" s="469">
        <f>Prod.!E66</f>
        <v>0</v>
      </c>
      <c r="AA119" s="282">
        <f>Prod.!F66</f>
        <v>0</v>
      </c>
      <c r="AB119" s="282">
        <f>Prod.!G66</f>
        <v>0</v>
      </c>
      <c r="AC119" s="836">
        <f>Prod.!H66</f>
        <v>0</v>
      </c>
      <c r="AD119" s="282">
        <f>Prod.!AB66</f>
        <v>0</v>
      </c>
      <c r="AE119" s="282">
        <f>AD119-AF119</f>
        <v>0</v>
      </c>
      <c r="AF119" s="282">
        <f>Prod.!AA66</f>
        <v>0</v>
      </c>
    </row>
    <row r="120" spans="1:32" ht="15" customHeight="1">
      <c r="A120" s="1435">
        <v>10</v>
      </c>
      <c r="B120" s="818">
        <f>W121</f>
        <v>0</v>
      </c>
      <c r="C120" s="819" t="s">
        <v>765</v>
      </c>
      <c r="D120" s="822"/>
      <c r="E120" s="822"/>
      <c r="F120" s="821">
        <f ca="1">F121 + (RAND() * 0.02 - 0.01)</f>
        <v>-8.0488978602107578E-3</v>
      </c>
      <c r="G120" s="821">
        <f ca="1">G121 + (RAND() * 0.06 - 0.03)</f>
        <v>0.62409188157477813</v>
      </c>
      <c r="H120" s="822">
        <f ca="1">H121 + (RAND() * 0.006 - 0.003)</f>
        <v>-1.5479270149451911E-4</v>
      </c>
      <c r="I120" s="822">
        <f ca="1">I121 + (RAND() * 0.006 - 0.003)</f>
        <v>-1.4263700503594392E-3</v>
      </c>
      <c r="J120" s="821">
        <f ca="1">J121 + (RAND() * 0.02 - 0.01)</f>
        <v>1.8312825848771381E-3</v>
      </c>
      <c r="K120" s="821"/>
      <c r="L120" s="822"/>
      <c r="M120" s="821"/>
      <c r="N120" s="823"/>
      <c r="O120" s="823"/>
      <c r="P120" s="823"/>
      <c r="Q120" s="823"/>
      <c r="R120" s="839"/>
      <c r="S120" s="821"/>
      <c r="T120" s="821"/>
      <c r="U120" s="825"/>
      <c r="V120" s="826"/>
    </row>
    <row r="121" spans="1:32" ht="15" customHeight="1">
      <c r="A121" s="1435"/>
      <c r="B121" s="827">
        <f>B120</f>
        <v>0</v>
      </c>
      <c r="C121" s="828" t="s">
        <v>768</v>
      </c>
      <c r="D121" s="829" t="str">
        <f>IF(AC121=130, "130 × 130", IF(AC121=160, "160 × 160", IF(AC121=110, "110 × 110", "Value not 130, 160, or 110")))</f>
        <v>Value not 130, 160, or 110</v>
      </c>
      <c r="E121" s="830">
        <f>AD121</f>
        <v>0</v>
      </c>
      <c r="F121" s="831">
        <f ca="1">IF(X121 &gt; 0.1, RAND() * (0.1 - 0.06) + 0.06, X121)</f>
        <v>0</v>
      </c>
      <c r="G121" s="831">
        <f ca="1">IF(Y121 &lt; 0.5, 0.5 + RAND() * 0.1, Y121)</f>
        <v>0.59435678208885556</v>
      </c>
      <c r="H121" s="830">
        <f ca="1">IF(AB121&gt;0.04, 0.029 + (0.039-0.029)*RAND(), AB121)</f>
        <v>0</v>
      </c>
      <c r="I121" s="830">
        <f ca="1">IF(AA121&gt;0.04, 0.029 + (0.039-0.029)*RAND(), AA121)</f>
        <v>0</v>
      </c>
      <c r="J121" s="831">
        <f ca="1">IF(Z121&gt;0.15, 0.11 + (0.15-0.11) * RAND(), Z121)</f>
        <v>0</v>
      </c>
      <c r="K121" s="830">
        <f ca="1">0.004 + (RAND() * (0.001 - 0.004))</f>
        <v>1.4989275112189632E-3</v>
      </c>
      <c r="L121" s="830">
        <f ca="1">H121+I121</f>
        <v>0</v>
      </c>
      <c r="M121" s="831">
        <f ca="1">(G121/6)+F121</f>
        <v>9.9059463681475932E-2</v>
      </c>
      <c r="N121" s="831">
        <f ca="1">2 + RAND()</f>
        <v>2.7027170220268713</v>
      </c>
      <c r="O121" s="831">
        <f ca="1">1 + RAND()</f>
        <v>1.0030745568962722</v>
      </c>
      <c r="P121" s="831">
        <f ca="1">2.98 + (RAND() * (3.03 - 2.98))</f>
        <v>3.0113310213392457</v>
      </c>
      <c r="Q121" s="832" t="str">
        <f ca="1">IF(D121="130 × 130", (130 + RANDBETWEEN(-1,1)) &amp; " × " &amp; (130 + RANDBETWEEN(-1,1)),
   IF(D121="160 × 160", (160 + RANDBETWEEN(-1,1)) &amp; " × " &amp; (160 + RANDBETWEEN(-1,1)),
   IF(D121="110 × 110", (110 + RANDBETWEEN(-1,1)) &amp; " × " &amp; (110 + RANDBETWEEN(-1,1)),
   "Value not matched")))</f>
        <v>Value not matched</v>
      </c>
      <c r="R121" s="833" t="s">
        <v>213</v>
      </c>
      <c r="S121" s="834" t="str">
        <f ca="1">IF(G121&lt;0.6, "IS 14650 CPS 10748/GR2", "IS 14650 CPS 10748/GR3")</f>
        <v>IS 14650 CPS 10748/GR2</v>
      </c>
      <c r="T121" s="831" t="s">
        <v>769</v>
      </c>
      <c r="U121" s="825"/>
      <c r="V121" s="826"/>
      <c r="W121" s="206">
        <f>Prod.!B67</f>
        <v>0</v>
      </c>
      <c r="X121" s="469">
        <f>Prod.!C67</f>
        <v>0</v>
      </c>
      <c r="Y121" s="469">
        <f>Prod.!D67</f>
        <v>0</v>
      </c>
      <c r="Z121" s="469">
        <f>Prod.!E67</f>
        <v>0</v>
      </c>
      <c r="AA121" s="282">
        <f>Prod.!F67</f>
        <v>0</v>
      </c>
      <c r="AB121" s="282">
        <f>Prod.!G67</f>
        <v>0</v>
      </c>
      <c r="AC121" s="836">
        <f>Prod.!H67</f>
        <v>0</v>
      </c>
      <c r="AD121" s="282">
        <f>Prod.!AB67</f>
        <v>0</v>
      </c>
      <c r="AE121" s="282">
        <f>AD121-AF121</f>
        <v>0</v>
      </c>
      <c r="AF121" s="282">
        <f>Prod.!AA67</f>
        <v>0</v>
      </c>
    </row>
    <row r="122" spans="1:32" ht="15" customHeight="1">
      <c r="A122" s="1435">
        <v>11</v>
      </c>
      <c r="B122" s="818">
        <f>W123</f>
        <v>0</v>
      </c>
      <c r="C122" s="819" t="s">
        <v>765</v>
      </c>
      <c r="D122" s="822"/>
      <c r="E122" s="822"/>
      <c r="F122" s="821">
        <f ca="1">F123 + (RAND() * 0.02 - 0.01)</f>
        <v>2.039140337875783E-3</v>
      </c>
      <c r="G122" s="821">
        <f ca="1">G123 + (RAND() * 0.06 - 0.03)</f>
        <v>0.54192985525478865</v>
      </c>
      <c r="H122" s="822">
        <f ca="1">H123 + (RAND() * 0.006 - 0.003)</f>
        <v>-2.3445125307302046E-3</v>
      </c>
      <c r="I122" s="822">
        <f ca="1">I123 + (RAND() * 0.006 - 0.003)</f>
        <v>1.6506843190239725E-3</v>
      </c>
      <c r="J122" s="821">
        <f ca="1">J123 + (RAND() * 0.02 - 0.01)</f>
        <v>-8.2592865277807022E-3</v>
      </c>
      <c r="K122" s="821"/>
      <c r="L122" s="822"/>
      <c r="M122" s="821"/>
      <c r="N122" s="823"/>
      <c r="O122" s="823"/>
      <c r="P122" s="823"/>
      <c r="Q122" s="823"/>
      <c r="R122" s="839"/>
      <c r="S122" s="821"/>
      <c r="T122" s="821"/>
      <c r="U122" s="825"/>
      <c r="V122" s="826"/>
    </row>
    <row r="123" spans="1:32" ht="15" customHeight="1">
      <c r="A123" s="1435"/>
      <c r="B123" s="827">
        <f>B122</f>
        <v>0</v>
      </c>
      <c r="C123" s="828" t="s">
        <v>768</v>
      </c>
      <c r="D123" s="829" t="str">
        <f>IF(AC123=130, "130 × 130", IF(AC123=160, "160 × 160", IF(AC123=110, "110 × 110", "Value not 130, 160, or 110")))</f>
        <v>Value not 130, 160, or 110</v>
      </c>
      <c r="E123" s="830">
        <f>AD123</f>
        <v>0</v>
      </c>
      <c r="F123" s="831">
        <f ca="1">IF(X123 &gt; 0.1, RAND() * (0.1 - 0.06) + 0.06, X123)</f>
        <v>0</v>
      </c>
      <c r="G123" s="831">
        <f ca="1">IF(Y123 &lt; 0.5, 0.5 + RAND() * 0.1, Y123)</f>
        <v>0.52718787659673993</v>
      </c>
      <c r="H123" s="830">
        <f ca="1">IF(AB123&gt;0.04, 0.029 + (0.039-0.029)*RAND(), AB123)</f>
        <v>0</v>
      </c>
      <c r="I123" s="830">
        <f ca="1">IF(AA123&gt;0.04, 0.029 + (0.039-0.029)*RAND(), AA123)</f>
        <v>0</v>
      </c>
      <c r="J123" s="831">
        <f ca="1">IF(Z123&gt;0.15, 0.11 + (0.15-0.11) * RAND(), Z123)</f>
        <v>0</v>
      </c>
      <c r="K123" s="830">
        <f ca="1">0.004 + (RAND() * (0.001 - 0.004))</f>
        <v>1.4207573961942175E-3</v>
      </c>
      <c r="L123" s="830">
        <f ca="1">H123+I123</f>
        <v>0</v>
      </c>
      <c r="M123" s="831">
        <f ca="1">(G123/6)+F123</f>
        <v>8.7864646099456656E-2</v>
      </c>
      <c r="N123" s="831">
        <f ca="1">2 + RAND()</f>
        <v>2.6463982782961537</v>
      </c>
      <c r="O123" s="831">
        <f ca="1">1 + RAND()</f>
        <v>1.5448292477161099</v>
      </c>
      <c r="P123" s="831">
        <f ca="1">2.98 + (RAND() * (3.03 - 2.98))</f>
        <v>3.0122927291572461</v>
      </c>
      <c r="Q123" s="832" t="str">
        <f ca="1">IF(D123="130 × 130", (130 + RANDBETWEEN(-1,1)) &amp; " × " &amp; (130 + RANDBETWEEN(-1,1)),
   IF(D123="160 × 160", (160 + RANDBETWEEN(-1,1)) &amp; " × " &amp; (160 + RANDBETWEEN(-1,1)),
   IF(D123="110 × 110", (110 + RANDBETWEEN(-1,1)) &amp; " × " &amp; (110 + RANDBETWEEN(-1,1)),
   "Value not matched")))</f>
        <v>Value not matched</v>
      </c>
      <c r="R123" s="833" t="s">
        <v>213</v>
      </c>
      <c r="S123" s="834" t="str">
        <f ca="1">IF(G123&lt;0.6, "IS 14650 CPS 10748/GR2", "IS 14650 CPS 10748/GR3")</f>
        <v>IS 14650 CPS 10748/GR2</v>
      </c>
      <c r="T123" s="831" t="s">
        <v>769</v>
      </c>
      <c r="U123" s="825"/>
      <c r="V123" s="826"/>
      <c r="W123" s="206">
        <f>Prod.!B68</f>
        <v>0</v>
      </c>
      <c r="X123" s="469">
        <f>Prod.!C68</f>
        <v>0</v>
      </c>
      <c r="Y123" s="469">
        <f>Prod.!D68</f>
        <v>0</v>
      </c>
      <c r="Z123" s="469">
        <f>Prod.!E68</f>
        <v>0</v>
      </c>
      <c r="AA123" s="282">
        <f>Prod.!F68</f>
        <v>0</v>
      </c>
      <c r="AB123" s="282">
        <f>Prod.!G68</f>
        <v>0</v>
      </c>
      <c r="AC123" s="836">
        <f>Prod.!H68</f>
        <v>0</v>
      </c>
      <c r="AD123" s="282">
        <f>Prod.!AB68</f>
        <v>0</v>
      </c>
      <c r="AE123" s="282">
        <f>AD123-AF123</f>
        <v>0</v>
      </c>
      <c r="AF123" s="282">
        <f>Prod.!AA68</f>
        <v>0</v>
      </c>
    </row>
    <row r="124" spans="1:32" ht="15" customHeight="1">
      <c r="A124" s="1435">
        <v>12</v>
      </c>
      <c r="B124" s="818">
        <f>W125</f>
        <v>0</v>
      </c>
      <c r="C124" s="819" t="s">
        <v>765</v>
      </c>
      <c r="D124" s="822"/>
      <c r="E124" s="822"/>
      <c r="F124" s="821">
        <f ca="1">F125 + (RAND() * 0.02 - 0.01)</f>
        <v>-5.4298287601306531E-3</v>
      </c>
      <c r="G124" s="821">
        <f ca="1">G125 + (RAND() * 0.06 - 0.03)</f>
        <v>0.62094880746258707</v>
      </c>
      <c r="H124" s="822">
        <f ca="1">H125 + (RAND() * 0.006 - 0.003)</f>
        <v>2.9067417070062192E-4</v>
      </c>
      <c r="I124" s="822">
        <f ca="1">I125 + (RAND() * 0.006 - 0.003)</f>
        <v>-4.5290380994486784E-4</v>
      </c>
      <c r="J124" s="821">
        <f ca="1">J125 + (RAND() * 0.02 - 0.01)</f>
        <v>8.9805372561677262E-4</v>
      </c>
      <c r="K124" s="821"/>
      <c r="L124" s="822"/>
      <c r="M124" s="821"/>
      <c r="N124" s="823"/>
      <c r="O124" s="823"/>
      <c r="P124" s="823"/>
      <c r="Q124" s="823"/>
      <c r="R124" s="839"/>
      <c r="S124" s="821"/>
      <c r="T124" s="821"/>
      <c r="U124" s="825"/>
      <c r="V124" s="826"/>
    </row>
    <row r="125" spans="1:32" ht="15" customHeight="1">
      <c r="A125" s="1435"/>
      <c r="B125" s="827">
        <f>B124</f>
        <v>0</v>
      </c>
      <c r="C125" s="828" t="s">
        <v>768</v>
      </c>
      <c r="D125" s="829" t="str">
        <f>IF(AC125=130, "130 × 130", IF(AC125=160, "160 × 160", IF(AC125=110, "110 × 110", "Value not 130, 160, or 110")))</f>
        <v>Value not 130, 160, or 110</v>
      </c>
      <c r="E125" s="830">
        <f>AD125</f>
        <v>0</v>
      </c>
      <c r="F125" s="831">
        <f ca="1">IF(X125 &gt; 0.1, RAND() * (0.1 - 0.06) + 0.06, X125)</f>
        <v>0</v>
      </c>
      <c r="G125" s="831">
        <f ca="1">IF(Y125 &lt; 0.5, 0.5 + RAND() * 0.1, Y125)</f>
        <v>0.59642549336857975</v>
      </c>
      <c r="H125" s="830">
        <f ca="1">IF(AB125&gt;0.04, 0.029 + (0.039-0.029)*RAND(), AB125)</f>
        <v>0</v>
      </c>
      <c r="I125" s="830">
        <f ca="1">IF(AA125&gt;0.04, 0.029 + (0.039-0.029)*RAND(), AA125)</f>
        <v>0</v>
      </c>
      <c r="J125" s="831">
        <f ca="1">IF(Z125&gt;0.15, 0.11 + (0.15-0.11) * RAND(), Z125)</f>
        <v>0</v>
      </c>
      <c r="K125" s="830">
        <f ca="1">0.004 + (RAND() * (0.001 - 0.004))</f>
        <v>2.482739837127703E-3</v>
      </c>
      <c r="L125" s="830">
        <f ca="1">H125+I125</f>
        <v>0</v>
      </c>
      <c r="M125" s="831">
        <f ca="1">(G125/6)+F125</f>
        <v>9.9404248894763292E-2</v>
      </c>
      <c r="N125" s="831">
        <f ca="1">2 + RAND()</f>
        <v>2.9785964551351132</v>
      </c>
      <c r="O125" s="831">
        <f ca="1">1 + RAND()</f>
        <v>1.8161025942549314</v>
      </c>
      <c r="P125" s="831">
        <f ca="1">2.98 + (RAND() * (3.03 - 2.98))</f>
        <v>2.9807427855760573</v>
      </c>
      <c r="Q125" s="832" t="str">
        <f ca="1">IF(D125="130 × 130", (130 + RANDBETWEEN(-1,1)) &amp; " × " &amp; (130 + RANDBETWEEN(-1,1)),
   IF(D125="160 × 160", (160 + RANDBETWEEN(-1,1)) &amp; " × " &amp; (160 + RANDBETWEEN(-1,1)),
   IF(D125="110 × 110", (110 + RANDBETWEEN(-1,1)) &amp; " × " &amp; (110 + RANDBETWEEN(-1,1)),
   "Value not matched")))</f>
        <v>Value not matched</v>
      </c>
      <c r="R125" s="833" t="s">
        <v>213</v>
      </c>
      <c r="S125" s="834" t="str">
        <f ca="1">IF(G125&lt;0.6, "IS 14650 CPS 10748/GR2", "IS 14650 CPS 10748/GR3")</f>
        <v>IS 14650 CPS 10748/GR2</v>
      </c>
      <c r="T125" s="831" t="s">
        <v>769</v>
      </c>
      <c r="U125" s="825"/>
      <c r="V125" s="826"/>
      <c r="W125" s="206">
        <f>Prod.!B69</f>
        <v>0</v>
      </c>
      <c r="X125" s="469">
        <f>Prod.!C69</f>
        <v>0</v>
      </c>
      <c r="Y125" s="469">
        <f>Prod.!D69</f>
        <v>0</v>
      </c>
      <c r="Z125" s="469">
        <f>Prod.!E69</f>
        <v>0</v>
      </c>
      <c r="AA125" s="282">
        <f>Prod.!F69</f>
        <v>0</v>
      </c>
      <c r="AB125" s="282">
        <f>Prod.!G69</f>
        <v>0</v>
      </c>
      <c r="AC125" s="836">
        <f>Prod.!H69</f>
        <v>0</v>
      </c>
      <c r="AD125" s="282">
        <f>Prod.!AB69</f>
        <v>0</v>
      </c>
      <c r="AE125" s="282">
        <f>AD125-AF125</f>
        <v>0</v>
      </c>
      <c r="AF125" s="282">
        <f>Prod.!AA69</f>
        <v>0</v>
      </c>
    </row>
    <row r="126" spans="1:32" ht="15" customHeight="1">
      <c r="A126" s="1435"/>
      <c r="B126" s="818"/>
      <c r="C126" s="819"/>
      <c r="D126" s="822"/>
      <c r="E126" s="822"/>
      <c r="F126" s="821"/>
      <c r="G126" s="821"/>
      <c r="H126" s="840"/>
      <c r="I126" s="840"/>
      <c r="J126" s="821"/>
      <c r="K126" s="821"/>
      <c r="L126" s="822"/>
      <c r="M126" s="838"/>
      <c r="N126" s="821"/>
      <c r="O126" s="821"/>
      <c r="P126" s="821"/>
      <c r="Q126" s="821"/>
      <c r="R126" s="839"/>
      <c r="S126" s="841"/>
      <c r="T126" s="821"/>
      <c r="U126" s="825"/>
      <c r="V126" s="826"/>
    </row>
    <row r="127" spans="1:32" ht="15" customHeight="1">
      <c r="A127" s="1435"/>
      <c r="B127" s="827"/>
      <c r="C127" s="828"/>
      <c r="D127" s="842"/>
      <c r="E127" s="830"/>
      <c r="F127" s="831"/>
      <c r="G127" s="831"/>
      <c r="H127" s="843"/>
      <c r="I127" s="843"/>
      <c r="J127" s="831"/>
      <c r="K127" s="831"/>
      <c r="L127" s="830"/>
      <c r="M127" s="831"/>
      <c r="N127" s="831"/>
      <c r="O127" s="831"/>
      <c r="P127" s="831"/>
      <c r="Q127" s="831"/>
      <c r="R127" s="833"/>
      <c r="S127" s="834"/>
      <c r="T127" s="831"/>
      <c r="U127" s="825"/>
      <c r="V127" s="826"/>
    </row>
    <row r="128" spans="1:32" ht="15" customHeight="1">
      <c r="A128" s="180"/>
      <c r="B128" s="180"/>
      <c r="C128" s="180" t="s">
        <v>770</v>
      </c>
      <c r="D128" s="395"/>
      <c r="E128" s="844">
        <f>SUM(E102:E125)</f>
        <v>0</v>
      </c>
      <c r="F128" s="180"/>
      <c r="G128" s="180"/>
      <c r="H128" s="844"/>
      <c r="I128" s="180"/>
      <c r="J128" s="845"/>
      <c r="K128" s="845"/>
      <c r="L128" s="180"/>
      <c r="M128" s="845"/>
      <c r="N128" s="180"/>
      <c r="O128" s="180"/>
      <c r="P128" s="180"/>
      <c r="Q128" s="180"/>
      <c r="R128" s="263"/>
      <c r="S128" s="180"/>
      <c r="T128" s="180"/>
    </row>
    <row r="129" spans="1:32" ht="28.5" customHeight="1">
      <c r="A129" s="1436" t="s">
        <v>746</v>
      </c>
      <c r="B129" s="1436"/>
      <c r="C129" s="1436"/>
      <c r="D129" s="1436"/>
      <c r="E129" s="1436"/>
      <c r="F129" s="1436"/>
      <c r="G129" s="1436"/>
      <c r="H129" s="1436"/>
      <c r="I129" s="1436"/>
      <c r="J129" s="1436"/>
      <c r="K129" s="1436"/>
      <c r="L129" s="1436"/>
      <c r="M129" s="1436"/>
      <c r="N129" s="1436"/>
      <c r="O129" s="1436"/>
      <c r="P129" s="1436"/>
      <c r="Q129" s="1436"/>
      <c r="R129" s="1436"/>
      <c r="S129" s="1436"/>
      <c r="T129" s="1436"/>
      <c r="U129" s="515"/>
      <c r="V129" s="846"/>
    </row>
    <row r="130" spans="1:32" ht="15" customHeight="1">
      <c r="A130" s="1437" t="s">
        <v>747</v>
      </c>
      <c r="B130" s="1437"/>
      <c r="C130" s="1437"/>
      <c r="D130" s="1437"/>
      <c r="E130" s="1437"/>
      <c r="F130" s="1437"/>
      <c r="G130" s="1437"/>
      <c r="H130" s="1437"/>
      <c r="I130" s="1437"/>
      <c r="J130" s="1437"/>
      <c r="K130" s="1437"/>
      <c r="L130" s="1437"/>
      <c r="M130" s="1437"/>
      <c r="N130" s="1437"/>
      <c r="O130" s="1437"/>
      <c r="P130" s="1437"/>
      <c r="Q130" s="1437"/>
      <c r="R130" s="1437"/>
      <c r="S130" s="1437"/>
      <c r="T130" s="1437"/>
      <c r="U130" s="806"/>
      <c r="V130" s="807"/>
    </row>
    <row r="131" spans="1:32" ht="15" customHeight="1">
      <c r="A131" s="1438" t="str">
        <f>"DATE OF MANUFACTURING : " &amp; TEXT(V135, "DD-MM-YYYY")</f>
        <v>DATE OF MANUFACTURING : 00-01-1900</v>
      </c>
      <c r="B131" s="1438"/>
      <c r="C131" s="1438"/>
      <c r="D131" s="1438"/>
      <c r="E131" s="1438"/>
      <c r="F131" s="1438"/>
      <c r="G131" s="1438"/>
      <c r="H131" s="1438"/>
      <c r="I131" s="1438"/>
      <c r="J131" s="1438"/>
      <c r="K131" s="1438"/>
      <c r="L131" s="1438"/>
      <c r="M131" s="1438"/>
      <c r="N131" s="1437" t="s">
        <v>748</v>
      </c>
      <c r="O131" s="1437"/>
      <c r="P131" s="1437"/>
      <c r="Q131" s="1437"/>
      <c r="R131" s="1437"/>
      <c r="S131" s="1437"/>
      <c r="T131" s="1437"/>
      <c r="U131" s="808"/>
      <c r="V131" s="809"/>
    </row>
    <row r="132" spans="1:32" ht="29.25" customHeight="1">
      <c r="A132" s="1439" t="s">
        <v>749</v>
      </c>
      <c r="B132" s="1440" t="s">
        <v>750</v>
      </c>
      <c r="C132" s="1440"/>
      <c r="D132" s="1440" t="s">
        <v>751</v>
      </c>
      <c r="E132" s="1441" t="s">
        <v>752</v>
      </c>
      <c r="F132" s="1442" t="s">
        <v>753</v>
      </c>
      <c r="G132" s="1442"/>
      <c r="H132" s="1442"/>
      <c r="I132" s="1442"/>
      <c r="J132" s="1442"/>
      <c r="K132" s="1442"/>
      <c r="L132" s="1442"/>
      <c r="M132" s="1442"/>
      <c r="N132" s="1442" t="s">
        <v>754</v>
      </c>
      <c r="O132" s="1442"/>
      <c r="P132" s="1442"/>
      <c r="Q132" s="1442"/>
      <c r="R132" s="1443" t="s">
        <v>771</v>
      </c>
      <c r="S132" s="1441" t="s">
        <v>756</v>
      </c>
      <c r="T132" s="1440" t="s">
        <v>104</v>
      </c>
      <c r="U132" s="810"/>
      <c r="V132" s="811"/>
    </row>
    <row r="133" spans="1:32" ht="42.75" customHeight="1">
      <c r="A133" s="1439"/>
      <c r="B133" s="1440"/>
      <c r="C133" s="1440"/>
      <c r="D133" s="1440"/>
      <c r="E133" s="1440"/>
      <c r="F133" s="812" t="s">
        <v>40</v>
      </c>
      <c r="G133" s="812" t="s">
        <v>757</v>
      </c>
      <c r="H133" s="813" t="s">
        <v>758</v>
      </c>
      <c r="I133" s="812" t="s">
        <v>43</v>
      </c>
      <c r="J133" s="812" t="s">
        <v>42</v>
      </c>
      <c r="K133" s="812" t="s">
        <v>759</v>
      </c>
      <c r="L133" s="812" t="s">
        <v>760</v>
      </c>
      <c r="M133" s="812" t="s">
        <v>761</v>
      </c>
      <c r="N133" s="814" t="s">
        <v>762</v>
      </c>
      <c r="O133" s="815" t="s">
        <v>772</v>
      </c>
      <c r="P133" s="816" t="s">
        <v>773</v>
      </c>
      <c r="Q133" s="817" t="s">
        <v>764</v>
      </c>
      <c r="R133" s="1443"/>
      <c r="S133" s="1443"/>
      <c r="T133" s="1443"/>
      <c r="U133" s="810"/>
      <c r="V133" s="811"/>
    </row>
    <row r="134" spans="1:32" ht="15" customHeight="1">
      <c r="A134" s="1435">
        <v>1</v>
      </c>
      <c r="B134" s="818">
        <f>W135</f>
        <v>0</v>
      </c>
      <c r="C134" s="819" t="s">
        <v>765</v>
      </c>
      <c r="D134" s="820"/>
      <c r="E134" s="821"/>
      <c r="F134" s="821">
        <f ca="1">F135 + (RAND() * 0.02 - 0.01)</f>
        <v>-4.7470115886439988E-3</v>
      </c>
      <c r="G134" s="821">
        <f ca="1">G135 + (RAND() * 0.06 - 0.03)</f>
        <v>0.50241354661080417</v>
      </c>
      <c r="H134" s="822">
        <f ca="1">H135 + (RAND() * 0.006 - 0.003)</f>
        <v>-2.3224020955915133E-3</v>
      </c>
      <c r="I134" s="822">
        <f ca="1">I135 + (RAND() * 0.006 - 0.003)</f>
        <v>-2.3327738438580457E-3</v>
      </c>
      <c r="J134" s="821">
        <f ca="1">J135 + (RAND() * 0.02 - 0.01)</f>
        <v>7.1439765846580249E-3</v>
      </c>
      <c r="K134" s="821"/>
      <c r="L134" s="822"/>
      <c r="M134" s="821"/>
      <c r="N134" s="823"/>
      <c r="O134" s="823"/>
      <c r="P134" s="823"/>
      <c r="Q134" s="823"/>
      <c r="R134" s="824"/>
      <c r="S134" s="821"/>
      <c r="T134" s="821"/>
      <c r="U134" s="825"/>
      <c r="V134" s="826"/>
      <c r="AE134" t="s">
        <v>767</v>
      </c>
    </row>
    <row r="135" spans="1:32" ht="15" customHeight="1">
      <c r="A135" s="1435"/>
      <c r="B135" s="827">
        <f>B134</f>
        <v>0</v>
      </c>
      <c r="C135" s="828" t="s">
        <v>768</v>
      </c>
      <c r="D135" s="829" t="str">
        <f>IF(AC135=130, "130 × 130", IF(AC135=160, "160 × 160", IF(AC135=110, "110 × 110", "Value not 130, 160, or 110")))</f>
        <v>Value not 130, 160, or 110</v>
      </c>
      <c r="E135" s="830">
        <f>AD135</f>
        <v>0</v>
      </c>
      <c r="F135" s="831">
        <f ca="1">IF(X135 &gt; 0.1, RAND() * (0.1 - 0.06) + 0.06, X135)</f>
        <v>0</v>
      </c>
      <c r="G135" s="831">
        <f ca="1">IF(Y135 &lt; 0.5, 0.5 + RAND() * 0.1, Y135)</f>
        <v>0.52140032515481949</v>
      </c>
      <c r="H135" s="830">
        <f ca="1">IF(AB135&gt;0.04, 0.029 + (0.039-0.029)*RAND(), AB135)</f>
        <v>0</v>
      </c>
      <c r="I135" s="830">
        <f ca="1">IF(AA135&gt;0.04, 0.029 + (0.039-0.029)*RAND(), AA135)</f>
        <v>0</v>
      </c>
      <c r="J135" s="831">
        <f ca="1">IF(Z135&gt;0.15, 0.11 + (0.15-0.11) * RAND(), Z135)</f>
        <v>0</v>
      </c>
      <c r="K135" s="830">
        <f ca="1">0.004 + (RAND() * (0.001 - 0.004))</f>
        <v>2.9572251211245435E-3</v>
      </c>
      <c r="L135" s="830">
        <f ca="1">H135+I135</f>
        <v>0</v>
      </c>
      <c r="M135" s="831">
        <f ca="1">(G135/6)+F135</f>
        <v>8.6900054192469919E-2</v>
      </c>
      <c r="N135" s="831">
        <f ca="1">2 + RAND()</f>
        <v>2.067363101248973</v>
      </c>
      <c r="O135" s="831">
        <f ca="1">1 + RAND()</f>
        <v>1.1456309597225263</v>
      </c>
      <c r="P135" s="831">
        <f ca="1">2.98 + (RAND() * (3.03 - 2.98))</f>
        <v>3.0189330939287795</v>
      </c>
      <c r="Q135" s="832" t="str">
        <f ca="1">IF(D135="130 × 130", (130 + RANDBETWEEN(-1,1)) &amp; " × " &amp; (130 + RANDBETWEEN(-1,1)),
   IF(D135="160 × 160", (160 + RANDBETWEEN(-1,1)) &amp; " × " &amp; (160 + RANDBETWEEN(-1,1)),
   IF(D135="110 × 110", (110 + RANDBETWEEN(-1,1)) &amp; " × " &amp; (110 + RANDBETWEEN(-1,1)),
   "Value not matched")))</f>
        <v>Value not matched</v>
      </c>
      <c r="R135" s="833" t="s">
        <v>213</v>
      </c>
      <c r="S135" s="834" t="str">
        <f ca="1">IF(G135&lt;0.6, "IS 14650 CPS 10748/GR2", "IS 14650 CPS 10748/GR3")</f>
        <v>IS 14650 CPS 10748/GR2</v>
      </c>
      <c r="T135" s="831" t="s">
        <v>769</v>
      </c>
      <c r="U135" s="825"/>
      <c r="V135" s="835">
        <f>Prod.!A76</f>
        <v>0</v>
      </c>
      <c r="W135" s="206">
        <f>Prod.!B76</f>
        <v>0</v>
      </c>
      <c r="X135" s="469">
        <f>Prod.!C76</f>
        <v>0</v>
      </c>
      <c r="Y135" s="469">
        <f>Prod.!D76</f>
        <v>0</v>
      </c>
      <c r="Z135" s="469">
        <f>Prod.!E76</f>
        <v>0</v>
      </c>
      <c r="AA135" s="282">
        <f>Prod.!F76</f>
        <v>0</v>
      </c>
      <c r="AB135" s="282">
        <f>Prod.!G76</f>
        <v>0</v>
      </c>
      <c r="AC135" s="836">
        <f>Prod.!H76</f>
        <v>0</v>
      </c>
      <c r="AD135" s="282">
        <f>Prod.!AB76</f>
        <v>0</v>
      </c>
      <c r="AE135" s="282">
        <f>AD135-AF135</f>
        <v>0</v>
      </c>
      <c r="AF135" s="282">
        <f>Prod.!AA76</f>
        <v>0</v>
      </c>
    </row>
    <row r="136" spans="1:32" ht="15" customHeight="1">
      <c r="A136" s="1435">
        <v>2</v>
      </c>
      <c r="B136" s="818">
        <f>W137</f>
        <v>0</v>
      </c>
      <c r="C136" s="819" t="s">
        <v>765</v>
      </c>
      <c r="D136" s="822"/>
      <c r="E136" s="822"/>
      <c r="F136" s="821">
        <f ca="1">F137 + (RAND() * 0.02 - 0.01)</f>
        <v>6.9001784708889579E-3</v>
      </c>
      <c r="G136" s="821">
        <f ca="1">G137 + (RAND() * 0.06 - 0.03)</f>
        <v>0.61845678344292809</v>
      </c>
      <c r="H136" s="822">
        <f ca="1">H137 + (RAND() * 0.006 - 0.003)</f>
        <v>1.5925964486065668E-3</v>
      </c>
      <c r="I136" s="822">
        <f ca="1">I137 + (RAND() * 0.006 - 0.003)</f>
        <v>-1.0651728228172463E-3</v>
      </c>
      <c r="J136" s="821">
        <f ca="1">J137 + (RAND() * 0.02 - 0.01)</f>
        <v>4.6339139061429262E-3</v>
      </c>
      <c r="K136" s="821"/>
      <c r="L136" s="822"/>
      <c r="M136" s="821"/>
      <c r="N136" s="823"/>
      <c r="O136" s="823"/>
      <c r="P136" s="823"/>
      <c r="Q136" s="823"/>
      <c r="R136" s="837"/>
      <c r="S136" s="821"/>
      <c r="T136" s="838"/>
      <c r="U136" s="825"/>
      <c r="V136" s="826"/>
    </row>
    <row r="137" spans="1:32" ht="15" customHeight="1">
      <c r="A137" s="1435"/>
      <c r="B137" s="827">
        <f>B136</f>
        <v>0</v>
      </c>
      <c r="C137" s="828" t="s">
        <v>768</v>
      </c>
      <c r="D137" s="829" t="str">
        <f>IF(AC137=130, "130 × 130", IF(AC137=160, "160 × 160", IF(AC137=110, "110 × 110", "Value not 130, 160, or 110")))</f>
        <v>Value not 130, 160, or 110</v>
      </c>
      <c r="E137" s="830">
        <f>AD137</f>
        <v>0</v>
      </c>
      <c r="F137" s="831">
        <f ca="1">IF(X137 &gt; 0.1, RAND() * (0.1 - 0.06) + 0.06, X137)</f>
        <v>0</v>
      </c>
      <c r="G137" s="831">
        <f ca="1">IF(Y137 &lt; 0.5, 0.5 + RAND() * 0.1, Y137)</f>
        <v>0.59163449969841675</v>
      </c>
      <c r="H137" s="830">
        <f ca="1">IF(AB137&gt;0.04, 0.029 + (0.039-0.029)*RAND(), AB137)</f>
        <v>0</v>
      </c>
      <c r="I137" s="830">
        <f ca="1">IF(AA137&gt;0.04, 0.029 + (0.039-0.029)*RAND(), AA137)</f>
        <v>0</v>
      </c>
      <c r="J137" s="831">
        <f ca="1">IF(Z137&gt;0.15, 0.11 + (0.15-0.11) * RAND(), Z137)</f>
        <v>0</v>
      </c>
      <c r="K137" s="830">
        <f ca="1">0.004 + (RAND() * (0.001 - 0.004))</f>
        <v>2.7560992807745314E-3</v>
      </c>
      <c r="L137" s="830">
        <f ca="1">H137+I137</f>
        <v>0</v>
      </c>
      <c r="M137" s="831">
        <f ca="1">(G137/6)+F137</f>
        <v>9.860574994973613E-2</v>
      </c>
      <c r="N137" s="831">
        <f ca="1">2 + RAND()</f>
        <v>2.7236942359831913</v>
      </c>
      <c r="O137" s="831">
        <f ca="1">1 + RAND()</f>
        <v>1.5648916099940702</v>
      </c>
      <c r="P137" s="831">
        <f ca="1">2.98 + (RAND() * (3.03 - 2.98))</f>
        <v>3.0202236325223062</v>
      </c>
      <c r="Q137" s="832" t="str">
        <f ca="1">IF(D137="130 × 130", (130 + RANDBETWEEN(-1,1)) &amp; " × " &amp; (130 + RANDBETWEEN(-1,1)),
   IF(D137="160 × 160", (160 + RANDBETWEEN(-1,1)) &amp; " × " &amp; (160 + RANDBETWEEN(-1,1)),
   IF(D137="110 × 110", (110 + RANDBETWEEN(-1,1)) &amp; " × " &amp; (110 + RANDBETWEEN(-1,1)),
   "Value not matched")))</f>
        <v>Value not matched</v>
      </c>
      <c r="R137" s="833" t="s">
        <v>213</v>
      </c>
      <c r="S137" s="834" t="str">
        <f ca="1">IF(G137&lt;0.6, "IS 14650 CPS 10748/GR2", "IS 14650 CPS 10748/GR3")</f>
        <v>IS 14650 CPS 10748/GR2</v>
      </c>
      <c r="T137" s="831" t="s">
        <v>769</v>
      </c>
      <c r="U137" s="825"/>
      <c r="V137" s="826"/>
      <c r="W137" s="206">
        <f>Prod.!B77</f>
        <v>0</v>
      </c>
      <c r="X137" s="469">
        <f>Prod.!C77</f>
        <v>0</v>
      </c>
      <c r="Y137" s="469">
        <f>Prod.!D77</f>
        <v>0</v>
      </c>
      <c r="Z137" s="469">
        <f>Prod.!E77</f>
        <v>0</v>
      </c>
      <c r="AA137" s="282">
        <f>Prod.!F77</f>
        <v>0</v>
      </c>
      <c r="AB137" s="282">
        <f>Prod.!G77</f>
        <v>0</v>
      </c>
      <c r="AC137" s="836">
        <f>Prod.!H77</f>
        <v>0</v>
      </c>
      <c r="AD137" s="282">
        <f>Prod.!AB77</f>
        <v>0</v>
      </c>
      <c r="AE137" s="282">
        <f>AD137-AF137</f>
        <v>0</v>
      </c>
      <c r="AF137" s="282">
        <f>Prod.!AA77</f>
        <v>0</v>
      </c>
    </row>
    <row r="138" spans="1:32" ht="15" customHeight="1">
      <c r="A138" s="1435">
        <v>3</v>
      </c>
      <c r="B138" s="818">
        <f>W139</f>
        <v>0</v>
      </c>
      <c r="C138" s="819" t="s">
        <v>765</v>
      </c>
      <c r="D138" s="822"/>
      <c r="E138" s="822"/>
      <c r="F138" s="821">
        <f ca="1">F139 + (RAND() * 0.02 - 0.01)</f>
        <v>-1.6931508432898139E-3</v>
      </c>
      <c r="G138" s="821">
        <f ca="1">G139 + (RAND() * 0.06 - 0.03)</f>
        <v>0.57007300462110233</v>
      </c>
      <c r="H138" s="822">
        <f ca="1">H139 + (RAND() * 0.006 - 0.003)</f>
        <v>2.4199272869976033E-3</v>
      </c>
      <c r="I138" s="822">
        <f ca="1">I139 + (RAND() * 0.006 - 0.003)</f>
        <v>9.0961616485672921E-5</v>
      </c>
      <c r="J138" s="821">
        <f ca="1">J139 + (RAND() * 0.02 - 0.01)</f>
        <v>1.063041319540655E-4</v>
      </c>
      <c r="K138" s="821"/>
      <c r="L138" s="822"/>
      <c r="M138" s="821"/>
      <c r="N138" s="823"/>
      <c r="O138" s="823"/>
      <c r="P138" s="823"/>
      <c r="Q138" s="823"/>
      <c r="R138" s="839"/>
      <c r="S138" s="821"/>
      <c r="T138" s="821"/>
      <c r="U138" s="825"/>
      <c r="V138" s="826"/>
    </row>
    <row r="139" spans="1:32" ht="15" customHeight="1">
      <c r="A139" s="1435"/>
      <c r="B139" s="827">
        <f>B138</f>
        <v>0</v>
      </c>
      <c r="C139" s="828" t="s">
        <v>768</v>
      </c>
      <c r="D139" s="829" t="str">
        <f>IF(AC139=130, "130 × 130", IF(AC139=160, "160 × 160", IF(AC139=110, "110 × 110", "Value not 130, 160, or 110")))</f>
        <v>Value not 130, 160, or 110</v>
      </c>
      <c r="E139" s="830">
        <f>AD139</f>
        <v>0</v>
      </c>
      <c r="F139" s="831">
        <f ca="1">IF(X139 &gt; 0.1, RAND() * (0.1 - 0.06) + 0.06, X139)</f>
        <v>0</v>
      </c>
      <c r="G139" s="831">
        <f ca="1">IF(Y139 &lt; 0.5, 0.5 + RAND() * 0.1, Y139)</f>
        <v>0.5879355880813435</v>
      </c>
      <c r="H139" s="830">
        <f ca="1">IF(AB139&gt;0.04, 0.029 + (0.039-0.029)*RAND(), AB139)</f>
        <v>0</v>
      </c>
      <c r="I139" s="830">
        <f ca="1">IF(AA139&gt;0.04, 0.029 + (0.039-0.029)*RAND(), AA139)</f>
        <v>0</v>
      </c>
      <c r="J139" s="831">
        <f ca="1">IF(Z139&gt;0.15, 0.11 + (0.15-0.11) * RAND(), Z139)</f>
        <v>0</v>
      </c>
      <c r="K139" s="830">
        <f ca="1">0.004 + (RAND() * (0.001 - 0.004))</f>
        <v>1.007553864089994E-3</v>
      </c>
      <c r="L139" s="830">
        <f ca="1">H139+I139</f>
        <v>0</v>
      </c>
      <c r="M139" s="831">
        <f ca="1">(G139/6)+F139</f>
        <v>9.7989264680223911E-2</v>
      </c>
      <c r="N139" s="831">
        <f ca="1">2 + RAND()</f>
        <v>2.0221053554995398</v>
      </c>
      <c r="O139" s="831">
        <f ca="1">1 + RAND()</f>
        <v>1.7545291786007615</v>
      </c>
      <c r="P139" s="831">
        <f ca="1">2.98 + (RAND() * (3.03 - 2.98))</f>
        <v>2.9843677625097587</v>
      </c>
      <c r="Q139" s="832" t="str">
        <f ca="1">IF(D139="130 × 130", (130 + RANDBETWEEN(-1,1)) &amp; " × " &amp; (130 + RANDBETWEEN(-1,1)),
   IF(D139="160 × 160", (160 + RANDBETWEEN(-1,1)) &amp; " × " &amp; (160 + RANDBETWEEN(-1,1)),
   IF(D139="110 × 110", (110 + RANDBETWEEN(-1,1)) &amp; " × " &amp; (110 + RANDBETWEEN(-1,1)),
   "Value not matched")))</f>
        <v>Value not matched</v>
      </c>
      <c r="R139" s="833" t="s">
        <v>213</v>
      </c>
      <c r="S139" s="834" t="str">
        <f ca="1">IF(G139&lt;0.6, "IS 14650 CPS 10748/GR2", "IS 14650 CPS 10748/GR3")</f>
        <v>IS 14650 CPS 10748/GR2</v>
      </c>
      <c r="T139" s="831" t="s">
        <v>769</v>
      </c>
      <c r="U139" s="825"/>
      <c r="V139" s="826"/>
      <c r="W139" s="206">
        <f>Prod.!B78</f>
        <v>0</v>
      </c>
      <c r="X139" s="469">
        <f>Prod.!C78</f>
        <v>0</v>
      </c>
      <c r="Y139" s="469">
        <f>Prod.!D78</f>
        <v>0</v>
      </c>
      <c r="Z139" s="469">
        <f>Prod.!E78</f>
        <v>0</v>
      </c>
      <c r="AA139" s="282">
        <f>Prod.!F78</f>
        <v>0</v>
      </c>
      <c r="AB139" s="282">
        <f>Prod.!G78</f>
        <v>0</v>
      </c>
      <c r="AC139" s="836">
        <f>Prod.!H78</f>
        <v>0</v>
      </c>
      <c r="AD139" s="282">
        <f>Prod.!AB78</f>
        <v>0</v>
      </c>
      <c r="AE139" s="282">
        <f>AD139-AF139</f>
        <v>0</v>
      </c>
      <c r="AF139" s="282">
        <f>Prod.!AA78</f>
        <v>0</v>
      </c>
    </row>
    <row r="140" spans="1:32" ht="15" customHeight="1">
      <c r="A140" s="1435">
        <v>4</v>
      </c>
      <c r="B140" s="818">
        <f>W141</f>
        <v>0</v>
      </c>
      <c r="C140" s="819" t="s">
        <v>765</v>
      </c>
      <c r="D140" s="822"/>
      <c r="E140" s="822"/>
      <c r="F140" s="821">
        <f ca="1">F141 + (RAND() * 0.02 - 0.01)</f>
        <v>-8.812869406255551E-3</v>
      </c>
      <c r="G140" s="821">
        <f ca="1">G141 + (RAND() * 0.06 - 0.03)</f>
        <v>0.51104027404564911</v>
      </c>
      <c r="H140" s="822">
        <f ca="1">H141 + (RAND() * 0.006 - 0.003)</f>
        <v>1.0524638342456274E-3</v>
      </c>
      <c r="I140" s="822">
        <f ca="1">I141 + (RAND() * 0.006 - 0.003)</f>
        <v>2.3491174373267351E-3</v>
      </c>
      <c r="J140" s="821">
        <f ca="1">J141 + (RAND() * 0.02 - 0.01)</f>
        <v>1.2350486945224472E-3</v>
      </c>
      <c r="K140" s="821"/>
      <c r="L140" s="822"/>
      <c r="M140" s="821"/>
      <c r="N140" s="823"/>
      <c r="O140" s="823"/>
      <c r="P140" s="823"/>
      <c r="Q140" s="823"/>
      <c r="R140" s="839"/>
      <c r="S140" s="821"/>
      <c r="T140" s="821"/>
      <c r="U140" s="825"/>
      <c r="V140" s="826"/>
    </row>
    <row r="141" spans="1:32" ht="15" customHeight="1">
      <c r="A141" s="1435"/>
      <c r="B141" s="827">
        <f>B140</f>
        <v>0</v>
      </c>
      <c r="C141" s="828" t="s">
        <v>768</v>
      </c>
      <c r="D141" s="829" t="str">
        <f>IF(AC141=130, "130 × 130", IF(AC141=160, "160 × 160", IF(AC141=110, "110 × 110", "Value not 130, 160, or 110")))</f>
        <v>Value not 130, 160, or 110</v>
      </c>
      <c r="E141" s="830">
        <f>AD141</f>
        <v>0</v>
      </c>
      <c r="F141" s="831">
        <f ca="1">IF(X141 &gt; 0.1, RAND() * (0.1 - 0.06) + 0.06, X141)</f>
        <v>0</v>
      </c>
      <c r="G141" s="831">
        <f ca="1">IF(Y141 &lt; 0.5, 0.5 + RAND() * 0.1, Y141)</f>
        <v>0.5228738755335397</v>
      </c>
      <c r="H141" s="830">
        <f ca="1">IF(AB141&gt;0.04, 0.029 + (0.039-0.029)*RAND(), AB141)</f>
        <v>0</v>
      </c>
      <c r="I141" s="830">
        <f ca="1">IF(AA141&gt;0.04, 0.029 + (0.039-0.029)*RAND(), AA141)</f>
        <v>0</v>
      </c>
      <c r="J141" s="831">
        <f ca="1">IF(Z141&gt;0.15, 0.11 + (0.15-0.11) * RAND(), Z141)</f>
        <v>0</v>
      </c>
      <c r="K141" s="830">
        <f ca="1">0.004 + (RAND() * (0.001 - 0.004))</f>
        <v>3.4562939522885475E-3</v>
      </c>
      <c r="L141" s="830">
        <f ca="1">H141+I141</f>
        <v>0</v>
      </c>
      <c r="M141" s="831">
        <f ca="1">(G141/6)+F141</f>
        <v>8.7145645922256612E-2</v>
      </c>
      <c r="N141" s="831">
        <f ca="1">2 + RAND()</f>
        <v>2.7261987594789847</v>
      </c>
      <c r="O141" s="831">
        <f ca="1">1 + RAND()</f>
        <v>1.7733519117327927</v>
      </c>
      <c r="P141" s="831">
        <f ca="1">2.98 + (RAND() * (3.03 - 2.98))</f>
        <v>3.0064825888043023</v>
      </c>
      <c r="Q141" s="832" t="str">
        <f ca="1">IF(D141="130 × 130", (130 + RANDBETWEEN(-1,1)) &amp; " × " &amp; (130 + RANDBETWEEN(-1,1)),
   IF(D141="160 × 160", (160 + RANDBETWEEN(-1,1)) &amp; " × " &amp; (160 + RANDBETWEEN(-1,1)),
   IF(D141="110 × 110", (110 + RANDBETWEEN(-1,1)) &amp; " × " &amp; (110 + RANDBETWEEN(-1,1)),
   "Value not matched")))</f>
        <v>Value not matched</v>
      </c>
      <c r="R141" s="833" t="s">
        <v>213</v>
      </c>
      <c r="S141" s="834" t="str">
        <f ca="1">IF(G141&lt;0.6, "IS 14650 CPS 10748/GR2", "IS 14650 CPS 10748/GR3")</f>
        <v>IS 14650 CPS 10748/GR2</v>
      </c>
      <c r="T141" s="831" t="s">
        <v>769</v>
      </c>
      <c r="U141" s="825"/>
      <c r="V141" s="826"/>
      <c r="W141" s="206">
        <f>Prod.!B79</f>
        <v>0</v>
      </c>
      <c r="X141" s="469">
        <f>Prod.!C79</f>
        <v>0</v>
      </c>
      <c r="Y141" s="469">
        <f>Prod.!D79</f>
        <v>0</v>
      </c>
      <c r="Z141" s="469">
        <f>Prod.!E79</f>
        <v>0</v>
      </c>
      <c r="AA141" s="282">
        <f>Prod.!F79</f>
        <v>0</v>
      </c>
      <c r="AB141" s="282">
        <f>Prod.!G79</f>
        <v>0</v>
      </c>
      <c r="AC141" s="836">
        <f>Prod.!H79</f>
        <v>0</v>
      </c>
      <c r="AD141" s="282">
        <f>Prod.!AB79</f>
        <v>0</v>
      </c>
      <c r="AE141" s="282">
        <f>AD141-AF141</f>
        <v>0</v>
      </c>
      <c r="AF141" s="282">
        <f>Prod.!AA79</f>
        <v>0</v>
      </c>
    </row>
    <row r="142" spans="1:32" ht="15" customHeight="1">
      <c r="A142" s="1435">
        <v>5</v>
      </c>
      <c r="B142" s="818">
        <f>W143</f>
        <v>0</v>
      </c>
      <c r="C142" s="819" t="s">
        <v>765</v>
      </c>
      <c r="D142" s="822"/>
      <c r="E142" s="822"/>
      <c r="F142" s="821">
        <f ca="1">F143 + (RAND() * 0.02 - 0.01)</f>
        <v>-2.7207835141192984E-3</v>
      </c>
      <c r="G142" s="821">
        <f ca="1">G143 + (RAND() * 0.06 - 0.03)</f>
        <v>0.48397580877549284</v>
      </c>
      <c r="H142" s="822">
        <f ca="1">H143 + (RAND() * 0.006 - 0.003)</f>
        <v>-2.0371872804866497E-3</v>
      </c>
      <c r="I142" s="822">
        <f ca="1">I143 + (RAND() * 0.006 - 0.003)</f>
        <v>-1.6633745185331082E-3</v>
      </c>
      <c r="J142" s="821">
        <f ca="1">J143 + (RAND() * 0.02 - 0.01)</f>
        <v>-4.0253706195550118E-4</v>
      </c>
      <c r="K142" s="821"/>
      <c r="L142" s="822"/>
      <c r="M142" s="821"/>
      <c r="N142" s="823"/>
      <c r="O142" s="823"/>
      <c r="P142" s="823"/>
      <c r="Q142" s="823"/>
      <c r="R142" s="839"/>
      <c r="S142" s="821"/>
      <c r="T142" s="821"/>
      <c r="U142" s="825"/>
      <c r="V142" s="826"/>
    </row>
    <row r="143" spans="1:32" ht="15" customHeight="1">
      <c r="A143" s="1435"/>
      <c r="B143" s="827">
        <f>B142</f>
        <v>0</v>
      </c>
      <c r="C143" s="828" t="s">
        <v>768</v>
      </c>
      <c r="D143" s="829" t="str">
        <f>IF(AC143=130, "130 × 130", IF(AC143=160, "160 × 160", IF(AC143=110, "110 × 110", "Value not 130, 160, or 110")))</f>
        <v>Value not 130, 160, or 110</v>
      </c>
      <c r="E143" s="830">
        <f>AD143</f>
        <v>0</v>
      </c>
      <c r="F143" s="831">
        <f ca="1">IF(X143 &gt; 0.1, RAND() * (0.1 - 0.06) + 0.06, X143)</f>
        <v>0</v>
      </c>
      <c r="G143" s="831">
        <f ca="1">IF(Y143 &lt; 0.5, 0.5 + RAND() * 0.1, Y143)</f>
        <v>0.50965742242759793</v>
      </c>
      <c r="H143" s="830">
        <f ca="1">IF(AB143&gt;0.04, 0.029 + (0.039-0.029)*RAND(), AB143)</f>
        <v>0</v>
      </c>
      <c r="I143" s="830">
        <f ca="1">IF(AA143&gt;0.04, 0.029 + (0.039-0.029)*RAND(), AA143)</f>
        <v>0</v>
      </c>
      <c r="J143" s="831">
        <f ca="1">IF(Z143&gt;0.15, 0.11 + (0.15-0.11) * RAND(), Z143)</f>
        <v>0</v>
      </c>
      <c r="K143" s="830">
        <f ca="1">0.004 + (RAND() * (0.001 - 0.004))</f>
        <v>1.4325238865473913E-3</v>
      </c>
      <c r="L143" s="830">
        <f ca="1">H143+I143</f>
        <v>0</v>
      </c>
      <c r="M143" s="831">
        <f ca="1">(G143/6)+F143</f>
        <v>8.4942903737932993E-2</v>
      </c>
      <c r="N143" s="831">
        <f ca="1">2 + RAND()</f>
        <v>2.7795303441045793</v>
      </c>
      <c r="O143" s="831">
        <f ca="1">1 + RAND()</f>
        <v>1.6979526077607141</v>
      </c>
      <c r="P143" s="831">
        <f ca="1">2.98 + (RAND() * (3.03 - 2.98))</f>
        <v>2.9931095419229519</v>
      </c>
      <c r="Q143" s="832" t="str">
        <f ca="1">IF(D143="130 × 130", (130 + RANDBETWEEN(-1,1)) &amp; " × " &amp; (130 + RANDBETWEEN(-1,1)),
   IF(D143="160 × 160", (160 + RANDBETWEEN(-1,1)) &amp; " × " &amp; (160 + RANDBETWEEN(-1,1)),
   IF(D143="110 × 110", (110 + RANDBETWEEN(-1,1)) &amp; " × " &amp; (110 + RANDBETWEEN(-1,1)),
   "Value not matched")))</f>
        <v>Value not matched</v>
      </c>
      <c r="R143" s="833" t="s">
        <v>213</v>
      </c>
      <c r="S143" s="834" t="str">
        <f ca="1">IF(G143&lt;0.6, "IS 14650 CPS 10748/GR2", "IS 14650 CPS 10748/GR3")</f>
        <v>IS 14650 CPS 10748/GR2</v>
      </c>
      <c r="T143" s="831" t="s">
        <v>769</v>
      </c>
      <c r="U143" s="825"/>
      <c r="V143" s="826"/>
      <c r="W143" s="206">
        <f>Prod.!B80</f>
        <v>0</v>
      </c>
      <c r="X143" s="469">
        <f>Prod.!C80</f>
        <v>0</v>
      </c>
      <c r="Y143" s="469">
        <f>Prod.!D80</f>
        <v>0</v>
      </c>
      <c r="Z143" s="469">
        <f>Prod.!E80</f>
        <v>0</v>
      </c>
      <c r="AA143" s="282">
        <f>Prod.!F80</f>
        <v>0</v>
      </c>
      <c r="AB143" s="282">
        <f>Prod.!G80</f>
        <v>0</v>
      </c>
      <c r="AC143" s="836">
        <f>Prod.!H80</f>
        <v>0</v>
      </c>
      <c r="AD143" s="282">
        <f>Prod.!AB80</f>
        <v>0</v>
      </c>
      <c r="AE143" s="282">
        <f>AD143-AF143</f>
        <v>0</v>
      </c>
      <c r="AF143" s="282">
        <f>Prod.!AA80</f>
        <v>0</v>
      </c>
    </row>
    <row r="144" spans="1:32" ht="15" customHeight="1">
      <c r="A144" s="1435">
        <v>6</v>
      </c>
      <c r="B144" s="818">
        <f>W145</f>
        <v>0</v>
      </c>
      <c r="C144" s="819" t="s">
        <v>765</v>
      </c>
      <c r="D144" s="822"/>
      <c r="E144" s="822"/>
      <c r="F144" s="821">
        <f ca="1">F145 + (RAND() * 0.02 - 0.01)</f>
        <v>-9.3140342958788168E-3</v>
      </c>
      <c r="G144" s="821">
        <f ca="1">G145 + (RAND() * 0.06 - 0.03)</f>
        <v>0.58741458638826716</v>
      </c>
      <c r="H144" s="822">
        <f ca="1">H145 + (RAND() * 0.006 - 0.003)</f>
        <v>-2.4751271043899925E-3</v>
      </c>
      <c r="I144" s="822">
        <f ca="1">I145 + (RAND() * 0.006 - 0.003)</f>
        <v>2.8696475956216721E-3</v>
      </c>
      <c r="J144" s="821">
        <f ca="1">J145 + (RAND() * 0.02 - 0.01)</f>
        <v>6.5421609538642064E-3</v>
      </c>
      <c r="K144" s="821"/>
      <c r="L144" s="822"/>
      <c r="M144" s="821"/>
      <c r="N144" s="823"/>
      <c r="O144" s="823"/>
      <c r="P144" s="823"/>
      <c r="Q144" s="823"/>
      <c r="R144" s="839"/>
      <c r="S144" s="821"/>
      <c r="T144" s="821"/>
      <c r="U144" s="825"/>
      <c r="V144" s="826"/>
    </row>
    <row r="145" spans="1:32" ht="15" customHeight="1">
      <c r="A145" s="1435"/>
      <c r="B145" s="827">
        <f>B144</f>
        <v>0</v>
      </c>
      <c r="C145" s="828" t="s">
        <v>768</v>
      </c>
      <c r="D145" s="829" t="str">
        <f>IF(AC145=130, "130 × 130", IF(AC145=160, "160 × 160", IF(AC145=110, "110 × 110", "Value not 130, 160, or 110")))</f>
        <v>Value not 130, 160, or 110</v>
      </c>
      <c r="E145" s="830">
        <f>AD145</f>
        <v>0</v>
      </c>
      <c r="F145" s="831">
        <f ca="1">IF(X145 &gt; 0.1, RAND() * (0.1 - 0.06) + 0.06, X145)</f>
        <v>0</v>
      </c>
      <c r="G145" s="831">
        <f ca="1">IF(Y145 &lt; 0.5, 0.5 + RAND() * 0.1, Y145)</f>
        <v>0.57267779350534165</v>
      </c>
      <c r="H145" s="830">
        <f ca="1">IF(AB145&gt;0.04, 0.029 + (0.039-0.029)*RAND(), AB145)</f>
        <v>0</v>
      </c>
      <c r="I145" s="830">
        <f ca="1">IF(AA145&gt;0.04, 0.029 + (0.039-0.029)*RAND(), AA145)</f>
        <v>0</v>
      </c>
      <c r="J145" s="831">
        <f ca="1">IF(Z145&gt;0.15, 0.11 + (0.15-0.11) * RAND(), Z145)</f>
        <v>0</v>
      </c>
      <c r="K145" s="830">
        <f ca="1">0.004 + (RAND() * (0.001 - 0.004))</f>
        <v>1.5304649866951276E-3</v>
      </c>
      <c r="L145" s="830">
        <f ca="1">H145+I145</f>
        <v>0</v>
      </c>
      <c r="M145" s="831">
        <f ca="1">(G145/6)+F145</f>
        <v>9.5446298917556946E-2</v>
      </c>
      <c r="N145" s="831">
        <f ca="1">2 + RAND()</f>
        <v>2.4994962204668427</v>
      </c>
      <c r="O145" s="831">
        <f ca="1">1 + RAND()</f>
        <v>1.6392332226886301</v>
      </c>
      <c r="P145" s="831">
        <f ca="1">2.98 + (RAND() * (3.03 - 2.98))</f>
        <v>3.0082662360601264</v>
      </c>
      <c r="Q145" s="832" t="str">
        <f ca="1">IF(D145="130 × 130", (130 + RANDBETWEEN(-1,1)) &amp; " × " &amp; (130 + RANDBETWEEN(-1,1)),
   IF(D145="160 × 160", (160 + RANDBETWEEN(-1,1)) &amp; " × " &amp; (160 + RANDBETWEEN(-1,1)),
   IF(D145="110 × 110", (110 + RANDBETWEEN(-1,1)) &amp; " × " &amp; (110 + RANDBETWEEN(-1,1)),
   "Value not matched")))</f>
        <v>Value not matched</v>
      </c>
      <c r="R145" s="833" t="s">
        <v>213</v>
      </c>
      <c r="S145" s="834" t="str">
        <f ca="1">IF(G145&lt;0.6, "IS 14650 CPS 10748/GR2", "IS 14650 CPS 10748/GR3")</f>
        <v>IS 14650 CPS 10748/GR2</v>
      </c>
      <c r="T145" s="831" t="s">
        <v>769</v>
      </c>
      <c r="U145" s="825"/>
      <c r="V145" s="826"/>
      <c r="W145" s="206">
        <f>Prod.!B81</f>
        <v>0</v>
      </c>
      <c r="X145" s="469">
        <f>Prod.!C81</f>
        <v>0</v>
      </c>
      <c r="Y145" s="469">
        <f>Prod.!D81</f>
        <v>0</v>
      </c>
      <c r="Z145" s="469">
        <f>Prod.!E81</f>
        <v>0</v>
      </c>
      <c r="AA145" s="282">
        <f>Prod.!F81</f>
        <v>0</v>
      </c>
      <c r="AB145" s="282">
        <f>Prod.!G81</f>
        <v>0</v>
      </c>
      <c r="AC145" s="836">
        <f>Prod.!H81</f>
        <v>0</v>
      </c>
      <c r="AD145" s="282">
        <f>Prod.!AB81</f>
        <v>0</v>
      </c>
      <c r="AE145" s="282">
        <f>AD145-AF145</f>
        <v>0</v>
      </c>
      <c r="AF145" s="282">
        <f>Prod.!AA81</f>
        <v>0</v>
      </c>
    </row>
    <row r="146" spans="1:32" ht="15" customHeight="1">
      <c r="A146" s="1435">
        <v>7</v>
      </c>
      <c r="B146" s="818">
        <f>W147</f>
        <v>0</v>
      </c>
      <c r="C146" s="819" t="s">
        <v>765</v>
      </c>
      <c r="D146" s="822"/>
      <c r="E146" s="822"/>
      <c r="F146" s="821">
        <f ca="1">F147 + (RAND() * 0.02 - 0.01)</f>
        <v>-2.867641946974293E-3</v>
      </c>
      <c r="G146" s="821">
        <f ca="1">G147 + (RAND() * 0.06 - 0.03)</f>
        <v>0.56694052529595884</v>
      </c>
      <c r="H146" s="822">
        <f ca="1">H147 + (RAND() * 0.006 - 0.003)</f>
        <v>2.338368821462212E-3</v>
      </c>
      <c r="I146" s="822">
        <f ca="1">I147 + (RAND() * 0.006 - 0.003)</f>
        <v>2.6965465024361137E-3</v>
      </c>
      <c r="J146" s="821">
        <f ca="1">J147 + (RAND() * 0.02 - 0.01)</f>
        <v>3.7234379797071622E-4</v>
      </c>
      <c r="K146" s="821"/>
      <c r="L146" s="822"/>
      <c r="M146" s="821"/>
      <c r="N146" s="823"/>
      <c r="O146" s="823"/>
      <c r="P146" s="823"/>
      <c r="Q146" s="823"/>
      <c r="R146" s="839"/>
      <c r="S146" s="821"/>
      <c r="T146" s="821"/>
      <c r="U146" s="825"/>
      <c r="V146" s="826"/>
    </row>
    <row r="147" spans="1:32" ht="15" customHeight="1">
      <c r="A147" s="1435"/>
      <c r="B147" s="827">
        <f>B146</f>
        <v>0</v>
      </c>
      <c r="C147" s="828" t="s">
        <v>768</v>
      </c>
      <c r="D147" s="829" t="str">
        <f>IF(AC147=130, "130 × 130", IF(AC147=160, "160 × 160", IF(AC147=110, "110 × 110", "Value not 130, 160, or 110")))</f>
        <v>Value not 130, 160, or 110</v>
      </c>
      <c r="E147" s="830">
        <f>AD147</f>
        <v>0</v>
      </c>
      <c r="F147" s="831">
        <f ca="1">IF(X147 &gt; 0.1, RAND() * (0.1 - 0.06) + 0.06, X147)</f>
        <v>0</v>
      </c>
      <c r="G147" s="831">
        <f ca="1">IF(Y147 &lt; 0.5, 0.5 + RAND() * 0.1, Y147)</f>
        <v>0.54237569165490551</v>
      </c>
      <c r="H147" s="830">
        <f ca="1">IF(AB147&gt;0.04, 0.029 + (0.039-0.029)*RAND(), AB147)</f>
        <v>0</v>
      </c>
      <c r="I147" s="830">
        <f ca="1">IF(AA147&gt;0.04, 0.029 + (0.039-0.029)*RAND(), AA147)</f>
        <v>0</v>
      </c>
      <c r="J147" s="831">
        <f ca="1">IF(Z147&gt;0.15, 0.11 + (0.15-0.11) * RAND(), Z147)</f>
        <v>0</v>
      </c>
      <c r="K147" s="830">
        <f ca="1">0.004 + (RAND() * (0.001 - 0.004))</f>
        <v>2.9340808193397743E-3</v>
      </c>
      <c r="L147" s="830">
        <f ca="1">H147+I147</f>
        <v>0</v>
      </c>
      <c r="M147" s="831">
        <f ca="1">(G147/6)+F147</f>
        <v>9.0395948609150914E-2</v>
      </c>
      <c r="N147" s="831">
        <f ca="1">2 + RAND()</f>
        <v>2.6146216167063394</v>
      </c>
      <c r="O147" s="831">
        <f ca="1">1 + RAND()</f>
        <v>1.8115688774766567</v>
      </c>
      <c r="P147" s="831">
        <f ca="1">2.98 + (RAND() * (3.03 - 2.98))</f>
        <v>3.0095547968387089</v>
      </c>
      <c r="Q147" s="832" t="str">
        <f ca="1">IF(D147="130 × 130", (130 + RANDBETWEEN(-1,1)) &amp; " × " &amp; (130 + RANDBETWEEN(-1,1)),
   IF(D147="160 × 160", (160 + RANDBETWEEN(-1,1)) &amp; " × " &amp; (160 + RANDBETWEEN(-1,1)),
   IF(D147="110 × 110", (110 + RANDBETWEEN(-1,1)) &amp; " × " &amp; (110 + RANDBETWEEN(-1,1)),
   "Value not matched")))</f>
        <v>Value not matched</v>
      </c>
      <c r="R147" s="833" t="s">
        <v>213</v>
      </c>
      <c r="S147" s="834" t="str">
        <f ca="1">IF(G147&lt;0.6, "IS 14650 CPS 10748/GR2", "IS 14650 CPS 10748/GR3")</f>
        <v>IS 14650 CPS 10748/GR2</v>
      </c>
      <c r="T147" s="831" t="s">
        <v>769</v>
      </c>
      <c r="U147" s="825"/>
      <c r="V147" s="826"/>
      <c r="W147" s="206">
        <f>Prod.!B82</f>
        <v>0</v>
      </c>
      <c r="X147" s="469">
        <f>Prod.!C82</f>
        <v>0</v>
      </c>
      <c r="Y147" s="469">
        <f>Prod.!D82</f>
        <v>0</v>
      </c>
      <c r="Z147" s="469">
        <f>Prod.!E82</f>
        <v>0</v>
      </c>
      <c r="AA147" s="282">
        <f>Prod.!F82</f>
        <v>0</v>
      </c>
      <c r="AB147" s="282">
        <f>Prod.!G82</f>
        <v>0</v>
      </c>
      <c r="AC147" s="836">
        <f>Prod.!H82</f>
        <v>0</v>
      </c>
      <c r="AD147" s="282">
        <f>Prod.!AB82</f>
        <v>0</v>
      </c>
      <c r="AE147" s="282">
        <f>AD147-AF147</f>
        <v>0</v>
      </c>
      <c r="AF147" s="282">
        <f>Prod.!AA82</f>
        <v>0</v>
      </c>
    </row>
    <row r="148" spans="1:32" ht="15" customHeight="1">
      <c r="A148" s="1435">
        <v>8</v>
      </c>
      <c r="B148" s="818">
        <f>W149</f>
        <v>0</v>
      </c>
      <c r="C148" s="819" t="s">
        <v>765</v>
      </c>
      <c r="D148" s="822"/>
      <c r="E148" s="822"/>
      <c r="F148" s="821">
        <f ca="1">F149 + (RAND() * 0.02 - 0.01)</f>
        <v>-1.5318314530453764E-3</v>
      </c>
      <c r="G148" s="821">
        <f ca="1">G149 + (RAND() * 0.06 - 0.03)</f>
        <v>0.57808995817009523</v>
      </c>
      <c r="H148" s="822">
        <f ca="1">H149 + (RAND() * 0.006 - 0.003)</f>
        <v>-1.5024443760490959E-3</v>
      </c>
      <c r="I148" s="822">
        <f ca="1">I149 + (RAND() * 0.006 - 0.003)</f>
        <v>5.3488553591754182E-4</v>
      </c>
      <c r="J148" s="821">
        <f ca="1">J149 + (RAND() * 0.02 - 0.01)</f>
        <v>-3.9892349157137907E-3</v>
      </c>
      <c r="K148" s="821"/>
      <c r="L148" s="822"/>
      <c r="M148" s="821"/>
      <c r="N148" s="823"/>
      <c r="O148" s="823"/>
      <c r="P148" s="823"/>
      <c r="Q148" s="823"/>
      <c r="R148" s="839"/>
      <c r="S148" s="821"/>
      <c r="T148" s="821"/>
      <c r="U148" s="825"/>
      <c r="V148" s="826"/>
    </row>
    <row r="149" spans="1:32" ht="15" customHeight="1">
      <c r="A149" s="1435"/>
      <c r="B149" s="827">
        <f>B148</f>
        <v>0</v>
      </c>
      <c r="C149" s="828" t="s">
        <v>768</v>
      </c>
      <c r="D149" s="829" t="str">
        <f>IF(AC149=130, "130 × 130", IF(AC149=160, "160 × 160", IF(AC149=110, "110 × 110", "Value not 130, 160, or 110")))</f>
        <v>Value not 130, 160, or 110</v>
      </c>
      <c r="E149" s="830">
        <f>AD149</f>
        <v>0</v>
      </c>
      <c r="F149" s="831">
        <f ca="1">IF(X149 &gt; 0.1, RAND() * (0.1 - 0.06) + 0.06, X149)</f>
        <v>0</v>
      </c>
      <c r="G149" s="831">
        <f ca="1">IF(Y149 &lt; 0.5, 0.5 + RAND() * 0.1, Y149)</f>
        <v>0.58434656491746884</v>
      </c>
      <c r="H149" s="830">
        <f ca="1">IF(AB149&gt;0.04, 0.029 + (0.039-0.029)*RAND(), AB149)</f>
        <v>0</v>
      </c>
      <c r="I149" s="830">
        <f ca="1">IF(AA149&gt;0.04, 0.029 + (0.039-0.029)*RAND(), AA149)</f>
        <v>0</v>
      </c>
      <c r="J149" s="831">
        <f ca="1">IF(Z149&gt;0.15, 0.11 + (0.15-0.11) * RAND(), Z149)</f>
        <v>0</v>
      </c>
      <c r="K149" s="830">
        <f ca="1">0.004 + (RAND() * (0.001 - 0.004))</f>
        <v>3.2434014892944374E-3</v>
      </c>
      <c r="L149" s="830">
        <f ca="1">H149+I149</f>
        <v>0</v>
      </c>
      <c r="M149" s="831">
        <f ca="1">(G149/6)+F149</f>
        <v>9.7391094152911473E-2</v>
      </c>
      <c r="N149" s="831">
        <f ca="1">2 + RAND()</f>
        <v>2.4989312766139919</v>
      </c>
      <c r="O149" s="831">
        <f ca="1">1 + RAND()</f>
        <v>1.5458064835352643</v>
      </c>
      <c r="P149" s="831">
        <f ca="1">2.98 + (RAND() * (3.03 - 2.98))</f>
        <v>3.0025469253958206</v>
      </c>
      <c r="Q149" s="832" t="str">
        <f ca="1">IF(D149="130 × 130", (130 + RANDBETWEEN(-1,1)) &amp; " × " &amp; (130 + RANDBETWEEN(-1,1)),
   IF(D149="160 × 160", (160 + RANDBETWEEN(-1,1)) &amp; " × " &amp; (160 + RANDBETWEEN(-1,1)),
   IF(D149="110 × 110", (110 + RANDBETWEEN(-1,1)) &amp; " × " &amp; (110 + RANDBETWEEN(-1,1)),
   "Value not matched")))</f>
        <v>Value not matched</v>
      </c>
      <c r="R149" s="833" t="s">
        <v>213</v>
      </c>
      <c r="S149" s="834" t="str">
        <f ca="1">IF(G149&lt;0.6, "IS 14650 CPS 10748/GR2", "IS 14650 CPS 10748/GR3")</f>
        <v>IS 14650 CPS 10748/GR2</v>
      </c>
      <c r="T149" s="831" t="s">
        <v>769</v>
      </c>
      <c r="U149" s="825"/>
      <c r="V149" s="826"/>
      <c r="W149" s="206">
        <f>Prod.!B83</f>
        <v>0</v>
      </c>
      <c r="X149" s="469">
        <f>Prod.!C83</f>
        <v>0</v>
      </c>
      <c r="Y149" s="469">
        <f>Prod.!D83</f>
        <v>0</v>
      </c>
      <c r="Z149" s="469">
        <f>Prod.!E83</f>
        <v>0</v>
      </c>
      <c r="AA149" s="282">
        <f>Prod.!F83</f>
        <v>0</v>
      </c>
      <c r="AB149" s="282">
        <f>Prod.!G83</f>
        <v>0</v>
      </c>
      <c r="AC149" s="836">
        <f>Prod.!H83</f>
        <v>0</v>
      </c>
      <c r="AD149" s="282">
        <f>Prod.!AB83</f>
        <v>0</v>
      </c>
      <c r="AE149" s="282">
        <f>AD149-AF149</f>
        <v>0</v>
      </c>
      <c r="AF149" s="282">
        <f>Prod.!AA83</f>
        <v>0</v>
      </c>
    </row>
    <row r="150" spans="1:32" ht="15" customHeight="1">
      <c r="A150" s="1435">
        <v>9</v>
      </c>
      <c r="B150" s="818">
        <f>W151</f>
        <v>0</v>
      </c>
      <c r="C150" s="819" t="s">
        <v>765</v>
      </c>
      <c r="D150" s="822"/>
      <c r="E150" s="822"/>
      <c r="F150" s="821">
        <f ca="1">F151 + (RAND() * 0.02 - 0.01)</f>
        <v>-5.6011930730533385E-3</v>
      </c>
      <c r="G150" s="821">
        <f ca="1">G151 + (RAND() * 0.06 - 0.03)</f>
        <v>0.51040129490342778</v>
      </c>
      <c r="H150" s="822">
        <f ca="1">H151 + (RAND() * 0.006 - 0.003)</f>
        <v>6.8318317190610304E-4</v>
      </c>
      <c r="I150" s="822">
        <f ca="1">I151 + (RAND() * 0.006 - 0.003)</f>
        <v>-7.0157278096247147E-4</v>
      </c>
      <c r="J150" s="821">
        <f ca="1">J151 + (RAND() * 0.02 - 0.01)</f>
        <v>4.9538541024516675E-3</v>
      </c>
      <c r="K150" s="821"/>
      <c r="L150" s="822"/>
      <c r="M150" s="821"/>
      <c r="N150" s="823"/>
      <c r="O150" s="823"/>
      <c r="P150" s="823"/>
      <c r="Q150" s="823"/>
      <c r="R150" s="839"/>
      <c r="S150" s="821"/>
      <c r="T150" s="821"/>
      <c r="U150" s="825"/>
      <c r="V150" s="826"/>
    </row>
    <row r="151" spans="1:32" ht="15" customHeight="1">
      <c r="A151" s="1435"/>
      <c r="B151" s="827">
        <f>B150</f>
        <v>0</v>
      </c>
      <c r="C151" s="828" t="s">
        <v>768</v>
      </c>
      <c r="D151" s="829" t="str">
        <f>IF(AC151=130, "130 × 130", IF(AC151=160, "160 × 160", IF(AC151=110, "110 × 110", "Value not 130, 160, or 110")))</f>
        <v>Value not 130, 160, or 110</v>
      </c>
      <c r="E151" s="830">
        <f>AD151</f>
        <v>0</v>
      </c>
      <c r="F151" s="831">
        <f ca="1">IF(X151 &gt; 0.1, RAND() * (0.1 - 0.06) + 0.06, X151)</f>
        <v>0</v>
      </c>
      <c r="G151" s="831">
        <f ca="1">IF(Y151 &lt; 0.5, 0.5 + RAND() * 0.1, Y151)</f>
        <v>0.51615434582611552</v>
      </c>
      <c r="H151" s="830">
        <f ca="1">IF(AB151&gt;0.04, 0.029 + (0.039-0.029)*RAND(), AB151)</f>
        <v>0</v>
      </c>
      <c r="I151" s="830">
        <f ca="1">IF(AA151&gt;0.04, 0.029 + (0.039-0.029)*RAND(), AA151)</f>
        <v>0</v>
      </c>
      <c r="J151" s="831">
        <f ca="1">IF(Z151&gt;0.15, 0.11 + (0.15-0.11) * RAND(), Z151)</f>
        <v>0</v>
      </c>
      <c r="K151" s="830">
        <f ca="1">0.004 + (RAND() * (0.001 - 0.004))</f>
        <v>3.4767886612162889E-3</v>
      </c>
      <c r="L151" s="830">
        <f ca="1">H151+I151</f>
        <v>0</v>
      </c>
      <c r="M151" s="831">
        <f ca="1">(G151/6)+F151</f>
        <v>8.6025724304352583E-2</v>
      </c>
      <c r="N151" s="831">
        <f ca="1">2 + RAND()</f>
        <v>2.0465713244855128</v>
      </c>
      <c r="O151" s="831">
        <f ca="1">1 + RAND()</f>
        <v>1.7706738409790801</v>
      </c>
      <c r="P151" s="831">
        <f ca="1">2.98 + (RAND() * (3.03 - 2.98))</f>
        <v>3.0050901582476031</v>
      </c>
      <c r="Q151" s="832" t="str">
        <f ca="1">IF(D151="130 × 130", (130 + RANDBETWEEN(-1,1)) &amp; " × " &amp; (130 + RANDBETWEEN(-1,1)),
   IF(D151="160 × 160", (160 + RANDBETWEEN(-1,1)) &amp; " × " &amp; (160 + RANDBETWEEN(-1,1)),
   IF(D151="110 × 110", (110 + RANDBETWEEN(-1,1)) &amp; " × " &amp; (110 + RANDBETWEEN(-1,1)),
   "Value not matched")))</f>
        <v>Value not matched</v>
      </c>
      <c r="R151" s="833" t="s">
        <v>213</v>
      </c>
      <c r="S151" s="834" t="str">
        <f ca="1">IF(G151&lt;0.6, "IS 14650 CPS 10748/GR2", "IS 14650 CPS 10748/GR3")</f>
        <v>IS 14650 CPS 10748/GR2</v>
      </c>
      <c r="T151" s="831" t="s">
        <v>769</v>
      </c>
      <c r="U151" s="825"/>
      <c r="V151" s="826"/>
      <c r="W151" s="206">
        <f>Prod.!B84</f>
        <v>0</v>
      </c>
      <c r="X151" s="469">
        <f>Prod.!C84</f>
        <v>0</v>
      </c>
      <c r="Y151" s="469">
        <f>Prod.!D84</f>
        <v>0</v>
      </c>
      <c r="Z151" s="469">
        <f>Prod.!E84</f>
        <v>0</v>
      </c>
      <c r="AA151" s="282">
        <f>Prod.!F84</f>
        <v>0</v>
      </c>
      <c r="AB151" s="282">
        <f>Prod.!G84</f>
        <v>0</v>
      </c>
      <c r="AC151" s="836">
        <f>Prod.!H84</f>
        <v>0</v>
      </c>
      <c r="AD151" s="282">
        <f>Prod.!AB84</f>
        <v>0</v>
      </c>
      <c r="AE151" s="282">
        <f>AD151-AF151</f>
        <v>0</v>
      </c>
      <c r="AF151" s="282">
        <f>Prod.!AA84</f>
        <v>0</v>
      </c>
    </row>
    <row r="152" spans="1:32" ht="15" customHeight="1">
      <c r="A152" s="1435">
        <v>10</v>
      </c>
      <c r="B152" s="818">
        <f>W153</f>
        <v>0</v>
      </c>
      <c r="C152" s="819" t="s">
        <v>765</v>
      </c>
      <c r="D152" s="822"/>
      <c r="E152" s="822"/>
      <c r="F152" s="821">
        <f ca="1">F153 + (RAND() * 0.02 - 0.01)</f>
        <v>3.8531928179297986E-3</v>
      </c>
      <c r="G152" s="821">
        <f ca="1">G153 + (RAND() * 0.06 - 0.03)</f>
        <v>0.53183921786387045</v>
      </c>
      <c r="H152" s="822">
        <f ca="1">H153 + (RAND() * 0.006 - 0.003)</f>
        <v>-1.6761868722920447E-3</v>
      </c>
      <c r="I152" s="822">
        <f ca="1">I153 + (RAND() * 0.006 - 0.003)</f>
        <v>-4.9415148004765264E-5</v>
      </c>
      <c r="J152" s="821">
        <f ca="1">J153 + (RAND() * 0.02 - 0.01)</f>
        <v>-5.6830491261836615E-3</v>
      </c>
      <c r="K152" s="821"/>
      <c r="L152" s="822"/>
      <c r="M152" s="821"/>
      <c r="N152" s="823"/>
      <c r="O152" s="823"/>
      <c r="P152" s="823"/>
      <c r="Q152" s="823"/>
      <c r="R152" s="839"/>
      <c r="S152" s="821"/>
      <c r="T152" s="821"/>
      <c r="U152" s="825"/>
      <c r="V152" s="826"/>
    </row>
    <row r="153" spans="1:32" ht="15" customHeight="1">
      <c r="A153" s="1435"/>
      <c r="B153" s="827">
        <f>B152</f>
        <v>0</v>
      </c>
      <c r="C153" s="828" t="s">
        <v>768</v>
      </c>
      <c r="D153" s="829" t="str">
        <f>IF(AC153=130, "130 × 130", IF(AC153=160, "160 × 160", IF(AC153=110, "110 × 110", "Value not 130, 160, or 110")))</f>
        <v>Value not 130, 160, or 110</v>
      </c>
      <c r="E153" s="830">
        <f>AD153</f>
        <v>0</v>
      </c>
      <c r="F153" s="831">
        <f ca="1">IF(X153 &gt; 0.1, RAND() * (0.1 - 0.06) + 0.06, X153)</f>
        <v>0</v>
      </c>
      <c r="G153" s="831">
        <f ca="1">IF(Y153 &lt; 0.5, 0.5 + RAND() * 0.1, Y153)</f>
        <v>0.52229302536691757</v>
      </c>
      <c r="H153" s="830">
        <f ca="1">IF(AB153&gt;0.04, 0.029 + (0.039-0.029)*RAND(), AB153)</f>
        <v>0</v>
      </c>
      <c r="I153" s="830">
        <f ca="1">IF(AA153&gt;0.04, 0.029 + (0.039-0.029)*RAND(), AA153)</f>
        <v>0</v>
      </c>
      <c r="J153" s="831">
        <f ca="1">IF(Z153&gt;0.15, 0.11 + (0.15-0.11) * RAND(), Z153)</f>
        <v>0</v>
      </c>
      <c r="K153" s="830">
        <f ca="1">0.004 + (RAND() * (0.001 - 0.004))</f>
        <v>2.6846783809622169E-3</v>
      </c>
      <c r="L153" s="830">
        <f ca="1">H153+I153</f>
        <v>0</v>
      </c>
      <c r="M153" s="831">
        <f ca="1">(G153/6)+F153</f>
        <v>8.7048837561152934E-2</v>
      </c>
      <c r="N153" s="831">
        <f ca="1">2 + RAND()</f>
        <v>2.4987282943022624</v>
      </c>
      <c r="O153" s="831">
        <f ca="1">1 + RAND()</f>
        <v>1.7866430864972547</v>
      </c>
      <c r="P153" s="831">
        <f ca="1">2.98 + (RAND() * (3.03 - 2.98))</f>
        <v>3.011639233056739</v>
      </c>
      <c r="Q153" s="832" t="str">
        <f ca="1">IF(D153="130 × 130", (130 + RANDBETWEEN(-1,1)) &amp; " × " &amp; (130 + RANDBETWEEN(-1,1)),
   IF(D153="160 × 160", (160 + RANDBETWEEN(-1,1)) &amp; " × " &amp; (160 + RANDBETWEEN(-1,1)),
   IF(D153="110 × 110", (110 + RANDBETWEEN(-1,1)) &amp; " × " &amp; (110 + RANDBETWEEN(-1,1)),
   "Value not matched")))</f>
        <v>Value not matched</v>
      </c>
      <c r="R153" s="833" t="s">
        <v>213</v>
      </c>
      <c r="S153" s="834" t="str">
        <f ca="1">IF(G153&lt;0.6, "IS 14650 CPS 10748/GR2", "IS 14650 CPS 10748/GR3")</f>
        <v>IS 14650 CPS 10748/GR2</v>
      </c>
      <c r="T153" s="831" t="s">
        <v>769</v>
      </c>
      <c r="U153" s="825"/>
      <c r="V153" s="826"/>
      <c r="W153" s="206">
        <f>Prod.!B85</f>
        <v>0</v>
      </c>
      <c r="X153" s="469">
        <f>Prod.!C85</f>
        <v>0</v>
      </c>
      <c r="Y153" s="469">
        <f>Prod.!D85</f>
        <v>0</v>
      </c>
      <c r="Z153" s="469">
        <f>Prod.!E85</f>
        <v>0</v>
      </c>
      <c r="AA153" s="282">
        <f>Prod.!F85</f>
        <v>0</v>
      </c>
      <c r="AB153" s="282">
        <f>Prod.!G85</f>
        <v>0</v>
      </c>
      <c r="AC153" s="836">
        <f>Prod.!H85</f>
        <v>0</v>
      </c>
      <c r="AD153" s="282">
        <f>Prod.!AB85</f>
        <v>0</v>
      </c>
      <c r="AE153" s="282">
        <f>AD153-AF153</f>
        <v>0</v>
      </c>
      <c r="AF153" s="282">
        <f>Prod.!AA85</f>
        <v>0</v>
      </c>
    </row>
    <row r="154" spans="1:32" ht="15" customHeight="1">
      <c r="A154" s="1435">
        <v>11</v>
      </c>
      <c r="B154" s="818">
        <f>W155</f>
        <v>0</v>
      </c>
      <c r="C154" s="819" t="s">
        <v>765</v>
      </c>
      <c r="D154" s="822"/>
      <c r="E154" s="822"/>
      <c r="F154" s="821">
        <f ca="1">F155 + (RAND() * 0.02 - 0.01)</f>
        <v>3.7803596132770668E-3</v>
      </c>
      <c r="G154" s="821">
        <f ca="1">G155 + (RAND() * 0.06 - 0.03)</f>
        <v>0.5506432514856463</v>
      </c>
      <c r="H154" s="822">
        <f ca="1">H155 + (RAND() * 0.006 - 0.003)</f>
        <v>-1.785638199327623E-3</v>
      </c>
      <c r="I154" s="822">
        <f ca="1">I155 + (RAND() * 0.006 - 0.003)</f>
        <v>-1.2038378642144879E-3</v>
      </c>
      <c r="J154" s="821">
        <f ca="1">J155 + (RAND() * 0.02 - 0.01)</f>
        <v>6.9898889717436626E-3</v>
      </c>
      <c r="K154" s="821"/>
      <c r="L154" s="822"/>
      <c r="M154" s="821"/>
      <c r="N154" s="823"/>
      <c r="O154" s="823"/>
      <c r="P154" s="823"/>
      <c r="Q154" s="823"/>
      <c r="R154" s="839"/>
      <c r="S154" s="821"/>
      <c r="T154" s="821"/>
      <c r="U154" s="825"/>
      <c r="V154" s="826"/>
    </row>
    <row r="155" spans="1:32" ht="15" customHeight="1">
      <c r="A155" s="1435"/>
      <c r="B155" s="827">
        <f>B154</f>
        <v>0</v>
      </c>
      <c r="C155" s="828" t="s">
        <v>768</v>
      </c>
      <c r="D155" s="829" t="str">
        <f>IF(AC155=130, "130 × 130", IF(AC155=160, "160 × 160", IF(AC155=110, "110 × 110", "Value not 130, 160, or 110")))</f>
        <v>Value not 130, 160, or 110</v>
      </c>
      <c r="E155" s="830">
        <f>AD155</f>
        <v>0</v>
      </c>
      <c r="F155" s="831">
        <f ca="1">IF(X155 &gt; 0.1, RAND() * (0.1 - 0.06) + 0.06, X155)</f>
        <v>0</v>
      </c>
      <c r="G155" s="831">
        <f ca="1">IF(Y155 &lt; 0.5, 0.5 + RAND() * 0.1, Y155)</f>
        <v>0.54458432433756021</v>
      </c>
      <c r="H155" s="830">
        <f ca="1">IF(AB155&gt;0.04, 0.029 + (0.039-0.029)*RAND(), AB155)</f>
        <v>0</v>
      </c>
      <c r="I155" s="830">
        <f ca="1">IF(AA155&gt;0.04, 0.029 + (0.039-0.029)*RAND(), AA155)</f>
        <v>0</v>
      </c>
      <c r="J155" s="831">
        <f ca="1">IF(Z155&gt;0.15, 0.11 + (0.15-0.11) * RAND(), Z155)</f>
        <v>0</v>
      </c>
      <c r="K155" s="830">
        <f ca="1">0.004 + (RAND() * (0.001 - 0.004))</f>
        <v>3.7605317837708279E-3</v>
      </c>
      <c r="L155" s="830">
        <f ca="1">H155+I155</f>
        <v>0</v>
      </c>
      <c r="M155" s="831">
        <f ca="1">(G155/6)+F155</f>
        <v>9.0764054056260035E-2</v>
      </c>
      <c r="N155" s="831">
        <f ca="1">2 + RAND()</f>
        <v>2.9255208071653169</v>
      </c>
      <c r="O155" s="831">
        <f ca="1">1 + RAND()</f>
        <v>1.5373005926789653</v>
      </c>
      <c r="P155" s="831">
        <f ca="1">2.98 + (RAND() * (3.03 - 2.98))</f>
        <v>2.9922340111811829</v>
      </c>
      <c r="Q155" s="832" t="str">
        <f ca="1">IF(D155="130 × 130", (130 + RANDBETWEEN(-1,1)) &amp; " × " &amp; (130 + RANDBETWEEN(-1,1)),
   IF(D155="160 × 160", (160 + RANDBETWEEN(-1,1)) &amp; " × " &amp; (160 + RANDBETWEEN(-1,1)),
   IF(D155="110 × 110", (110 + RANDBETWEEN(-1,1)) &amp; " × " &amp; (110 + RANDBETWEEN(-1,1)),
   "Value not matched")))</f>
        <v>Value not matched</v>
      </c>
      <c r="R155" s="833" t="s">
        <v>213</v>
      </c>
      <c r="S155" s="834" t="str">
        <f ca="1">IF(G155&lt;0.6, "IS 14650 CPS 10748/GR2", "IS 14650 CPS 10748/GR3")</f>
        <v>IS 14650 CPS 10748/GR2</v>
      </c>
      <c r="T155" s="831" t="s">
        <v>769</v>
      </c>
      <c r="U155" s="825"/>
      <c r="V155" s="826"/>
      <c r="W155" s="206">
        <f>Prod.!B86</f>
        <v>0</v>
      </c>
      <c r="X155" s="469">
        <f>Prod.!C86</f>
        <v>0</v>
      </c>
      <c r="Y155" s="469">
        <f>Prod.!D86</f>
        <v>0</v>
      </c>
      <c r="Z155" s="469">
        <f>Prod.!E86</f>
        <v>0</v>
      </c>
      <c r="AA155" s="282">
        <f>Prod.!F86</f>
        <v>0</v>
      </c>
      <c r="AB155" s="282">
        <f>Prod.!G86</f>
        <v>0</v>
      </c>
      <c r="AC155" s="836">
        <f>Prod.!H86</f>
        <v>0</v>
      </c>
      <c r="AD155" s="282">
        <f>Prod.!AB86</f>
        <v>0</v>
      </c>
      <c r="AE155" s="282">
        <f>AD155-AF155</f>
        <v>0</v>
      </c>
      <c r="AF155" s="282">
        <f>Prod.!AA86</f>
        <v>0</v>
      </c>
    </row>
    <row r="156" spans="1:32" ht="15" customHeight="1">
      <c r="A156" s="1435">
        <v>12</v>
      </c>
      <c r="B156" s="818">
        <f>W157</f>
        <v>0</v>
      </c>
      <c r="C156" s="819" t="s">
        <v>765</v>
      </c>
      <c r="D156" s="822"/>
      <c r="E156" s="822"/>
      <c r="F156" s="821">
        <f ca="1">F157 + (RAND() * 0.02 - 0.01)</f>
        <v>-9.5926098831665158E-3</v>
      </c>
      <c r="G156" s="821">
        <f ca="1">G157 + (RAND() * 0.06 - 0.03)</f>
        <v>0.54044120840349674</v>
      </c>
      <c r="H156" s="822">
        <f ca="1">H157 + (RAND() * 0.006 - 0.003)</f>
        <v>1.7968639067289906E-3</v>
      </c>
      <c r="I156" s="822">
        <f ca="1">I157 + (RAND() * 0.006 - 0.003)</f>
        <v>-1.9507212865075337E-4</v>
      </c>
      <c r="J156" s="821">
        <f ca="1">J157 + (RAND() * 0.02 - 0.01)</f>
        <v>-3.7856586827853247E-3</v>
      </c>
      <c r="K156" s="821"/>
      <c r="L156" s="822"/>
      <c r="M156" s="821"/>
      <c r="N156" s="823"/>
      <c r="O156" s="823"/>
      <c r="P156" s="823"/>
      <c r="Q156" s="823"/>
      <c r="R156" s="839"/>
      <c r="S156" s="821"/>
      <c r="T156" s="821"/>
      <c r="U156" s="825"/>
      <c r="V156" s="826"/>
    </row>
    <row r="157" spans="1:32" ht="15" customHeight="1">
      <c r="A157" s="1435"/>
      <c r="B157" s="827">
        <f>B156</f>
        <v>0</v>
      </c>
      <c r="C157" s="828" t="s">
        <v>768</v>
      </c>
      <c r="D157" s="829" t="str">
        <f>IF(AC157=130, "130 × 130", IF(AC157=160, "160 × 160", IF(AC157=110, "110 × 110", "Value not 130, 160, or 110")))</f>
        <v>Value not 130, 160, or 110</v>
      </c>
      <c r="E157" s="830">
        <f>AD157</f>
        <v>0</v>
      </c>
      <c r="F157" s="831">
        <f ca="1">IF(X157 &gt; 0.1, RAND() * (0.1 - 0.06) + 0.06, X157)</f>
        <v>0</v>
      </c>
      <c r="G157" s="831">
        <f ca="1">IF(Y157 &lt; 0.5, 0.5 + RAND() * 0.1, Y157)</f>
        <v>0.55694268673408176</v>
      </c>
      <c r="H157" s="830">
        <f ca="1">IF(AB157&gt;0.04, 0.029 + (0.039-0.029)*RAND(), AB157)</f>
        <v>0</v>
      </c>
      <c r="I157" s="830">
        <f ca="1">IF(AA157&gt;0.04, 0.029 + (0.039-0.029)*RAND(), AA157)</f>
        <v>0</v>
      </c>
      <c r="J157" s="831">
        <f ca="1">IF(Z157&gt;0.15, 0.11 + (0.15-0.11) * RAND(), Z157)</f>
        <v>0</v>
      </c>
      <c r="K157" s="830">
        <f ca="1">0.004 + (RAND() * (0.001 - 0.004))</f>
        <v>3.4470552971259563E-3</v>
      </c>
      <c r="L157" s="830">
        <f ca="1">H157+I157</f>
        <v>0</v>
      </c>
      <c r="M157" s="831">
        <f ca="1">(G157/6)+F157</f>
        <v>9.282378112234696E-2</v>
      </c>
      <c r="N157" s="831">
        <f ca="1">2 + RAND()</f>
        <v>2.9838685766473523</v>
      </c>
      <c r="O157" s="831">
        <f ca="1">1 + RAND()</f>
        <v>1.6690292071692188</v>
      </c>
      <c r="P157" s="831">
        <f ca="1">2.98 + (RAND() * (3.03 - 2.98))</f>
        <v>3.0143027172727042</v>
      </c>
      <c r="Q157" s="832" t="str">
        <f ca="1">IF(D157="130 × 130", (130 + RANDBETWEEN(-1,1)) &amp; " × " &amp; (130 + RANDBETWEEN(-1,1)),
   IF(D157="160 × 160", (160 + RANDBETWEEN(-1,1)) &amp; " × " &amp; (160 + RANDBETWEEN(-1,1)),
   IF(D157="110 × 110", (110 + RANDBETWEEN(-1,1)) &amp; " × " &amp; (110 + RANDBETWEEN(-1,1)),
   "Value not matched")))</f>
        <v>Value not matched</v>
      </c>
      <c r="R157" s="833" t="s">
        <v>213</v>
      </c>
      <c r="S157" s="834" t="str">
        <f ca="1">IF(G157&lt;0.6, "IS 14650 CPS 10748/GR2", "IS 14650 CPS 10748/GR3")</f>
        <v>IS 14650 CPS 10748/GR2</v>
      </c>
      <c r="T157" s="831" t="s">
        <v>769</v>
      </c>
      <c r="U157" s="825"/>
      <c r="V157" s="826"/>
      <c r="W157" s="206">
        <f>Prod.!B87</f>
        <v>0</v>
      </c>
      <c r="X157" s="469">
        <f>Prod.!C87</f>
        <v>0</v>
      </c>
      <c r="Y157" s="469">
        <f>Prod.!D87</f>
        <v>0</v>
      </c>
      <c r="Z157" s="469">
        <f>Prod.!E87</f>
        <v>0</v>
      </c>
      <c r="AA157" s="282">
        <f>Prod.!F87</f>
        <v>0</v>
      </c>
      <c r="AB157" s="282">
        <f>Prod.!G87</f>
        <v>0</v>
      </c>
      <c r="AC157" s="836">
        <f>Prod.!H87</f>
        <v>0</v>
      </c>
      <c r="AD157" s="282">
        <f>Prod.!AB87</f>
        <v>0</v>
      </c>
      <c r="AE157" s="282">
        <f>AD157-AF157</f>
        <v>0</v>
      </c>
      <c r="AF157" s="282">
        <f>Prod.!AA87</f>
        <v>0</v>
      </c>
    </row>
    <row r="158" spans="1:32" ht="15" customHeight="1">
      <c r="A158" s="1435"/>
      <c r="B158" s="818"/>
      <c r="C158" s="819"/>
      <c r="D158" s="822"/>
      <c r="E158" s="822"/>
      <c r="F158" s="821"/>
      <c r="G158" s="821"/>
      <c r="H158" s="840"/>
      <c r="I158" s="840"/>
      <c r="J158" s="821"/>
      <c r="K158" s="821"/>
      <c r="L158" s="822"/>
      <c r="M158" s="838"/>
      <c r="N158" s="821"/>
      <c r="O158" s="821"/>
      <c r="P158" s="821"/>
      <c r="Q158" s="821"/>
      <c r="R158" s="839"/>
      <c r="S158" s="841"/>
      <c r="T158" s="821"/>
      <c r="U158" s="825"/>
      <c r="V158" s="826"/>
    </row>
    <row r="159" spans="1:32" ht="15" customHeight="1">
      <c r="A159" s="1435"/>
      <c r="B159" s="827"/>
      <c r="C159" s="828"/>
      <c r="D159" s="842"/>
      <c r="E159" s="830"/>
      <c r="F159" s="831"/>
      <c r="G159" s="831"/>
      <c r="H159" s="843"/>
      <c r="I159" s="843"/>
      <c r="J159" s="831"/>
      <c r="K159" s="831"/>
      <c r="L159" s="830"/>
      <c r="M159" s="831"/>
      <c r="N159" s="831"/>
      <c r="O159" s="831"/>
      <c r="P159" s="831"/>
      <c r="Q159" s="831"/>
      <c r="R159" s="833"/>
      <c r="S159" s="834"/>
      <c r="T159" s="831"/>
      <c r="U159" s="825"/>
      <c r="V159" s="826"/>
    </row>
    <row r="160" spans="1:32" ht="15" customHeight="1">
      <c r="A160" s="180"/>
      <c r="B160" s="180"/>
      <c r="C160" s="180" t="s">
        <v>770</v>
      </c>
      <c r="D160" s="395"/>
      <c r="E160" s="844">
        <f>SUM(E134:E157)</f>
        <v>0</v>
      </c>
      <c r="F160" s="180"/>
      <c r="G160" s="180"/>
      <c r="H160" s="844"/>
      <c r="I160" s="180"/>
      <c r="J160" s="845"/>
      <c r="K160" s="845"/>
      <c r="L160" s="180"/>
      <c r="M160" s="845"/>
      <c r="N160" s="180"/>
      <c r="O160" s="180"/>
      <c r="P160" s="180"/>
      <c r="Q160" s="180"/>
      <c r="R160" s="263"/>
      <c r="S160" s="180"/>
      <c r="T160" s="180"/>
    </row>
    <row r="161" spans="1:32" ht="28.5" customHeight="1">
      <c r="A161" s="1436" t="s">
        <v>746</v>
      </c>
      <c r="B161" s="1436"/>
      <c r="C161" s="1436"/>
      <c r="D161" s="1436"/>
      <c r="E161" s="1436"/>
      <c r="F161" s="1436"/>
      <c r="G161" s="1436"/>
      <c r="H161" s="1436"/>
      <c r="I161" s="1436"/>
      <c r="J161" s="1436"/>
      <c r="K161" s="1436"/>
      <c r="L161" s="1436"/>
      <c r="M161" s="1436"/>
      <c r="N161" s="1436"/>
      <c r="O161" s="1436"/>
      <c r="P161" s="1436"/>
      <c r="Q161" s="1436"/>
      <c r="R161" s="1436"/>
      <c r="S161" s="1436"/>
      <c r="T161" s="1436"/>
      <c r="U161" s="515"/>
      <c r="V161" s="846"/>
    </row>
    <row r="162" spans="1:32" ht="15" customHeight="1">
      <c r="A162" s="1437" t="s">
        <v>747</v>
      </c>
      <c r="B162" s="1437"/>
      <c r="C162" s="1437"/>
      <c r="D162" s="1437"/>
      <c r="E162" s="1437"/>
      <c r="F162" s="1437"/>
      <c r="G162" s="1437"/>
      <c r="H162" s="1437"/>
      <c r="I162" s="1437"/>
      <c r="J162" s="1437"/>
      <c r="K162" s="1437"/>
      <c r="L162" s="1437"/>
      <c r="M162" s="1437"/>
      <c r="N162" s="1437"/>
      <c r="O162" s="1437"/>
      <c r="P162" s="1437"/>
      <c r="Q162" s="1437"/>
      <c r="R162" s="1437"/>
      <c r="S162" s="1437"/>
      <c r="T162" s="1437"/>
      <c r="U162" s="806"/>
      <c r="V162" s="807"/>
    </row>
    <row r="163" spans="1:32" ht="15" customHeight="1">
      <c r="A163" s="1438" t="str">
        <f>"DATE OF MANUFACTURING : " &amp; TEXT(V167, "DD-MM-YYYY")</f>
        <v>DATE OF MANUFACTURING : 00-01-1900</v>
      </c>
      <c r="B163" s="1438"/>
      <c r="C163" s="1438"/>
      <c r="D163" s="1438"/>
      <c r="E163" s="1438"/>
      <c r="F163" s="1438"/>
      <c r="G163" s="1438"/>
      <c r="H163" s="1438"/>
      <c r="I163" s="1438"/>
      <c r="J163" s="1438"/>
      <c r="K163" s="1438"/>
      <c r="L163" s="1438"/>
      <c r="M163" s="1438"/>
      <c r="N163" s="1437" t="s">
        <v>748</v>
      </c>
      <c r="O163" s="1437"/>
      <c r="P163" s="1437"/>
      <c r="Q163" s="1437"/>
      <c r="R163" s="1437"/>
      <c r="S163" s="1437"/>
      <c r="T163" s="1437"/>
      <c r="U163" s="808"/>
      <c r="V163" s="809"/>
    </row>
    <row r="164" spans="1:32" ht="29.25" customHeight="1">
      <c r="A164" s="1439" t="s">
        <v>749</v>
      </c>
      <c r="B164" s="1440" t="s">
        <v>750</v>
      </c>
      <c r="C164" s="1440"/>
      <c r="D164" s="1440" t="s">
        <v>751</v>
      </c>
      <c r="E164" s="1441" t="s">
        <v>752</v>
      </c>
      <c r="F164" s="1442" t="s">
        <v>753</v>
      </c>
      <c r="G164" s="1442"/>
      <c r="H164" s="1442"/>
      <c r="I164" s="1442"/>
      <c r="J164" s="1442"/>
      <c r="K164" s="1442"/>
      <c r="L164" s="1442"/>
      <c r="M164" s="1442"/>
      <c r="N164" s="1442" t="s">
        <v>754</v>
      </c>
      <c r="O164" s="1442"/>
      <c r="P164" s="1442"/>
      <c r="Q164" s="1442"/>
      <c r="R164" s="1443" t="s">
        <v>771</v>
      </c>
      <c r="S164" s="1441" t="s">
        <v>756</v>
      </c>
      <c r="T164" s="1440" t="s">
        <v>104</v>
      </c>
      <c r="U164" s="810"/>
      <c r="V164" s="811"/>
    </row>
    <row r="165" spans="1:32" ht="42.75" customHeight="1">
      <c r="A165" s="1439"/>
      <c r="B165" s="1440"/>
      <c r="C165" s="1440"/>
      <c r="D165" s="1440"/>
      <c r="E165" s="1440"/>
      <c r="F165" s="812" t="s">
        <v>40</v>
      </c>
      <c r="G165" s="812" t="s">
        <v>757</v>
      </c>
      <c r="H165" s="813" t="s">
        <v>758</v>
      </c>
      <c r="I165" s="812" t="s">
        <v>43</v>
      </c>
      <c r="J165" s="812" t="s">
        <v>42</v>
      </c>
      <c r="K165" s="812" t="s">
        <v>759</v>
      </c>
      <c r="L165" s="812" t="s">
        <v>760</v>
      </c>
      <c r="M165" s="812" t="s">
        <v>761</v>
      </c>
      <c r="N165" s="814" t="s">
        <v>762</v>
      </c>
      <c r="O165" s="815" t="s">
        <v>772</v>
      </c>
      <c r="P165" s="816" t="s">
        <v>773</v>
      </c>
      <c r="Q165" s="817" t="s">
        <v>764</v>
      </c>
      <c r="R165" s="1443"/>
      <c r="S165" s="1443"/>
      <c r="T165" s="1443"/>
      <c r="U165" s="810"/>
      <c r="V165" s="811"/>
    </row>
    <row r="166" spans="1:32" ht="15" customHeight="1">
      <c r="A166" s="1435">
        <v>1</v>
      </c>
      <c r="B166" s="818">
        <f>W167</f>
        <v>0</v>
      </c>
      <c r="C166" s="819" t="s">
        <v>765</v>
      </c>
      <c r="D166" s="820"/>
      <c r="E166" s="821"/>
      <c r="F166" s="821">
        <f ca="1">F167 + (RAND() * 0.02 - 0.01)</f>
        <v>1.0636945341446526E-3</v>
      </c>
      <c r="G166" s="821">
        <f ca="1">G167 + (RAND() * 0.06 - 0.03)</f>
        <v>0.61109143203109562</v>
      </c>
      <c r="H166" s="822">
        <f ca="1">H167 + (RAND() * 0.006 - 0.003)</f>
        <v>2.499491910084692E-3</v>
      </c>
      <c r="I166" s="822">
        <f ca="1">I167 + (RAND() * 0.006 - 0.003)</f>
        <v>1.297380047282061E-3</v>
      </c>
      <c r="J166" s="821">
        <f ca="1">J167 + (RAND() * 0.02 - 0.01)</f>
        <v>-7.1159836708911683E-4</v>
      </c>
      <c r="K166" s="821"/>
      <c r="L166" s="822"/>
      <c r="M166" s="821"/>
      <c r="N166" s="823"/>
      <c r="O166" s="823"/>
      <c r="P166" s="823"/>
      <c r="Q166" s="823"/>
      <c r="R166" s="824"/>
      <c r="S166" s="821"/>
      <c r="T166" s="821"/>
      <c r="U166" s="825"/>
      <c r="V166" s="826"/>
      <c r="AE166" t="s">
        <v>767</v>
      </c>
    </row>
    <row r="167" spans="1:32" ht="15" customHeight="1">
      <c r="A167" s="1435"/>
      <c r="B167" s="827">
        <f>B166</f>
        <v>0</v>
      </c>
      <c r="C167" s="828" t="s">
        <v>768</v>
      </c>
      <c r="D167" s="829" t="str">
        <f>IF(AC167=130, "130 × 130", IF(AC167=160, "160 × 160", IF(AC167=110, "110 × 110", "Value not 130, 160, or 110")))</f>
        <v>Value not 130, 160, or 110</v>
      </c>
      <c r="E167" s="830">
        <f>AD167</f>
        <v>0</v>
      </c>
      <c r="F167" s="831">
        <f ca="1">IF(X167 &gt; 0.1, RAND() * (0.1 - 0.06) + 0.06, X167)</f>
        <v>0</v>
      </c>
      <c r="G167" s="831">
        <f ca="1">IF(Y167 &lt; 0.5, 0.5 + RAND() * 0.1, Y167)</f>
        <v>0.58886540590711767</v>
      </c>
      <c r="H167" s="830">
        <f ca="1">IF(AB167&gt;0.04, 0.029 + (0.039-0.029)*RAND(), AB167)</f>
        <v>0</v>
      </c>
      <c r="I167" s="830">
        <f ca="1">IF(AA167&gt;0.04, 0.029 + (0.039-0.029)*RAND(), AA167)</f>
        <v>0</v>
      </c>
      <c r="J167" s="831">
        <f ca="1">IF(Z167&gt;0.15, 0.11 + (0.15-0.11) * RAND(), Z167)</f>
        <v>0</v>
      </c>
      <c r="K167" s="830">
        <f ca="1">0.004 + (RAND() * (0.001 - 0.004))</f>
        <v>3.7531319100653072E-3</v>
      </c>
      <c r="L167" s="830">
        <f ca="1">H167+I167</f>
        <v>0</v>
      </c>
      <c r="M167" s="831">
        <f ca="1">(G167/6)+F167</f>
        <v>9.8144234317852949E-2</v>
      </c>
      <c r="N167" s="831">
        <f ca="1">2 + RAND()</f>
        <v>2.0826292776412259</v>
      </c>
      <c r="O167" s="831">
        <f ca="1">1 + RAND()</f>
        <v>1.5439980975615217</v>
      </c>
      <c r="P167" s="831">
        <f ca="1">2.98 + (RAND() * (3.03 - 2.98))</f>
        <v>3.0195433766092776</v>
      </c>
      <c r="Q167" s="832" t="str">
        <f ca="1">IF(D167="130 × 130", (130 + RANDBETWEEN(-1,1)) &amp; " × " &amp; (130 + RANDBETWEEN(-1,1)),
   IF(D167="160 × 160", (160 + RANDBETWEEN(-1,1)) &amp; " × " &amp; (160 + RANDBETWEEN(-1,1)),
   IF(D167="110 × 110", (110 + RANDBETWEEN(-1,1)) &amp; " × " &amp; (110 + RANDBETWEEN(-1,1)),
   "Value not matched")))</f>
        <v>Value not matched</v>
      </c>
      <c r="R167" s="833" t="s">
        <v>213</v>
      </c>
      <c r="S167" s="834" t="str">
        <f ca="1">IF(G167&lt;0.6, "IS 14650 CPS 10748/GR2", "IS 14650 CPS 10748/GR3")</f>
        <v>IS 14650 CPS 10748/GR2</v>
      </c>
      <c r="T167" s="831" t="s">
        <v>769</v>
      </c>
      <c r="U167" s="825"/>
      <c r="V167" s="835">
        <f>Prod.!A94</f>
        <v>0</v>
      </c>
      <c r="W167" s="206">
        <f>Prod.!B94</f>
        <v>0</v>
      </c>
      <c r="X167" s="469">
        <f>Prod.!C94</f>
        <v>0</v>
      </c>
      <c r="Y167" s="469">
        <f>Prod.!D94</f>
        <v>0</v>
      </c>
      <c r="Z167" s="469">
        <f>Prod.!E94</f>
        <v>0</v>
      </c>
      <c r="AA167" s="282">
        <f>Prod.!F94</f>
        <v>0</v>
      </c>
      <c r="AB167" s="282">
        <f>Prod.!G94</f>
        <v>0</v>
      </c>
      <c r="AC167" s="836">
        <f>Prod.!H94</f>
        <v>0</v>
      </c>
      <c r="AD167" s="282">
        <f>Prod.!AB94</f>
        <v>0</v>
      </c>
      <c r="AE167" s="282">
        <f>AD167-AF167</f>
        <v>0</v>
      </c>
      <c r="AF167" s="282">
        <f>Prod.!AA94</f>
        <v>0</v>
      </c>
    </row>
    <row r="168" spans="1:32" ht="15" customHeight="1">
      <c r="A168" s="1435">
        <v>2</v>
      </c>
      <c r="B168" s="818">
        <f>W169</f>
        <v>0</v>
      </c>
      <c r="C168" s="819" t="s">
        <v>765</v>
      </c>
      <c r="D168" s="822"/>
      <c r="E168" s="822"/>
      <c r="F168" s="821">
        <f ca="1">F169 + (RAND() * 0.02 - 0.01)</f>
        <v>-9.8376278312984743E-3</v>
      </c>
      <c r="G168" s="821">
        <f ca="1">G169 + (RAND() * 0.06 - 0.03)</f>
        <v>0.5085654771637721</v>
      </c>
      <c r="H168" s="822">
        <f ca="1">H169 + (RAND() * 0.006 - 0.003)</f>
        <v>1.0421465691798594E-3</v>
      </c>
      <c r="I168" s="822">
        <f ca="1">I169 + (RAND() * 0.006 - 0.003)</f>
        <v>-2.9666760023773788E-3</v>
      </c>
      <c r="J168" s="821">
        <f ca="1">J169 + (RAND() * 0.02 - 0.01)</f>
        <v>-4.2603131391613829E-3</v>
      </c>
      <c r="K168" s="821"/>
      <c r="L168" s="822"/>
      <c r="M168" s="821"/>
      <c r="N168" s="823"/>
      <c r="O168" s="823"/>
      <c r="P168" s="823"/>
      <c r="Q168" s="823"/>
      <c r="R168" s="837"/>
      <c r="S168" s="821"/>
      <c r="T168" s="838"/>
      <c r="U168" s="825"/>
      <c r="V168" s="826"/>
    </row>
    <row r="169" spans="1:32" ht="15" customHeight="1">
      <c r="A169" s="1435"/>
      <c r="B169" s="827">
        <f>B168</f>
        <v>0</v>
      </c>
      <c r="C169" s="828" t="s">
        <v>768</v>
      </c>
      <c r="D169" s="829" t="str">
        <f>IF(AC169=130, "130 × 130", IF(AC169=160, "160 × 160", IF(AC169=110, "110 × 110", "Value not 130, 160, or 110")))</f>
        <v>Value not 130, 160, or 110</v>
      </c>
      <c r="E169" s="830">
        <f>AD169</f>
        <v>0</v>
      </c>
      <c r="F169" s="831">
        <f ca="1">IF(X169 &gt; 0.1, RAND() * (0.1 - 0.06) + 0.06, X169)</f>
        <v>0</v>
      </c>
      <c r="G169" s="831">
        <f ca="1">IF(Y169 &lt; 0.5, 0.5 + RAND() * 0.1, Y169)</f>
        <v>0.52710189584512157</v>
      </c>
      <c r="H169" s="830">
        <f ca="1">IF(AB169&gt;0.04, 0.029 + (0.039-0.029)*RAND(), AB169)</f>
        <v>0</v>
      </c>
      <c r="I169" s="830">
        <f ca="1">IF(AA169&gt;0.04, 0.029 + (0.039-0.029)*RAND(), AA169)</f>
        <v>0</v>
      </c>
      <c r="J169" s="831">
        <f ca="1">IF(Z169&gt;0.15, 0.11 + (0.15-0.11) * RAND(), Z169)</f>
        <v>0</v>
      </c>
      <c r="K169" s="830">
        <f ca="1">0.004 + (RAND() * (0.001 - 0.004))</f>
        <v>2.3753842123569371E-3</v>
      </c>
      <c r="L169" s="830">
        <f ca="1">H169+I169</f>
        <v>0</v>
      </c>
      <c r="M169" s="831">
        <f ca="1">(G169/6)+F169</f>
        <v>8.7850315974186924E-2</v>
      </c>
      <c r="N169" s="831">
        <f ca="1">2 + RAND()</f>
        <v>2.0598393831114521</v>
      </c>
      <c r="O169" s="831">
        <f ca="1">1 + RAND()</f>
        <v>1.9833264248845257</v>
      </c>
      <c r="P169" s="831">
        <f ca="1">2.98 + (RAND() * (3.03 - 2.98))</f>
        <v>2.9996075205546866</v>
      </c>
      <c r="Q169" s="832" t="str">
        <f ca="1">IF(D169="130 × 130", (130 + RANDBETWEEN(-1,1)) &amp; " × " &amp; (130 + RANDBETWEEN(-1,1)),
   IF(D169="160 × 160", (160 + RANDBETWEEN(-1,1)) &amp; " × " &amp; (160 + RANDBETWEEN(-1,1)),
   IF(D169="110 × 110", (110 + RANDBETWEEN(-1,1)) &amp; " × " &amp; (110 + RANDBETWEEN(-1,1)),
   "Value not matched")))</f>
        <v>Value not matched</v>
      </c>
      <c r="R169" s="833" t="s">
        <v>213</v>
      </c>
      <c r="S169" s="834" t="str">
        <f ca="1">IF(G169&lt;0.6, "IS 14650 CPS 10748/GR2", "IS 14650 CPS 10748/GR3")</f>
        <v>IS 14650 CPS 10748/GR2</v>
      </c>
      <c r="T169" s="831" t="s">
        <v>769</v>
      </c>
      <c r="U169" s="825"/>
      <c r="V169" s="826"/>
      <c r="W169" s="206">
        <f>Prod.!B95</f>
        <v>0</v>
      </c>
      <c r="X169" s="469">
        <f>Prod.!C95</f>
        <v>0</v>
      </c>
      <c r="Y169" s="469">
        <f>Prod.!D95</f>
        <v>0</v>
      </c>
      <c r="Z169" s="469">
        <f>Prod.!E95</f>
        <v>0</v>
      </c>
      <c r="AA169" s="282">
        <f>Prod.!F95</f>
        <v>0</v>
      </c>
      <c r="AB169" s="282">
        <f>Prod.!G95</f>
        <v>0</v>
      </c>
      <c r="AC169" s="836">
        <f>Prod.!H95</f>
        <v>0</v>
      </c>
      <c r="AD169" s="282">
        <f>Prod.!AB95</f>
        <v>0</v>
      </c>
      <c r="AE169" s="282">
        <f>AD169-AF169</f>
        <v>0</v>
      </c>
      <c r="AF169" s="282">
        <f>Prod.!AA95</f>
        <v>0</v>
      </c>
    </row>
    <row r="170" spans="1:32" ht="15" customHeight="1">
      <c r="A170" s="1435">
        <v>3</v>
      </c>
      <c r="B170" s="818">
        <f>W171</f>
        <v>0</v>
      </c>
      <c r="C170" s="819" t="s">
        <v>765</v>
      </c>
      <c r="D170" s="822"/>
      <c r="E170" s="822"/>
      <c r="F170" s="821">
        <f ca="1">F171 + (RAND() * 0.02 - 0.01)</f>
        <v>-1.3657041076889191E-4</v>
      </c>
      <c r="G170" s="821">
        <f ca="1">G171 + (RAND() * 0.06 - 0.03)</f>
        <v>0.55851730575309233</v>
      </c>
      <c r="H170" s="822">
        <f ca="1">H171 + (RAND() * 0.006 - 0.003)</f>
        <v>-1.490840517873887E-3</v>
      </c>
      <c r="I170" s="822">
        <f ca="1">I171 + (RAND() * 0.006 - 0.003)</f>
        <v>1.9233511358751803E-3</v>
      </c>
      <c r="J170" s="821">
        <f ca="1">J171 + (RAND() * 0.02 - 0.01)</f>
        <v>-3.6631448243062839E-3</v>
      </c>
      <c r="K170" s="821"/>
      <c r="L170" s="822"/>
      <c r="M170" s="821"/>
      <c r="N170" s="823"/>
      <c r="O170" s="823"/>
      <c r="P170" s="823"/>
      <c r="Q170" s="823"/>
      <c r="R170" s="839"/>
      <c r="S170" s="821"/>
      <c r="T170" s="821"/>
      <c r="U170" s="825"/>
      <c r="V170" s="826"/>
    </row>
    <row r="171" spans="1:32" ht="15" customHeight="1">
      <c r="A171" s="1435"/>
      <c r="B171" s="827">
        <f>B170</f>
        <v>0</v>
      </c>
      <c r="C171" s="828" t="s">
        <v>768</v>
      </c>
      <c r="D171" s="829" t="str">
        <f>IF(AC171=130, "130 × 130", IF(AC171=160, "160 × 160", IF(AC171=110, "110 × 110", "Value not 130, 160, or 110")))</f>
        <v>Value not 130, 160, or 110</v>
      </c>
      <c r="E171" s="830">
        <f>AD171</f>
        <v>0</v>
      </c>
      <c r="F171" s="831">
        <f ca="1">IF(X171 &gt; 0.1, RAND() * (0.1 - 0.06) + 0.06, X171)</f>
        <v>0</v>
      </c>
      <c r="G171" s="831">
        <f ca="1">IF(Y171 &lt; 0.5, 0.5 + RAND() * 0.1, Y171)</f>
        <v>0.55214259092560736</v>
      </c>
      <c r="H171" s="830">
        <f ca="1">IF(AB171&gt;0.04, 0.029 + (0.039-0.029)*RAND(), AB171)</f>
        <v>0</v>
      </c>
      <c r="I171" s="830">
        <f ca="1">IF(AA171&gt;0.04, 0.029 + (0.039-0.029)*RAND(), AA171)</f>
        <v>0</v>
      </c>
      <c r="J171" s="831">
        <f ca="1">IF(Z171&gt;0.15, 0.11 + (0.15-0.11) * RAND(), Z171)</f>
        <v>0</v>
      </c>
      <c r="K171" s="830">
        <f ca="1">0.004 + (RAND() * (0.001 - 0.004))</f>
        <v>2.6634625857476137E-3</v>
      </c>
      <c r="L171" s="830">
        <f ca="1">H171+I171</f>
        <v>0</v>
      </c>
      <c r="M171" s="831">
        <f ca="1">(G171/6)+F171</f>
        <v>9.2023765154267897E-2</v>
      </c>
      <c r="N171" s="831">
        <f ca="1">2 + RAND()</f>
        <v>2.5429418860815534</v>
      </c>
      <c r="O171" s="831">
        <f ca="1">1 + RAND()</f>
        <v>1.4824199961658477</v>
      </c>
      <c r="P171" s="831">
        <f ca="1">2.98 + (RAND() * (3.03 - 2.98))</f>
        <v>3.022873005200732</v>
      </c>
      <c r="Q171" s="832" t="str">
        <f ca="1">IF(D171="130 × 130", (130 + RANDBETWEEN(-1,1)) &amp; " × " &amp; (130 + RANDBETWEEN(-1,1)),
   IF(D171="160 × 160", (160 + RANDBETWEEN(-1,1)) &amp; " × " &amp; (160 + RANDBETWEEN(-1,1)),
   IF(D171="110 × 110", (110 + RANDBETWEEN(-1,1)) &amp; " × " &amp; (110 + RANDBETWEEN(-1,1)),
   "Value not matched")))</f>
        <v>Value not matched</v>
      </c>
      <c r="R171" s="833" t="s">
        <v>213</v>
      </c>
      <c r="S171" s="834" t="str">
        <f ca="1">IF(G171&lt;0.6, "IS 14650 CPS 10748/GR2", "IS 14650 CPS 10748/GR3")</f>
        <v>IS 14650 CPS 10748/GR2</v>
      </c>
      <c r="T171" s="831" t="s">
        <v>769</v>
      </c>
      <c r="U171" s="825"/>
      <c r="V171" s="826"/>
      <c r="W171" s="206">
        <f>Prod.!B96</f>
        <v>0</v>
      </c>
      <c r="X171" s="469">
        <f>Prod.!C96</f>
        <v>0</v>
      </c>
      <c r="Y171" s="469">
        <f>Prod.!D96</f>
        <v>0</v>
      </c>
      <c r="Z171" s="469">
        <f>Prod.!E96</f>
        <v>0</v>
      </c>
      <c r="AA171" s="282">
        <f>Prod.!F96</f>
        <v>0</v>
      </c>
      <c r="AB171" s="282">
        <f>Prod.!G96</f>
        <v>0</v>
      </c>
      <c r="AC171" s="836">
        <f>Prod.!H96</f>
        <v>0</v>
      </c>
      <c r="AD171" s="282">
        <f>Prod.!AB96</f>
        <v>0</v>
      </c>
      <c r="AE171" s="282">
        <f>AD171-AF171</f>
        <v>0</v>
      </c>
      <c r="AF171" s="282">
        <f>Prod.!AA96</f>
        <v>0</v>
      </c>
    </row>
    <row r="172" spans="1:32" ht="15" customHeight="1">
      <c r="A172" s="1435">
        <v>4</v>
      </c>
      <c r="B172" s="818">
        <f>W173</f>
        <v>0</v>
      </c>
      <c r="C172" s="819" t="s">
        <v>765</v>
      </c>
      <c r="D172" s="822"/>
      <c r="E172" s="822"/>
      <c r="F172" s="821">
        <f ca="1">F173 + (RAND() * 0.02 - 0.01)</f>
        <v>-2.0088384042725709E-3</v>
      </c>
      <c r="G172" s="821">
        <f ca="1">G173 + (RAND() * 0.06 - 0.03)</f>
        <v>0.55718443033288334</v>
      </c>
      <c r="H172" s="822">
        <f ca="1">H173 + (RAND() * 0.006 - 0.003)</f>
        <v>1.3677953132404498E-3</v>
      </c>
      <c r="I172" s="822">
        <f ca="1">I173 + (RAND() * 0.006 - 0.003)</f>
        <v>-6.5339726241825944E-4</v>
      </c>
      <c r="J172" s="821">
        <f ca="1">J173 + (RAND() * 0.02 - 0.01)</f>
        <v>8.1780723051610802E-3</v>
      </c>
      <c r="K172" s="821"/>
      <c r="L172" s="822"/>
      <c r="M172" s="821"/>
      <c r="N172" s="823"/>
      <c r="O172" s="823"/>
      <c r="P172" s="823"/>
      <c r="Q172" s="823"/>
      <c r="R172" s="839"/>
      <c r="S172" s="821"/>
      <c r="T172" s="821"/>
      <c r="U172" s="825"/>
      <c r="V172" s="826"/>
    </row>
    <row r="173" spans="1:32" ht="15" customHeight="1">
      <c r="A173" s="1435"/>
      <c r="B173" s="827">
        <f>B172</f>
        <v>0</v>
      </c>
      <c r="C173" s="828" t="s">
        <v>768</v>
      </c>
      <c r="D173" s="829" t="str">
        <f>IF(AC173=130, "130 × 130", IF(AC173=160, "160 × 160", IF(AC173=110, "110 × 110", "Value not 130, 160, or 110")))</f>
        <v>Value not 130, 160, or 110</v>
      </c>
      <c r="E173" s="830">
        <f>AD173</f>
        <v>0</v>
      </c>
      <c r="F173" s="831">
        <f ca="1">IF(X173 &gt; 0.1, RAND() * (0.1 - 0.06) + 0.06, X173)</f>
        <v>0</v>
      </c>
      <c r="G173" s="831">
        <f ca="1">IF(Y173 &lt; 0.5, 0.5 + RAND() * 0.1, Y173)</f>
        <v>0.53600836043734268</v>
      </c>
      <c r="H173" s="830">
        <f ca="1">IF(AB173&gt;0.04, 0.029 + (0.039-0.029)*RAND(), AB173)</f>
        <v>0</v>
      </c>
      <c r="I173" s="830">
        <f ca="1">IF(AA173&gt;0.04, 0.029 + (0.039-0.029)*RAND(), AA173)</f>
        <v>0</v>
      </c>
      <c r="J173" s="831">
        <f ca="1">IF(Z173&gt;0.15, 0.11 + (0.15-0.11) * RAND(), Z173)</f>
        <v>0</v>
      </c>
      <c r="K173" s="830">
        <f ca="1">0.004 + (RAND() * (0.001 - 0.004))</f>
        <v>2.2405217461065915E-3</v>
      </c>
      <c r="L173" s="830">
        <f ca="1">H173+I173</f>
        <v>0</v>
      </c>
      <c r="M173" s="831">
        <f ca="1">(G173/6)+F173</f>
        <v>8.9334726739557113E-2</v>
      </c>
      <c r="N173" s="831">
        <f ca="1">2 + RAND()</f>
        <v>2.1372608904776285</v>
      </c>
      <c r="O173" s="831">
        <f ca="1">1 + RAND()</f>
        <v>1.5946316666527247</v>
      </c>
      <c r="P173" s="831">
        <f ca="1">2.98 + (RAND() * (3.03 - 2.98))</f>
        <v>3.0115609526306919</v>
      </c>
      <c r="Q173" s="832" t="str">
        <f ca="1">IF(D173="130 × 130", (130 + RANDBETWEEN(-1,1)) &amp; " × " &amp; (130 + RANDBETWEEN(-1,1)),
   IF(D173="160 × 160", (160 + RANDBETWEEN(-1,1)) &amp; " × " &amp; (160 + RANDBETWEEN(-1,1)),
   IF(D173="110 × 110", (110 + RANDBETWEEN(-1,1)) &amp; " × " &amp; (110 + RANDBETWEEN(-1,1)),
   "Value not matched")))</f>
        <v>Value not matched</v>
      </c>
      <c r="R173" s="833" t="s">
        <v>213</v>
      </c>
      <c r="S173" s="834" t="str">
        <f ca="1">IF(G173&lt;0.6, "IS 14650 CPS 10748/GR2", "IS 14650 CPS 10748/GR3")</f>
        <v>IS 14650 CPS 10748/GR2</v>
      </c>
      <c r="T173" s="831" t="s">
        <v>769</v>
      </c>
      <c r="U173" s="825"/>
      <c r="V173" s="826"/>
      <c r="W173" s="206">
        <f>Prod.!B97</f>
        <v>0</v>
      </c>
      <c r="X173" s="469">
        <f>Prod.!C97</f>
        <v>0</v>
      </c>
      <c r="Y173" s="469">
        <f>Prod.!D97</f>
        <v>0</v>
      </c>
      <c r="Z173" s="469">
        <f>Prod.!E97</f>
        <v>0</v>
      </c>
      <c r="AA173" s="282">
        <f>Prod.!F97</f>
        <v>0</v>
      </c>
      <c r="AB173" s="282">
        <f>Prod.!G97</f>
        <v>0</v>
      </c>
      <c r="AC173" s="836">
        <f>Prod.!H97</f>
        <v>0</v>
      </c>
      <c r="AD173" s="282">
        <f>Prod.!AB97</f>
        <v>0</v>
      </c>
      <c r="AE173" s="282">
        <f>AD173-AF173</f>
        <v>0</v>
      </c>
      <c r="AF173" s="282">
        <f>Prod.!AA97</f>
        <v>0</v>
      </c>
    </row>
    <row r="174" spans="1:32" ht="15" customHeight="1">
      <c r="A174" s="1435">
        <v>5</v>
      </c>
      <c r="B174" s="818">
        <f>W175</f>
        <v>0</v>
      </c>
      <c r="C174" s="819" t="s">
        <v>765</v>
      </c>
      <c r="D174" s="822"/>
      <c r="E174" s="822"/>
      <c r="F174" s="821">
        <f ca="1">F175 + (RAND() * 0.02 - 0.01)</f>
        <v>5.588000717796587E-3</v>
      </c>
      <c r="G174" s="821">
        <f ca="1">G175 + (RAND() * 0.06 - 0.03)</f>
        <v>0.59797302166272459</v>
      </c>
      <c r="H174" s="822">
        <f ca="1">H175 + (RAND() * 0.006 - 0.003)</f>
        <v>-5.2327295350416535E-4</v>
      </c>
      <c r="I174" s="822">
        <f ca="1">I175 + (RAND() * 0.006 - 0.003)</f>
        <v>6.6520538710081482E-4</v>
      </c>
      <c r="J174" s="821">
        <f ca="1">J175 + (RAND() * 0.02 - 0.01)</f>
        <v>-1.6716658704836445E-3</v>
      </c>
      <c r="K174" s="821"/>
      <c r="L174" s="822"/>
      <c r="M174" s="821"/>
      <c r="N174" s="823"/>
      <c r="O174" s="823"/>
      <c r="P174" s="823"/>
      <c r="Q174" s="823"/>
      <c r="R174" s="839"/>
      <c r="S174" s="821"/>
      <c r="T174" s="821"/>
      <c r="U174" s="825"/>
      <c r="V174" s="826"/>
    </row>
    <row r="175" spans="1:32" ht="15" customHeight="1">
      <c r="A175" s="1435"/>
      <c r="B175" s="827">
        <f>B174</f>
        <v>0</v>
      </c>
      <c r="C175" s="828" t="s">
        <v>768</v>
      </c>
      <c r="D175" s="829" t="str">
        <f>IF(AC175=130, "130 × 130", IF(AC175=160, "160 × 160", IF(AC175=110, "110 × 110", "Value not 130, 160, or 110")))</f>
        <v>Value not 130, 160, or 110</v>
      </c>
      <c r="E175" s="830">
        <f>AD175</f>
        <v>0</v>
      </c>
      <c r="F175" s="831">
        <f ca="1">IF(X175 &gt; 0.1, RAND() * (0.1 - 0.06) + 0.06, X175)</f>
        <v>0</v>
      </c>
      <c r="G175" s="831">
        <f ca="1">IF(Y175 &lt; 0.5, 0.5 + RAND() * 0.1, Y175)</f>
        <v>0.58637131825978162</v>
      </c>
      <c r="H175" s="830">
        <f ca="1">IF(AB175&gt;0.04, 0.029 + (0.039-0.029)*RAND(), AB175)</f>
        <v>0</v>
      </c>
      <c r="I175" s="830">
        <f ca="1">IF(AA175&gt;0.04, 0.029 + (0.039-0.029)*RAND(), AA175)</f>
        <v>0</v>
      </c>
      <c r="J175" s="831">
        <f ca="1">IF(Z175&gt;0.15, 0.11 + (0.15-0.11) * RAND(), Z175)</f>
        <v>0</v>
      </c>
      <c r="K175" s="830">
        <f ca="1">0.004 + (RAND() * (0.001 - 0.004))</f>
        <v>1.6314506666579584E-3</v>
      </c>
      <c r="L175" s="830">
        <f ca="1">H175+I175</f>
        <v>0</v>
      </c>
      <c r="M175" s="831">
        <f ca="1">(G175/6)+F175</f>
        <v>9.7728553043296931E-2</v>
      </c>
      <c r="N175" s="831">
        <f ca="1">2 + RAND()</f>
        <v>2.9564764073364533</v>
      </c>
      <c r="O175" s="831">
        <f ca="1">1 + RAND()</f>
        <v>1.4441039545453735</v>
      </c>
      <c r="P175" s="831">
        <f ca="1">2.98 + (RAND() * (3.03 - 2.98))</f>
        <v>3.0130096135353512</v>
      </c>
      <c r="Q175" s="832" t="str">
        <f ca="1">IF(D175="130 × 130", (130 + RANDBETWEEN(-1,1)) &amp; " × " &amp; (130 + RANDBETWEEN(-1,1)),
   IF(D175="160 × 160", (160 + RANDBETWEEN(-1,1)) &amp; " × " &amp; (160 + RANDBETWEEN(-1,1)),
   IF(D175="110 × 110", (110 + RANDBETWEEN(-1,1)) &amp; " × " &amp; (110 + RANDBETWEEN(-1,1)),
   "Value not matched")))</f>
        <v>Value not matched</v>
      </c>
      <c r="R175" s="833" t="s">
        <v>213</v>
      </c>
      <c r="S175" s="834" t="str">
        <f ca="1">IF(G175&lt;0.6, "IS 14650 CPS 10748/GR2", "IS 14650 CPS 10748/GR3")</f>
        <v>IS 14650 CPS 10748/GR2</v>
      </c>
      <c r="T175" s="831" t="s">
        <v>769</v>
      </c>
      <c r="U175" s="825"/>
      <c r="V175" s="826"/>
      <c r="W175" s="206">
        <f>Prod.!B98</f>
        <v>0</v>
      </c>
      <c r="X175" s="469">
        <f>Prod.!C98</f>
        <v>0</v>
      </c>
      <c r="Y175" s="469">
        <f>Prod.!D98</f>
        <v>0</v>
      </c>
      <c r="Z175" s="469">
        <f>Prod.!E98</f>
        <v>0</v>
      </c>
      <c r="AA175" s="282">
        <f>Prod.!F98</f>
        <v>0</v>
      </c>
      <c r="AB175" s="282">
        <f>Prod.!G98</f>
        <v>0</v>
      </c>
      <c r="AC175" s="836">
        <f>Prod.!H98</f>
        <v>0</v>
      </c>
      <c r="AD175" s="282">
        <f>Prod.!AB98</f>
        <v>0</v>
      </c>
      <c r="AE175" s="282">
        <f>AD175-AF175</f>
        <v>0</v>
      </c>
      <c r="AF175" s="282">
        <f>Prod.!AA98</f>
        <v>0</v>
      </c>
    </row>
    <row r="176" spans="1:32" ht="15" customHeight="1">
      <c r="A176" s="1435">
        <v>6</v>
      </c>
      <c r="B176" s="818">
        <f>W177</f>
        <v>0</v>
      </c>
      <c r="C176" s="819" t="s">
        <v>765</v>
      </c>
      <c r="D176" s="822"/>
      <c r="E176" s="822"/>
      <c r="F176" s="821">
        <f ca="1">F177 + (RAND() * 0.02 - 0.01)</f>
        <v>9.7502820902938322E-3</v>
      </c>
      <c r="G176" s="821">
        <f ca="1">G177 + (RAND() * 0.06 - 0.03)</f>
        <v>0.58584262196086312</v>
      </c>
      <c r="H176" s="822">
        <f ca="1">H177 + (RAND() * 0.006 - 0.003)</f>
        <v>1.3640784447686042E-3</v>
      </c>
      <c r="I176" s="822">
        <f ca="1">I177 + (RAND() * 0.006 - 0.003)</f>
        <v>-2.1998247255683012E-3</v>
      </c>
      <c r="J176" s="821">
        <f ca="1">J177 + (RAND() * 0.02 - 0.01)</f>
        <v>-7.1989023522367919E-3</v>
      </c>
      <c r="K176" s="821"/>
      <c r="L176" s="822"/>
      <c r="M176" s="821"/>
      <c r="N176" s="823"/>
      <c r="O176" s="823"/>
      <c r="P176" s="823"/>
      <c r="Q176" s="823"/>
      <c r="R176" s="839"/>
      <c r="S176" s="821"/>
      <c r="T176" s="821"/>
      <c r="U176" s="825"/>
      <c r="V176" s="826"/>
    </row>
    <row r="177" spans="1:32" ht="15" customHeight="1">
      <c r="A177" s="1435"/>
      <c r="B177" s="827">
        <f>B176</f>
        <v>0</v>
      </c>
      <c r="C177" s="828" t="s">
        <v>768</v>
      </c>
      <c r="D177" s="829" t="str">
        <f>IF(AC177=130, "130 × 130", IF(AC177=160, "160 × 160", IF(AC177=110, "110 × 110", "Value not 130, 160, or 110")))</f>
        <v>Value not 130, 160, or 110</v>
      </c>
      <c r="E177" s="830">
        <f>AD177</f>
        <v>0</v>
      </c>
      <c r="F177" s="831">
        <f ca="1">IF(X177 &gt; 0.1, RAND() * (0.1 - 0.06) + 0.06, X177)</f>
        <v>0</v>
      </c>
      <c r="G177" s="831">
        <f ca="1">IF(Y177 &lt; 0.5, 0.5 + RAND() * 0.1, Y177)</f>
        <v>0.59925938158916547</v>
      </c>
      <c r="H177" s="830">
        <f ca="1">IF(AB177&gt;0.04, 0.029 + (0.039-0.029)*RAND(), AB177)</f>
        <v>0</v>
      </c>
      <c r="I177" s="830">
        <f ca="1">IF(AA177&gt;0.04, 0.029 + (0.039-0.029)*RAND(), AA177)</f>
        <v>0</v>
      </c>
      <c r="J177" s="831">
        <f ca="1">IF(Z177&gt;0.15, 0.11 + (0.15-0.11) * RAND(), Z177)</f>
        <v>0</v>
      </c>
      <c r="K177" s="830">
        <f ca="1">0.004 + (RAND() * (0.001 - 0.004))</f>
        <v>3.889463689956245E-3</v>
      </c>
      <c r="L177" s="830">
        <f ca="1">H177+I177</f>
        <v>0</v>
      </c>
      <c r="M177" s="831">
        <f ca="1">(G177/6)+F177</f>
        <v>9.9876563598194246E-2</v>
      </c>
      <c r="N177" s="831">
        <f ca="1">2 + RAND()</f>
        <v>2.518139802719197</v>
      </c>
      <c r="O177" s="831">
        <f ca="1">1 + RAND()</f>
        <v>1.0187876181366984</v>
      </c>
      <c r="P177" s="831">
        <f ca="1">2.98 + (RAND() * (3.03 - 2.98))</f>
        <v>2.9987531444612854</v>
      </c>
      <c r="Q177" s="832" t="str">
        <f ca="1">IF(D177="130 × 130", (130 + RANDBETWEEN(-1,1)) &amp; " × " &amp; (130 + RANDBETWEEN(-1,1)),
   IF(D177="160 × 160", (160 + RANDBETWEEN(-1,1)) &amp; " × " &amp; (160 + RANDBETWEEN(-1,1)),
   IF(D177="110 × 110", (110 + RANDBETWEEN(-1,1)) &amp; " × " &amp; (110 + RANDBETWEEN(-1,1)),
   "Value not matched")))</f>
        <v>Value not matched</v>
      </c>
      <c r="R177" s="833" t="s">
        <v>213</v>
      </c>
      <c r="S177" s="834" t="str">
        <f ca="1">IF(G177&lt;0.6, "IS 14650 CPS 10748/GR2", "IS 14650 CPS 10748/GR3")</f>
        <v>IS 14650 CPS 10748/GR2</v>
      </c>
      <c r="T177" s="831" t="s">
        <v>769</v>
      </c>
      <c r="U177" s="825"/>
      <c r="V177" s="826"/>
      <c r="W177" s="206">
        <f>Prod.!B99</f>
        <v>0</v>
      </c>
      <c r="X177" s="469">
        <f>Prod.!C99</f>
        <v>0</v>
      </c>
      <c r="Y177" s="469">
        <f>Prod.!D99</f>
        <v>0</v>
      </c>
      <c r="Z177" s="469">
        <f>Prod.!E99</f>
        <v>0</v>
      </c>
      <c r="AA177" s="282">
        <f>Prod.!F99</f>
        <v>0</v>
      </c>
      <c r="AB177" s="282">
        <f>Prod.!G99</f>
        <v>0</v>
      </c>
      <c r="AC177" s="836">
        <f>Prod.!H99</f>
        <v>0</v>
      </c>
      <c r="AD177" s="282">
        <f>Prod.!AB99</f>
        <v>0</v>
      </c>
      <c r="AE177" s="282">
        <f>AD177-AF177</f>
        <v>0</v>
      </c>
      <c r="AF177" s="282">
        <f>Prod.!AA99</f>
        <v>0</v>
      </c>
    </row>
    <row r="178" spans="1:32" ht="15" customHeight="1">
      <c r="A178" s="1435">
        <v>7</v>
      </c>
      <c r="B178" s="818">
        <f>W179</f>
        <v>0</v>
      </c>
      <c r="C178" s="819" t="s">
        <v>765</v>
      </c>
      <c r="D178" s="822"/>
      <c r="E178" s="822"/>
      <c r="F178" s="821">
        <f ca="1">F179 + (RAND() * 0.02 - 0.01)</f>
        <v>6.6795410855878621E-3</v>
      </c>
      <c r="G178" s="821">
        <f ca="1">G179 + (RAND() * 0.06 - 0.03)</f>
        <v>0.5807405069522481</v>
      </c>
      <c r="H178" s="822">
        <f ca="1">H179 + (RAND() * 0.006 - 0.003)</f>
        <v>-2.3568546669950402E-3</v>
      </c>
      <c r="I178" s="822">
        <f ca="1">I179 + (RAND() * 0.006 - 0.003)</f>
        <v>1.2934989478301795E-3</v>
      </c>
      <c r="J178" s="821">
        <f ca="1">J179 + (RAND() * 0.02 - 0.01)</f>
        <v>-9.3517854135574657E-3</v>
      </c>
      <c r="K178" s="821"/>
      <c r="L178" s="822"/>
      <c r="M178" s="821"/>
      <c r="N178" s="823"/>
      <c r="O178" s="823"/>
      <c r="P178" s="823"/>
      <c r="Q178" s="823"/>
      <c r="R178" s="839"/>
      <c r="S178" s="821"/>
      <c r="T178" s="821"/>
      <c r="U178" s="825"/>
      <c r="V178" s="826"/>
    </row>
    <row r="179" spans="1:32" ht="15" customHeight="1">
      <c r="A179" s="1435"/>
      <c r="B179" s="827">
        <f>B178</f>
        <v>0</v>
      </c>
      <c r="C179" s="828" t="s">
        <v>768</v>
      </c>
      <c r="D179" s="829" t="str">
        <f>IF(AC179=130, "130 × 130", IF(AC179=160, "160 × 160", IF(AC179=110, "110 × 110", "Value not 130, 160, or 110")))</f>
        <v>Value not 130, 160, or 110</v>
      </c>
      <c r="E179" s="830">
        <f>AD179</f>
        <v>0</v>
      </c>
      <c r="F179" s="831">
        <f ca="1">IF(X179 &gt; 0.1, RAND() * (0.1 - 0.06) + 0.06, X179)</f>
        <v>0</v>
      </c>
      <c r="G179" s="831">
        <f ca="1">IF(Y179 &lt; 0.5, 0.5 + RAND() * 0.1, Y179)</f>
        <v>0.58817761677117186</v>
      </c>
      <c r="H179" s="830">
        <f ca="1">IF(AB179&gt;0.04, 0.029 + (0.039-0.029)*RAND(), AB179)</f>
        <v>0</v>
      </c>
      <c r="I179" s="830">
        <f ca="1">IF(AA179&gt;0.04, 0.029 + (0.039-0.029)*RAND(), AA179)</f>
        <v>0</v>
      </c>
      <c r="J179" s="831">
        <f ca="1">IF(Z179&gt;0.15, 0.11 + (0.15-0.11) * RAND(), Z179)</f>
        <v>0</v>
      </c>
      <c r="K179" s="830">
        <f ca="1">0.004 + (RAND() * (0.001 - 0.004))</f>
        <v>1.0441266894201033E-3</v>
      </c>
      <c r="L179" s="830">
        <f ca="1">H179+I179</f>
        <v>0</v>
      </c>
      <c r="M179" s="831">
        <f ca="1">(G179/6)+F179</f>
        <v>9.8029602795195306E-2</v>
      </c>
      <c r="N179" s="831">
        <f ca="1">2 + RAND()</f>
        <v>2.5579397330741105</v>
      </c>
      <c r="O179" s="831">
        <f ca="1">1 + RAND()</f>
        <v>1.4662236792773138</v>
      </c>
      <c r="P179" s="831">
        <f ca="1">2.98 + (RAND() * (3.03 - 2.98))</f>
        <v>2.9944960226707407</v>
      </c>
      <c r="Q179" s="832" t="str">
        <f ca="1">IF(D179="130 × 130", (130 + RANDBETWEEN(-1,1)) &amp; " × " &amp; (130 + RANDBETWEEN(-1,1)),
   IF(D179="160 × 160", (160 + RANDBETWEEN(-1,1)) &amp; " × " &amp; (160 + RANDBETWEEN(-1,1)),
   IF(D179="110 × 110", (110 + RANDBETWEEN(-1,1)) &amp; " × " &amp; (110 + RANDBETWEEN(-1,1)),
   "Value not matched")))</f>
        <v>Value not matched</v>
      </c>
      <c r="R179" s="833" t="s">
        <v>213</v>
      </c>
      <c r="S179" s="834" t="str">
        <f ca="1">IF(G179&lt;0.6, "IS 14650 CPS 10748/GR2", "IS 14650 CPS 10748/GR3")</f>
        <v>IS 14650 CPS 10748/GR2</v>
      </c>
      <c r="T179" s="831" t="s">
        <v>769</v>
      </c>
      <c r="U179" s="825"/>
      <c r="V179" s="826"/>
      <c r="W179" s="206">
        <f>Prod.!B100</f>
        <v>0</v>
      </c>
      <c r="X179" s="469">
        <f>Prod.!C100</f>
        <v>0</v>
      </c>
      <c r="Y179" s="469">
        <f>Prod.!D100</f>
        <v>0</v>
      </c>
      <c r="Z179" s="469">
        <f>Prod.!E100</f>
        <v>0</v>
      </c>
      <c r="AA179" s="282">
        <f>Prod.!F100</f>
        <v>0</v>
      </c>
      <c r="AB179" s="282">
        <f>Prod.!G100</f>
        <v>0</v>
      </c>
      <c r="AC179" s="836">
        <f>Prod.!H100</f>
        <v>0</v>
      </c>
      <c r="AD179" s="282">
        <f>Prod.!AB100</f>
        <v>0</v>
      </c>
      <c r="AE179" s="282">
        <f>AD179-AF179</f>
        <v>0</v>
      </c>
      <c r="AF179" s="282">
        <f>Prod.!AA100</f>
        <v>0</v>
      </c>
    </row>
    <row r="180" spans="1:32" ht="15" customHeight="1">
      <c r="A180" s="1435">
        <v>8</v>
      </c>
      <c r="B180" s="818">
        <f>W181</f>
        <v>0</v>
      </c>
      <c r="C180" s="819" t="s">
        <v>765</v>
      </c>
      <c r="D180" s="822"/>
      <c r="E180" s="822"/>
      <c r="F180" s="821">
        <f ca="1">F181 + (RAND() * 0.02 - 0.01)</f>
        <v>-1.5990074870653806E-3</v>
      </c>
      <c r="G180" s="821">
        <f ca="1">G181 + (RAND() * 0.06 - 0.03)</f>
        <v>0.54968511635502848</v>
      </c>
      <c r="H180" s="822">
        <f ca="1">H181 + (RAND() * 0.006 - 0.003)</f>
        <v>-2.9568390349542259E-3</v>
      </c>
      <c r="I180" s="822">
        <f ca="1">I181 + (RAND() * 0.006 - 0.003)</f>
        <v>9.9310341833528867E-4</v>
      </c>
      <c r="J180" s="821">
        <f ca="1">J181 + (RAND() * 0.02 - 0.01)</f>
        <v>-2.1868055915749939E-3</v>
      </c>
      <c r="K180" s="821"/>
      <c r="L180" s="822"/>
      <c r="M180" s="821"/>
      <c r="N180" s="823"/>
      <c r="O180" s="823"/>
      <c r="P180" s="823"/>
      <c r="Q180" s="823"/>
      <c r="R180" s="839"/>
      <c r="S180" s="821"/>
      <c r="T180" s="821"/>
      <c r="U180" s="825"/>
      <c r="V180" s="826"/>
    </row>
    <row r="181" spans="1:32" ht="15" customHeight="1">
      <c r="A181" s="1435"/>
      <c r="B181" s="827">
        <f>B180</f>
        <v>0</v>
      </c>
      <c r="C181" s="828" t="s">
        <v>768</v>
      </c>
      <c r="D181" s="829" t="str">
        <f>IF(AC181=130, "130 × 130", IF(AC181=160, "160 × 160", IF(AC181=110, "110 × 110", "Value not 130, 160, or 110")))</f>
        <v>Value not 130, 160, or 110</v>
      </c>
      <c r="E181" s="830">
        <f>AD181</f>
        <v>0</v>
      </c>
      <c r="F181" s="831">
        <f ca="1">IF(X181 &gt; 0.1, RAND() * (0.1 - 0.06) + 0.06, X181)</f>
        <v>0</v>
      </c>
      <c r="G181" s="831">
        <f ca="1">IF(Y181 &lt; 0.5, 0.5 + RAND() * 0.1, Y181)</f>
        <v>0.5261137468855025</v>
      </c>
      <c r="H181" s="830">
        <f ca="1">IF(AB181&gt;0.04, 0.029 + (0.039-0.029)*RAND(), AB181)</f>
        <v>0</v>
      </c>
      <c r="I181" s="830">
        <f ca="1">IF(AA181&gt;0.04, 0.029 + (0.039-0.029)*RAND(), AA181)</f>
        <v>0</v>
      </c>
      <c r="J181" s="831">
        <f ca="1">IF(Z181&gt;0.15, 0.11 + (0.15-0.11) * RAND(), Z181)</f>
        <v>0</v>
      </c>
      <c r="K181" s="830">
        <f ca="1">0.004 + (RAND() * (0.001 - 0.004))</f>
        <v>3.9495879147326066E-3</v>
      </c>
      <c r="L181" s="830">
        <f ca="1">H181+I181</f>
        <v>0</v>
      </c>
      <c r="M181" s="831">
        <f ca="1">(G181/6)+F181</f>
        <v>8.7685624480917088E-2</v>
      </c>
      <c r="N181" s="831">
        <f ca="1">2 + RAND()</f>
        <v>2.281005017712384</v>
      </c>
      <c r="O181" s="831">
        <f ca="1">1 + RAND()</f>
        <v>1.7229361381864354</v>
      </c>
      <c r="P181" s="831">
        <f ca="1">2.98 + (RAND() * (3.03 - 2.98))</f>
        <v>2.9936206252724431</v>
      </c>
      <c r="Q181" s="832" t="str">
        <f ca="1">IF(D181="130 × 130", (130 + RANDBETWEEN(-1,1)) &amp; " × " &amp; (130 + RANDBETWEEN(-1,1)),
   IF(D181="160 × 160", (160 + RANDBETWEEN(-1,1)) &amp; " × " &amp; (160 + RANDBETWEEN(-1,1)),
   IF(D181="110 × 110", (110 + RANDBETWEEN(-1,1)) &amp; " × " &amp; (110 + RANDBETWEEN(-1,1)),
   "Value not matched")))</f>
        <v>Value not matched</v>
      </c>
      <c r="R181" s="833" t="s">
        <v>213</v>
      </c>
      <c r="S181" s="834" t="str">
        <f ca="1">IF(G181&lt;0.6, "IS 14650 CPS 10748/GR2", "IS 14650 CPS 10748/GR3")</f>
        <v>IS 14650 CPS 10748/GR2</v>
      </c>
      <c r="T181" s="831" t="s">
        <v>769</v>
      </c>
      <c r="U181" s="825"/>
      <c r="V181" s="826"/>
      <c r="W181" s="206">
        <f>Prod.!B101</f>
        <v>0</v>
      </c>
      <c r="X181" s="469">
        <f>Prod.!C101</f>
        <v>0</v>
      </c>
      <c r="Y181" s="469">
        <f>Prod.!D101</f>
        <v>0</v>
      </c>
      <c r="Z181" s="469">
        <f>Prod.!E101</f>
        <v>0</v>
      </c>
      <c r="AA181" s="282">
        <f>Prod.!F101</f>
        <v>0</v>
      </c>
      <c r="AB181" s="282">
        <f>Prod.!G101</f>
        <v>0</v>
      </c>
      <c r="AC181" s="836">
        <f>Prod.!H101</f>
        <v>0</v>
      </c>
      <c r="AD181" s="282">
        <f>Prod.!AB101</f>
        <v>0</v>
      </c>
      <c r="AE181" s="282">
        <f>AD181-AF181</f>
        <v>0</v>
      </c>
      <c r="AF181" s="282">
        <f>Prod.!AA101</f>
        <v>0</v>
      </c>
    </row>
    <row r="182" spans="1:32" ht="15" customHeight="1">
      <c r="A182" s="1435">
        <v>9</v>
      </c>
      <c r="B182" s="818">
        <f>W183</f>
        <v>0</v>
      </c>
      <c r="C182" s="819" t="s">
        <v>765</v>
      </c>
      <c r="D182" s="822"/>
      <c r="E182" s="822"/>
      <c r="F182" s="821">
        <f ca="1">F183 + (RAND() * 0.02 - 0.01)</f>
        <v>-6.544176325526228E-3</v>
      </c>
      <c r="G182" s="821">
        <f ca="1">G183 + (RAND() * 0.06 - 0.03)</f>
        <v>0.51185854299310551</v>
      </c>
      <c r="H182" s="822">
        <f ca="1">H183 + (RAND() * 0.006 - 0.003)</f>
        <v>-1.1320711302173902E-3</v>
      </c>
      <c r="I182" s="822">
        <f ca="1">I183 + (RAND() * 0.006 - 0.003)</f>
        <v>1.8902312335683817E-3</v>
      </c>
      <c r="J182" s="821">
        <f ca="1">J183 + (RAND() * 0.02 - 0.01)</f>
        <v>3.5453050205403354E-3</v>
      </c>
      <c r="K182" s="821"/>
      <c r="L182" s="822"/>
      <c r="M182" s="821"/>
      <c r="N182" s="823"/>
      <c r="O182" s="823"/>
      <c r="P182" s="823"/>
      <c r="Q182" s="823"/>
      <c r="R182" s="839"/>
      <c r="S182" s="821"/>
      <c r="T182" s="821"/>
      <c r="U182" s="825"/>
      <c r="V182" s="826"/>
    </row>
    <row r="183" spans="1:32" ht="15" customHeight="1">
      <c r="A183" s="1435"/>
      <c r="B183" s="827">
        <f>B182</f>
        <v>0</v>
      </c>
      <c r="C183" s="828" t="s">
        <v>768</v>
      </c>
      <c r="D183" s="829" t="str">
        <f>IF(AC183=130, "130 × 130", IF(AC183=160, "160 × 160", IF(AC183=110, "110 × 110", "Value not 130, 160, or 110")))</f>
        <v>Value not 130, 160, or 110</v>
      </c>
      <c r="E183" s="830">
        <f>AD183</f>
        <v>0</v>
      </c>
      <c r="F183" s="831">
        <f ca="1">IF(X183 &gt; 0.1, RAND() * (0.1 - 0.06) + 0.06, X183)</f>
        <v>0</v>
      </c>
      <c r="G183" s="831">
        <f ca="1">IF(Y183 &lt; 0.5, 0.5 + RAND() * 0.1, Y183)</f>
        <v>0.50281639703394154</v>
      </c>
      <c r="H183" s="830">
        <f ca="1">IF(AB183&gt;0.04, 0.029 + (0.039-0.029)*RAND(), AB183)</f>
        <v>0</v>
      </c>
      <c r="I183" s="830">
        <f ca="1">IF(AA183&gt;0.04, 0.029 + (0.039-0.029)*RAND(), AA183)</f>
        <v>0</v>
      </c>
      <c r="J183" s="831">
        <f ca="1">IF(Z183&gt;0.15, 0.11 + (0.15-0.11) * RAND(), Z183)</f>
        <v>0</v>
      </c>
      <c r="K183" s="830">
        <f ca="1">0.004 + (RAND() * (0.001 - 0.004))</f>
        <v>1.9760926177611834E-3</v>
      </c>
      <c r="L183" s="830">
        <f ca="1">H183+I183</f>
        <v>0</v>
      </c>
      <c r="M183" s="831">
        <f ca="1">(G183/6)+F183</f>
        <v>8.3802732838990257E-2</v>
      </c>
      <c r="N183" s="831">
        <f ca="1">2 + RAND()</f>
        <v>2.8104084754619376</v>
      </c>
      <c r="O183" s="831">
        <f ca="1">1 + RAND()</f>
        <v>1.3570030230808308</v>
      </c>
      <c r="P183" s="831">
        <f ca="1">2.98 + (RAND() * (3.03 - 2.98))</f>
        <v>3.0226037494083946</v>
      </c>
      <c r="Q183" s="832" t="str">
        <f ca="1">IF(D183="130 × 130", (130 + RANDBETWEEN(-1,1)) &amp; " × " &amp; (130 + RANDBETWEEN(-1,1)),
   IF(D183="160 × 160", (160 + RANDBETWEEN(-1,1)) &amp; " × " &amp; (160 + RANDBETWEEN(-1,1)),
   IF(D183="110 × 110", (110 + RANDBETWEEN(-1,1)) &amp; " × " &amp; (110 + RANDBETWEEN(-1,1)),
   "Value not matched")))</f>
        <v>Value not matched</v>
      </c>
      <c r="R183" s="833" t="s">
        <v>213</v>
      </c>
      <c r="S183" s="834" t="str">
        <f ca="1">IF(G183&lt;0.6, "IS 14650 CPS 10748/GR2", "IS 14650 CPS 10748/GR3")</f>
        <v>IS 14650 CPS 10748/GR2</v>
      </c>
      <c r="T183" s="831" t="s">
        <v>769</v>
      </c>
      <c r="U183" s="825"/>
      <c r="V183" s="826"/>
      <c r="W183" s="206">
        <f>Prod.!B102</f>
        <v>0</v>
      </c>
      <c r="X183" s="469">
        <f>Prod.!C102</f>
        <v>0</v>
      </c>
      <c r="Y183" s="469">
        <f>Prod.!D102</f>
        <v>0</v>
      </c>
      <c r="Z183" s="469">
        <f>Prod.!E102</f>
        <v>0</v>
      </c>
      <c r="AA183" s="282">
        <f>Prod.!F102</f>
        <v>0</v>
      </c>
      <c r="AB183" s="282">
        <f>Prod.!G102</f>
        <v>0</v>
      </c>
      <c r="AC183" s="836">
        <f>Prod.!H102</f>
        <v>0</v>
      </c>
      <c r="AD183" s="282">
        <f>Prod.!AB102</f>
        <v>0</v>
      </c>
      <c r="AE183" s="282">
        <f>AD183-AF183</f>
        <v>0</v>
      </c>
      <c r="AF183" s="282">
        <f>Prod.!AA102</f>
        <v>0</v>
      </c>
    </row>
    <row r="184" spans="1:32" ht="15" customHeight="1">
      <c r="A184" s="1435">
        <v>10</v>
      </c>
      <c r="B184" s="818">
        <f>W185</f>
        <v>0</v>
      </c>
      <c r="C184" s="819" t="s">
        <v>765</v>
      </c>
      <c r="D184" s="822"/>
      <c r="E184" s="822"/>
      <c r="F184" s="821">
        <f ca="1">F185 + (RAND() * 0.02 - 0.01)</f>
        <v>-5.6611531517170421E-3</v>
      </c>
      <c r="G184" s="821">
        <f ca="1">G185 + (RAND() * 0.06 - 0.03)</f>
        <v>0.58383939967352605</v>
      </c>
      <c r="H184" s="822">
        <f ca="1">H185 + (RAND() * 0.006 - 0.003)</f>
        <v>1.0113887151647532E-3</v>
      </c>
      <c r="I184" s="822">
        <f ca="1">I185 + (RAND() * 0.006 - 0.003)</f>
        <v>9.8016926563967641E-4</v>
      </c>
      <c r="J184" s="821">
        <f ca="1">J185 + (RAND() * 0.02 - 0.01)</f>
        <v>-4.6754591537784855E-3</v>
      </c>
      <c r="K184" s="821"/>
      <c r="L184" s="822"/>
      <c r="M184" s="821"/>
      <c r="N184" s="823"/>
      <c r="O184" s="823"/>
      <c r="P184" s="823"/>
      <c r="Q184" s="823"/>
      <c r="R184" s="839"/>
      <c r="S184" s="821"/>
      <c r="T184" s="821"/>
      <c r="U184" s="825"/>
      <c r="V184" s="826"/>
    </row>
    <row r="185" spans="1:32" ht="15" customHeight="1">
      <c r="A185" s="1435"/>
      <c r="B185" s="827">
        <f>B184</f>
        <v>0</v>
      </c>
      <c r="C185" s="828" t="s">
        <v>768</v>
      </c>
      <c r="D185" s="829" t="str">
        <f>IF(AC185=130, "130 × 130", IF(AC185=160, "160 × 160", IF(AC185=110, "110 × 110", "Value not 130, 160, or 110")))</f>
        <v>Value not 130, 160, or 110</v>
      </c>
      <c r="E185" s="830">
        <f>AD185</f>
        <v>0</v>
      </c>
      <c r="F185" s="831">
        <f ca="1">IF(X185 &gt; 0.1, RAND() * (0.1 - 0.06) + 0.06, X185)</f>
        <v>0</v>
      </c>
      <c r="G185" s="831">
        <f ca="1">IF(Y185 &lt; 0.5, 0.5 + RAND() * 0.1, Y185)</f>
        <v>0.5809914843689884</v>
      </c>
      <c r="H185" s="830">
        <f ca="1">IF(AB185&gt;0.04, 0.029 + (0.039-0.029)*RAND(), AB185)</f>
        <v>0</v>
      </c>
      <c r="I185" s="830">
        <f ca="1">IF(AA185&gt;0.04, 0.029 + (0.039-0.029)*RAND(), AA185)</f>
        <v>0</v>
      </c>
      <c r="J185" s="831">
        <f ca="1">IF(Z185&gt;0.15, 0.11 + (0.15-0.11) * RAND(), Z185)</f>
        <v>0</v>
      </c>
      <c r="K185" s="830">
        <f ca="1">0.004 + (RAND() * (0.001 - 0.004))</f>
        <v>2.9596409225130706E-3</v>
      </c>
      <c r="L185" s="830">
        <f ca="1">H185+I185</f>
        <v>0</v>
      </c>
      <c r="M185" s="831">
        <f ca="1">(G185/6)+F185</f>
        <v>9.6831914061498062E-2</v>
      </c>
      <c r="N185" s="831">
        <f ca="1">2 + RAND()</f>
        <v>2.7980800174124263</v>
      </c>
      <c r="O185" s="831">
        <f ca="1">1 + RAND()</f>
        <v>1.3032143687369475</v>
      </c>
      <c r="P185" s="831">
        <f ca="1">2.98 + (RAND() * (3.03 - 2.98))</f>
        <v>3.0024629907179046</v>
      </c>
      <c r="Q185" s="832" t="str">
        <f ca="1">IF(D185="130 × 130", (130 + RANDBETWEEN(-1,1)) &amp; " × " &amp; (130 + RANDBETWEEN(-1,1)),
   IF(D185="160 × 160", (160 + RANDBETWEEN(-1,1)) &amp; " × " &amp; (160 + RANDBETWEEN(-1,1)),
   IF(D185="110 × 110", (110 + RANDBETWEEN(-1,1)) &amp; " × " &amp; (110 + RANDBETWEEN(-1,1)),
   "Value not matched")))</f>
        <v>Value not matched</v>
      </c>
      <c r="R185" s="833" t="s">
        <v>213</v>
      </c>
      <c r="S185" s="834" t="str">
        <f ca="1">IF(G185&lt;0.6, "IS 14650 CPS 10748/GR2", "IS 14650 CPS 10748/GR3")</f>
        <v>IS 14650 CPS 10748/GR2</v>
      </c>
      <c r="T185" s="831" t="s">
        <v>769</v>
      </c>
      <c r="U185" s="825"/>
      <c r="V185" s="826"/>
      <c r="W185" s="206">
        <f>Prod.!B103</f>
        <v>0</v>
      </c>
      <c r="X185" s="469">
        <f>Prod.!C103</f>
        <v>0</v>
      </c>
      <c r="Y185" s="469">
        <f>Prod.!D103</f>
        <v>0</v>
      </c>
      <c r="Z185" s="469">
        <f>Prod.!E103</f>
        <v>0</v>
      </c>
      <c r="AA185" s="282">
        <f>Prod.!F103</f>
        <v>0</v>
      </c>
      <c r="AB185" s="282">
        <f>Prod.!G103</f>
        <v>0</v>
      </c>
      <c r="AC185" s="836">
        <f>Prod.!H103</f>
        <v>0</v>
      </c>
      <c r="AD185" s="282">
        <f>Prod.!AB103</f>
        <v>0</v>
      </c>
      <c r="AE185" s="282">
        <f>AD185-AF185</f>
        <v>0</v>
      </c>
      <c r="AF185" s="282">
        <f>Prod.!AA103</f>
        <v>0</v>
      </c>
    </row>
    <row r="186" spans="1:32" ht="15" customHeight="1">
      <c r="A186" s="1435">
        <v>11</v>
      </c>
      <c r="B186" s="818">
        <f>W187</f>
        <v>0</v>
      </c>
      <c r="C186" s="819" t="s">
        <v>765</v>
      </c>
      <c r="D186" s="822"/>
      <c r="E186" s="822"/>
      <c r="F186" s="821">
        <f ca="1">F187 + (RAND() * 0.02 - 0.01)</f>
        <v>-7.101629125720663E-3</v>
      </c>
      <c r="G186" s="821">
        <f ca="1">G187 + (RAND() * 0.06 - 0.03)</f>
        <v>0.56814456304184746</v>
      </c>
      <c r="H186" s="822">
        <f ca="1">H187 + (RAND() * 0.006 - 0.003)</f>
        <v>-2.6836848100380826E-3</v>
      </c>
      <c r="I186" s="822">
        <f ca="1">I187 + (RAND() * 0.006 - 0.003)</f>
        <v>5.6755509830573201E-4</v>
      </c>
      <c r="J186" s="821">
        <f ca="1">J187 + (RAND() * 0.02 - 0.01)</f>
        <v>-3.7125869386561037E-3</v>
      </c>
      <c r="K186" s="821"/>
      <c r="L186" s="822"/>
      <c r="M186" s="821"/>
      <c r="N186" s="823"/>
      <c r="O186" s="823"/>
      <c r="P186" s="823"/>
      <c r="Q186" s="823"/>
      <c r="R186" s="839"/>
      <c r="S186" s="821"/>
      <c r="T186" s="821"/>
      <c r="U186" s="825"/>
      <c r="V186" s="826"/>
    </row>
    <row r="187" spans="1:32" ht="15" customHeight="1">
      <c r="A187" s="1435"/>
      <c r="B187" s="827">
        <f>B186</f>
        <v>0</v>
      </c>
      <c r="C187" s="828" t="s">
        <v>768</v>
      </c>
      <c r="D187" s="829" t="str">
        <f>IF(AC187=130, "130 × 130", IF(AC187=160, "160 × 160", IF(AC187=110, "110 × 110", "Value not 130, 160, or 110")))</f>
        <v>Value not 130, 160, or 110</v>
      </c>
      <c r="E187" s="830">
        <f>AD187</f>
        <v>0</v>
      </c>
      <c r="F187" s="831">
        <f ca="1">IF(X187 &gt; 0.1, RAND() * (0.1 - 0.06) + 0.06, X187)</f>
        <v>0</v>
      </c>
      <c r="G187" s="831">
        <f ca="1">IF(Y187 &lt; 0.5, 0.5 + RAND() * 0.1, Y187)</f>
        <v>0.55450468704737077</v>
      </c>
      <c r="H187" s="830">
        <f ca="1">IF(AB187&gt;0.04, 0.029 + (0.039-0.029)*RAND(), AB187)</f>
        <v>0</v>
      </c>
      <c r="I187" s="830">
        <f ca="1">IF(AA187&gt;0.04, 0.029 + (0.039-0.029)*RAND(), AA187)</f>
        <v>0</v>
      </c>
      <c r="J187" s="831">
        <f ca="1">IF(Z187&gt;0.15, 0.11 + (0.15-0.11) * RAND(), Z187)</f>
        <v>0</v>
      </c>
      <c r="K187" s="830">
        <f ca="1">0.004 + (RAND() * (0.001 - 0.004))</f>
        <v>2.9782579636360223E-3</v>
      </c>
      <c r="L187" s="830">
        <f ca="1">H187+I187</f>
        <v>0</v>
      </c>
      <c r="M187" s="831">
        <f ca="1">(G187/6)+F187</f>
        <v>9.2417447841228462E-2</v>
      </c>
      <c r="N187" s="831">
        <f ca="1">2 + RAND()</f>
        <v>2.7487919376761019</v>
      </c>
      <c r="O187" s="831">
        <f ca="1">1 + RAND()</f>
        <v>1.8691281343522892</v>
      </c>
      <c r="P187" s="831">
        <f ca="1">2.98 + (RAND() * (3.03 - 2.98))</f>
        <v>3.0131006775134925</v>
      </c>
      <c r="Q187" s="832" t="str">
        <f ca="1">IF(D187="130 × 130", (130 + RANDBETWEEN(-1,1)) &amp; " × " &amp; (130 + RANDBETWEEN(-1,1)),
   IF(D187="160 × 160", (160 + RANDBETWEEN(-1,1)) &amp; " × " &amp; (160 + RANDBETWEEN(-1,1)),
   IF(D187="110 × 110", (110 + RANDBETWEEN(-1,1)) &amp; " × " &amp; (110 + RANDBETWEEN(-1,1)),
   "Value not matched")))</f>
        <v>Value not matched</v>
      </c>
      <c r="R187" s="833" t="s">
        <v>213</v>
      </c>
      <c r="S187" s="834" t="str">
        <f ca="1">IF(G187&lt;0.6, "IS 14650 CPS 10748/GR2", "IS 14650 CPS 10748/GR3")</f>
        <v>IS 14650 CPS 10748/GR2</v>
      </c>
      <c r="T187" s="831" t="s">
        <v>769</v>
      </c>
      <c r="U187" s="825"/>
      <c r="V187" s="826"/>
      <c r="W187" s="206">
        <f>Prod.!B104</f>
        <v>0</v>
      </c>
      <c r="X187" s="469">
        <f>Prod.!C104</f>
        <v>0</v>
      </c>
      <c r="Y187" s="469">
        <f>Prod.!D104</f>
        <v>0</v>
      </c>
      <c r="Z187" s="469">
        <f>Prod.!E104</f>
        <v>0</v>
      </c>
      <c r="AA187" s="282">
        <f>Prod.!F104</f>
        <v>0</v>
      </c>
      <c r="AB187" s="282">
        <f>Prod.!G104</f>
        <v>0</v>
      </c>
      <c r="AC187" s="836">
        <f>Prod.!H104</f>
        <v>0</v>
      </c>
      <c r="AD187" s="282">
        <f>Prod.!AB104</f>
        <v>0</v>
      </c>
      <c r="AE187" s="282">
        <f>AD187-AF187</f>
        <v>0</v>
      </c>
      <c r="AF187" s="282">
        <f>Prod.!AA104</f>
        <v>0</v>
      </c>
    </row>
    <row r="188" spans="1:32" ht="15" customHeight="1">
      <c r="A188" s="1435">
        <v>12</v>
      </c>
      <c r="B188" s="818">
        <f>W189</f>
        <v>0</v>
      </c>
      <c r="C188" s="819" t="s">
        <v>765</v>
      </c>
      <c r="D188" s="822"/>
      <c r="E188" s="822"/>
      <c r="F188" s="821">
        <f ca="1">F189 + (RAND() * 0.02 - 0.01)</f>
        <v>-4.0650344079289046E-3</v>
      </c>
      <c r="G188" s="821">
        <f ca="1">G189 + (RAND() * 0.06 - 0.03)</f>
        <v>0.54475580533941015</v>
      </c>
      <c r="H188" s="822">
        <f ca="1">H189 + (RAND() * 0.006 - 0.003)</f>
        <v>-5.2732433210276805E-4</v>
      </c>
      <c r="I188" s="822">
        <f ca="1">I189 + (RAND() * 0.006 - 0.003)</f>
        <v>2.847327253384567E-3</v>
      </c>
      <c r="J188" s="821">
        <f ca="1">J189 + (RAND() * 0.02 - 0.01)</f>
        <v>-4.0992748767856683E-3</v>
      </c>
      <c r="K188" s="821"/>
      <c r="L188" s="822"/>
      <c r="M188" s="821"/>
      <c r="N188" s="823"/>
      <c r="O188" s="823"/>
      <c r="P188" s="823"/>
      <c r="Q188" s="823"/>
      <c r="R188" s="839"/>
      <c r="S188" s="821"/>
      <c r="T188" s="821"/>
      <c r="U188" s="825"/>
      <c r="V188" s="826"/>
    </row>
    <row r="189" spans="1:32" ht="15" customHeight="1">
      <c r="A189" s="1435"/>
      <c r="B189" s="827">
        <f>B188</f>
        <v>0</v>
      </c>
      <c r="C189" s="828" t="s">
        <v>768</v>
      </c>
      <c r="D189" s="829" t="str">
        <f>IF(AC189=130, "130 × 130", IF(AC189=160, "160 × 160", IF(AC189=110, "110 × 110", "Value not 130, 160, or 110")))</f>
        <v>Value not 130, 160, or 110</v>
      </c>
      <c r="E189" s="830">
        <f>AD189</f>
        <v>0</v>
      </c>
      <c r="F189" s="831">
        <f ca="1">IF(X189 &gt; 0.1, RAND() * (0.1 - 0.06) + 0.06, X189)</f>
        <v>0</v>
      </c>
      <c r="G189" s="831">
        <f ca="1">IF(Y189 &lt; 0.5, 0.5 + RAND() * 0.1, Y189)</f>
        <v>0.51661272424864135</v>
      </c>
      <c r="H189" s="830">
        <f ca="1">IF(AB189&gt;0.04, 0.029 + (0.039-0.029)*RAND(), AB189)</f>
        <v>0</v>
      </c>
      <c r="I189" s="830">
        <f ca="1">IF(AA189&gt;0.04, 0.029 + (0.039-0.029)*RAND(), AA189)</f>
        <v>0</v>
      </c>
      <c r="J189" s="831">
        <f ca="1">IF(Z189&gt;0.15, 0.11 + (0.15-0.11) * RAND(), Z189)</f>
        <v>0</v>
      </c>
      <c r="K189" s="830">
        <f ca="1">0.004 + (RAND() * (0.001 - 0.004))</f>
        <v>1.3808532928172674E-3</v>
      </c>
      <c r="L189" s="830">
        <f ca="1">H189+I189</f>
        <v>0</v>
      </c>
      <c r="M189" s="831">
        <f ca="1">(G189/6)+F189</f>
        <v>8.6102120708106897E-2</v>
      </c>
      <c r="N189" s="831">
        <f ca="1">2 + RAND()</f>
        <v>2.0043449038124868</v>
      </c>
      <c r="O189" s="831">
        <f ca="1">1 + RAND()</f>
        <v>1.2876331206070737</v>
      </c>
      <c r="P189" s="831">
        <f ca="1">2.98 + (RAND() * (3.03 - 2.98))</f>
        <v>3.0096738836662564</v>
      </c>
      <c r="Q189" s="832" t="str">
        <f ca="1">IF(D189="130 × 130", (130 + RANDBETWEEN(-1,1)) &amp; " × " &amp; (130 + RANDBETWEEN(-1,1)),
   IF(D189="160 × 160", (160 + RANDBETWEEN(-1,1)) &amp; " × " &amp; (160 + RANDBETWEEN(-1,1)),
   IF(D189="110 × 110", (110 + RANDBETWEEN(-1,1)) &amp; " × " &amp; (110 + RANDBETWEEN(-1,1)),
   "Value not matched")))</f>
        <v>Value not matched</v>
      </c>
      <c r="R189" s="833" t="s">
        <v>213</v>
      </c>
      <c r="S189" s="834" t="str">
        <f ca="1">IF(G189&lt;0.6, "IS 14650 CPS 10748/GR2", "IS 14650 CPS 10748/GR3")</f>
        <v>IS 14650 CPS 10748/GR2</v>
      </c>
      <c r="T189" s="831" t="s">
        <v>769</v>
      </c>
      <c r="U189" s="825"/>
      <c r="V189" s="826"/>
      <c r="W189" s="206">
        <f>Prod.!B105</f>
        <v>0</v>
      </c>
      <c r="X189" s="469">
        <f>Prod.!C105</f>
        <v>0</v>
      </c>
      <c r="Y189" s="469">
        <f>Prod.!D105</f>
        <v>0</v>
      </c>
      <c r="Z189" s="469">
        <f>Prod.!E105</f>
        <v>0</v>
      </c>
      <c r="AA189" s="282">
        <f>Prod.!F105</f>
        <v>0</v>
      </c>
      <c r="AB189" s="282">
        <f>Prod.!G105</f>
        <v>0</v>
      </c>
      <c r="AC189" s="836">
        <f>Prod.!H105</f>
        <v>0</v>
      </c>
      <c r="AD189" s="282">
        <f>Prod.!AB105</f>
        <v>0</v>
      </c>
      <c r="AE189" s="282">
        <f>AD189-AF189</f>
        <v>0</v>
      </c>
      <c r="AF189" s="282">
        <f>Prod.!AA105</f>
        <v>0</v>
      </c>
    </row>
    <row r="190" spans="1:32" ht="15" customHeight="1">
      <c r="A190" s="1435"/>
      <c r="B190" s="818"/>
      <c r="C190" s="819"/>
      <c r="D190" s="822"/>
      <c r="E190" s="822"/>
      <c r="F190" s="821"/>
      <c r="G190" s="821"/>
      <c r="H190" s="840"/>
      <c r="I190" s="840"/>
      <c r="J190" s="821"/>
      <c r="K190" s="821"/>
      <c r="L190" s="822"/>
      <c r="M190" s="838"/>
      <c r="N190" s="821"/>
      <c r="O190" s="821"/>
      <c r="P190" s="821"/>
      <c r="Q190" s="821"/>
      <c r="R190" s="839"/>
      <c r="S190" s="841"/>
      <c r="T190" s="821"/>
      <c r="U190" s="825"/>
      <c r="V190" s="826"/>
    </row>
    <row r="191" spans="1:32" ht="15" customHeight="1">
      <c r="A191" s="1435"/>
      <c r="B191" s="827"/>
      <c r="C191" s="828"/>
      <c r="D191" s="842"/>
      <c r="E191" s="830"/>
      <c r="F191" s="831"/>
      <c r="G191" s="831"/>
      <c r="H191" s="843"/>
      <c r="I191" s="843"/>
      <c r="J191" s="831"/>
      <c r="K191" s="831"/>
      <c r="L191" s="830"/>
      <c r="M191" s="831"/>
      <c r="N191" s="831"/>
      <c r="O191" s="831"/>
      <c r="P191" s="831"/>
      <c r="Q191" s="831"/>
      <c r="R191" s="833"/>
      <c r="S191" s="834"/>
      <c r="T191" s="831"/>
      <c r="U191" s="825"/>
      <c r="V191" s="826"/>
    </row>
    <row r="192" spans="1:32" ht="15" customHeight="1">
      <c r="A192" s="180"/>
      <c r="B192" s="180"/>
      <c r="C192" s="180" t="s">
        <v>770</v>
      </c>
      <c r="D192" s="395"/>
      <c r="E192" s="844">
        <f>SUM(E166:E189)</f>
        <v>0</v>
      </c>
      <c r="F192" s="180"/>
      <c r="G192" s="180"/>
      <c r="H192" s="844"/>
      <c r="I192" s="180"/>
      <c r="J192" s="845"/>
      <c r="K192" s="845"/>
      <c r="L192" s="180"/>
      <c r="M192" s="845"/>
      <c r="N192" s="180"/>
      <c r="O192" s="180"/>
      <c r="P192" s="180"/>
      <c r="Q192" s="180"/>
      <c r="R192" s="263"/>
      <c r="S192" s="180"/>
      <c r="T192" s="180"/>
    </row>
    <row r="193" spans="1:32" ht="28.5" customHeight="1">
      <c r="A193" s="1436" t="s">
        <v>746</v>
      </c>
      <c r="B193" s="1436"/>
      <c r="C193" s="1436"/>
      <c r="D193" s="1436"/>
      <c r="E193" s="1436"/>
      <c r="F193" s="1436"/>
      <c r="G193" s="1436"/>
      <c r="H193" s="1436"/>
      <c r="I193" s="1436"/>
      <c r="J193" s="1436"/>
      <c r="K193" s="1436"/>
      <c r="L193" s="1436"/>
      <c r="M193" s="1436"/>
      <c r="N193" s="1436"/>
      <c r="O193" s="1436"/>
      <c r="P193" s="1436"/>
      <c r="Q193" s="1436"/>
      <c r="R193" s="1436"/>
      <c r="S193" s="1436"/>
      <c r="T193" s="1436"/>
      <c r="U193" s="515"/>
      <c r="V193" s="846"/>
    </row>
    <row r="194" spans="1:32" ht="15" customHeight="1">
      <c r="A194" s="1437" t="s">
        <v>747</v>
      </c>
      <c r="B194" s="1437"/>
      <c r="C194" s="1437"/>
      <c r="D194" s="1437"/>
      <c r="E194" s="1437"/>
      <c r="F194" s="1437"/>
      <c r="G194" s="1437"/>
      <c r="H194" s="1437"/>
      <c r="I194" s="1437"/>
      <c r="J194" s="1437"/>
      <c r="K194" s="1437"/>
      <c r="L194" s="1437"/>
      <c r="M194" s="1437"/>
      <c r="N194" s="1437"/>
      <c r="O194" s="1437"/>
      <c r="P194" s="1437"/>
      <c r="Q194" s="1437"/>
      <c r="R194" s="1437"/>
      <c r="S194" s="1437"/>
      <c r="T194" s="1437"/>
      <c r="U194" s="806"/>
      <c r="V194" s="807"/>
    </row>
    <row r="195" spans="1:32" ht="15" customHeight="1">
      <c r="A195" s="1438" t="str">
        <f>"DATE OF MANUFACTURING : " &amp; TEXT(V199, "DD-MM-YYYY")</f>
        <v>DATE OF MANUFACTURING : 00-01-1900</v>
      </c>
      <c r="B195" s="1438"/>
      <c r="C195" s="1438"/>
      <c r="D195" s="1438"/>
      <c r="E195" s="1438"/>
      <c r="F195" s="1438"/>
      <c r="G195" s="1438"/>
      <c r="H195" s="1438"/>
      <c r="I195" s="1438"/>
      <c r="J195" s="1438"/>
      <c r="K195" s="1438"/>
      <c r="L195" s="1438"/>
      <c r="M195" s="1438"/>
      <c r="N195" s="1437" t="s">
        <v>748</v>
      </c>
      <c r="O195" s="1437"/>
      <c r="P195" s="1437"/>
      <c r="Q195" s="1437"/>
      <c r="R195" s="1437"/>
      <c r="S195" s="1437"/>
      <c r="T195" s="1437"/>
      <c r="U195" s="808"/>
      <c r="V195" s="809"/>
    </row>
    <row r="196" spans="1:32" ht="29.25" customHeight="1">
      <c r="A196" s="1439" t="s">
        <v>749</v>
      </c>
      <c r="B196" s="1440" t="s">
        <v>750</v>
      </c>
      <c r="C196" s="1440"/>
      <c r="D196" s="1440" t="s">
        <v>751</v>
      </c>
      <c r="E196" s="1441" t="s">
        <v>752</v>
      </c>
      <c r="F196" s="1442" t="s">
        <v>753</v>
      </c>
      <c r="G196" s="1442"/>
      <c r="H196" s="1442"/>
      <c r="I196" s="1442"/>
      <c r="J196" s="1442"/>
      <c r="K196" s="1442"/>
      <c r="L196" s="1442"/>
      <c r="M196" s="1442"/>
      <c r="N196" s="1442" t="s">
        <v>754</v>
      </c>
      <c r="O196" s="1442"/>
      <c r="P196" s="1442"/>
      <c r="Q196" s="1442"/>
      <c r="R196" s="1443" t="s">
        <v>771</v>
      </c>
      <c r="S196" s="1441" t="s">
        <v>756</v>
      </c>
      <c r="T196" s="1440" t="s">
        <v>104</v>
      </c>
      <c r="U196" s="810"/>
      <c r="V196" s="811"/>
    </row>
    <row r="197" spans="1:32" ht="42.75" customHeight="1">
      <c r="A197" s="1439"/>
      <c r="B197" s="1440"/>
      <c r="C197" s="1440"/>
      <c r="D197" s="1440"/>
      <c r="E197" s="1440"/>
      <c r="F197" s="812" t="s">
        <v>40</v>
      </c>
      <c r="G197" s="812" t="s">
        <v>757</v>
      </c>
      <c r="H197" s="813" t="s">
        <v>758</v>
      </c>
      <c r="I197" s="812" t="s">
        <v>43</v>
      </c>
      <c r="J197" s="812" t="s">
        <v>42</v>
      </c>
      <c r="K197" s="812" t="s">
        <v>759</v>
      </c>
      <c r="L197" s="812" t="s">
        <v>760</v>
      </c>
      <c r="M197" s="812" t="s">
        <v>761</v>
      </c>
      <c r="N197" s="814" t="s">
        <v>762</v>
      </c>
      <c r="O197" s="815" t="s">
        <v>772</v>
      </c>
      <c r="P197" s="816" t="s">
        <v>773</v>
      </c>
      <c r="Q197" s="817" t="s">
        <v>764</v>
      </c>
      <c r="R197" s="1443"/>
      <c r="S197" s="1443"/>
      <c r="T197" s="1443"/>
      <c r="U197" s="810"/>
      <c r="V197" s="811"/>
    </row>
    <row r="198" spans="1:32" ht="15" customHeight="1">
      <c r="A198" s="1435">
        <v>1</v>
      </c>
      <c r="B198" s="818">
        <f>W199</f>
        <v>0</v>
      </c>
      <c r="C198" s="819" t="s">
        <v>765</v>
      </c>
      <c r="D198" s="820"/>
      <c r="E198" s="821"/>
      <c r="F198" s="821">
        <f ca="1">F199 + (RAND() * 0.02 - 0.01)</f>
        <v>-3.9980992084003965E-3</v>
      </c>
      <c r="G198" s="821">
        <f ca="1">G199 + (RAND() * 0.06 - 0.03)</f>
        <v>0.48612365929092521</v>
      </c>
      <c r="H198" s="822">
        <f ca="1">H199 + (RAND() * 0.006 - 0.003)</f>
        <v>2.8264801696228472E-3</v>
      </c>
      <c r="I198" s="822">
        <f ca="1">I199 + (RAND() * 0.006 - 0.003)</f>
        <v>-2.0557161405046504E-3</v>
      </c>
      <c r="J198" s="821">
        <f ca="1">J199 + (RAND() * 0.02 - 0.01)</f>
        <v>1.0249384847736513E-4</v>
      </c>
      <c r="K198" s="821"/>
      <c r="L198" s="822"/>
      <c r="M198" s="821"/>
      <c r="N198" s="823"/>
      <c r="O198" s="823"/>
      <c r="P198" s="823"/>
      <c r="Q198" s="823"/>
      <c r="R198" s="824"/>
      <c r="S198" s="821"/>
      <c r="T198" s="821"/>
      <c r="U198" s="825"/>
      <c r="V198" s="826"/>
      <c r="AE198" t="s">
        <v>767</v>
      </c>
    </row>
    <row r="199" spans="1:32" ht="15" customHeight="1">
      <c r="A199" s="1435"/>
      <c r="B199" s="827">
        <f>B198</f>
        <v>0</v>
      </c>
      <c r="C199" s="828" t="s">
        <v>768</v>
      </c>
      <c r="D199" s="829" t="str">
        <f>IF(AC199=130, "130 × 130", IF(AC199=160, "160 × 160", IF(AC199=110, "110 × 110", "Value not 130, 160, or 110")))</f>
        <v>Value not 130, 160, or 110</v>
      </c>
      <c r="E199" s="830">
        <f>AD199</f>
        <v>0</v>
      </c>
      <c r="F199" s="831">
        <f ca="1">IF(X199 &gt; 0.1, RAND() * (0.1 - 0.06) + 0.06, X199)</f>
        <v>0</v>
      </c>
      <c r="G199" s="831">
        <f ca="1">IF(Y199 &lt; 0.5, 0.5 + RAND() * 0.1, Y199)</f>
        <v>0.50157690214045336</v>
      </c>
      <c r="H199" s="830">
        <f ca="1">IF(AB199&gt;0.04, 0.029 + (0.039-0.029)*RAND(), AB199)</f>
        <v>0</v>
      </c>
      <c r="I199" s="830">
        <f ca="1">IF(AA199&gt;0.04, 0.029 + (0.039-0.029)*RAND(), AA199)</f>
        <v>0</v>
      </c>
      <c r="J199" s="831">
        <f ca="1">IF(Z199&gt;0.15, 0.11 + (0.15-0.11) * RAND(), Z199)</f>
        <v>0</v>
      </c>
      <c r="K199" s="830">
        <f ca="1">0.004 + (RAND() * (0.001 - 0.004))</f>
        <v>1.3232406334160052E-3</v>
      </c>
      <c r="L199" s="830">
        <f ca="1">H199+I199</f>
        <v>0</v>
      </c>
      <c r="M199" s="831">
        <f ca="1">(G199/6)+F199</f>
        <v>8.3596150356742227E-2</v>
      </c>
      <c r="N199" s="831">
        <f ca="1">2 + RAND()</f>
        <v>2.212496515404756</v>
      </c>
      <c r="O199" s="831">
        <f ca="1">1 + RAND()</f>
        <v>1.267467773558772</v>
      </c>
      <c r="P199" s="831">
        <f ca="1">2.98 + (RAND() * (3.03 - 2.98))</f>
        <v>2.9973701575117637</v>
      </c>
      <c r="Q199" s="832" t="str">
        <f ca="1">IF(D199="130 × 130", (130 + RANDBETWEEN(-1,1)) &amp; " × " &amp; (130 + RANDBETWEEN(-1,1)),
   IF(D199="160 × 160", (160 + RANDBETWEEN(-1,1)) &amp; " × " &amp; (160 + RANDBETWEEN(-1,1)),
   IF(D199="110 × 110", (110 + RANDBETWEEN(-1,1)) &amp; " × " &amp; (110 + RANDBETWEEN(-1,1)),
   "Value not matched")))</f>
        <v>Value not matched</v>
      </c>
      <c r="R199" s="833" t="s">
        <v>213</v>
      </c>
      <c r="S199" s="834" t="str">
        <f ca="1">IF(G199&lt;0.6, "IS 14650 CPS 10748/GR2", "IS 14650 CPS 10748/GR3")</f>
        <v>IS 14650 CPS 10748/GR2</v>
      </c>
      <c r="T199" s="831" t="s">
        <v>769</v>
      </c>
      <c r="U199" s="825"/>
      <c r="V199" s="835">
        <f>Prod.!A112</f>
        <v>0</v>
      </c>
      <c r="W199" s="206">
        <f>Prod.!B112</f>
        <v>0</v>
      </c>
      <c r="X199" s="469">
        <f>Prod.!C112</f>
        <v>0</v>
      </c>
      <c r="Y199" s="469">
        <f>Prod.!D112</f>
        <v>0</v>
      </c>
      <c r="Z199" s="469">
        <f>Prod.!E112</f>
        <v>0</v>
      </c>
      <c r="AA199" s="282">
        <f>Prod.!F112</f>
        <v>0</v>
      </c>
      <c r="AB199" s="282">
        <f>Prod.!G112</f>
        <v>0</v>
      </c>
      <c r="AC199" s="836">
        <f>Prod.!H112</f>
        <v>0</v>
      </c>
      <c r="AD199" s="282">
        <f>Prod.!AB112</f>
        <v>0</v>
      </c>
      <c r="AE199" s="282">
        <f>AD199-AF199</f>
        <v>0</v>
      </c>
      <c r="AF199" s="282">
        <f>Prod.!AA112</f>
        <v>0</v>
      </c>
    </row>
    <row r="200" spans="1:32" ht="15" customHeight="1">
      <c r="A200" s="1435">
        <v>2</v>
      </c>
      <c r="B200" s="818">
        <f>W201</f>
        <v>0</v>
      </c>
      <c r="C200" s="819" t="s">
        <v>765</v>
      </c>
      <c r="D200" s="822"/>
      <c r="E200" s="822"/>
      <c r="F200" s="821">
        <f ca="1">F201 + (RAND() * 0.02 - 0.01)</f>
        <v>6.0375940920499773E-3</v>
      </c>
      <c r="G200" s="821">
        <f ca="1">G201 + (RAND() * 0.06 - 0.03)</f>
        <v>0.48719852631437949</v>
      </c>
      <c r="H200" s="822">
        <f ca="1">H201 + (RAND() * 0.006 - 0.003)</f>
        <v>-2.2893532521447114E-3</v>
      </c>
      <c r="I200" s="822">
        <f ca="1">I201 + (RAND() * 0.006 - 0.003)</f>
        <v>-6.3452357252348273E-4</v>
      </c>
      <c r="J200" s="821">
        <f ca="1">J201 + (RAND() * 0.02 - 0.01)</f>
        <v>-7.4325196525655852E-3</v>
      </c>
      <c r="K200" s="821"/>
      <c r="L200" s="822"/>
      <c r="M200" s="821"/>
      <c r="N200" s="823"/>
      <c r="O200" s="823"/>
      <c r="P200" s="823"/>
      <c r="Q200" s="823"/>
      <c r="R200" s="837"/>
      <c r="S200" s="821"/>
      <c r="T200" s="838"/>
      <c r="U200" s="825"/>
      <c r="V200" s="826"/>
    </row>
    <row r="201" spans="1:32" ht="15" customHeight="1">
      <c r="A201" s="1435"/>
      <c r="B201" s="827">
        <f>B200</f>
        <v>0</v>
      </c>
      <c r="C201" s="828" t="s">
        <v>768</v>
      </c>
      <c r="D201" s="829" t="str">
        <f>IF(AC201=130, "130 × 130", IF(AC201=160, "160 × 160", IF(AC201=110, "110 × 110", "Value not 130, 160, or 110")))</f>
        <v>Value not 130, 160, or 110</v>
      </c>
      <c r="E201" s="830">
        <f>AD201</f>
        <v>0</v>
      </c>
      <c r="F201" s="831">
        <f ca="1">IF(X201 &gt; 0.1, RAND() * (0.1 - 0.06) + 0.06, X201)</f>
        <v>0</v>
      </c>
      <c r="G201" s="831">
        <f ca="1">IF(Y201 &lt; 0.5, 0.5 + RAND() * 0.1, Y201)</f>
        <v>0.51325986473820606</v>
      </c>
      <c r="H201" s="830">
        <f ca="1">IF(AB201&gt;0.04, 0.029 + (0.039-0.029)*RAND(), AB201)</f>
        <v>0</v>
      </c>
      <c r="I201" s="830">
        <f ca="1">IF(AA201&gt;0.04, 0.029 + (0.039-0.029)*RAND(), AA201)</f>
        <v>0</v>
      </c>
      <c r="J201" s="831">
        <f ca="1">IF(Z201&gt;0.15, 0.11 + (0.15-0.11) * RAND(), Z201)</f>
        <v>0</v>
      </c>
      <c r="K201" s="830">
        <f ca="1">0.004 + (RAND() * (0.001 - 0.004))</f>
        <v>2.1579662654194155E-3</v>
      </c>
      <c r="L201" s="830">
        <f ca="1">H201+I201</f>
        <v>0</v>
      </c>
      <c r="M201" s="831">
        <f ca="1">(G201/6)+F201</f>
        <v>8.554331078970101E-2</v>
      </c>
      <c r="N201" s="831">
        <f ca="1">2 + RAND()</f>
        <v>2.301023082669543</v>
      </c>
      <c r="O201" s="831">
        <f ca="1">1 + RAND()</f>
        <v>1.1796425756532167</v>
      </c>
      <c r="P201" s="831">
        <f ca="1">2.98 + (RAND() * (3.03 - 2.98))</f>
        <v>2.9919312804300078</v>
      </c>
      <c r="Q201" s="832" t="str">
        <f ca="1">IF(D201="130 × 130", (130 + RANDBETWEEN(-1,1)) &amp; " × " &amp; (130 + RANDBETWEEN(-1,1)),
   IF(D201="160 × 160", (160 + RANDBETWEEN(-1,1)) &amp; " × " &amp; (160 + RANDBETWEEN(-1,1)),
   IF(D201="110 × 110", (110 + RANDBETWEEN(-1,1)) &amp; " × " &amp; (110 + RANDBETWEEN(-1,1)),
   "Value not matched")))</f>
        <v>Value not matched</v>
      </c>
      <c r="R201" s="833" t="s">
        <v>213</v>
      </c>
      <c r="S201" s="834" t="str">
        <f ca="1">IF(G201&lt;0.6, "IS 14650 CPS 10748/GR2", "IS 14650 CPS 10748/GR3")</f>
        <v>IS 14650 CPS 10748/GR2</v>
      </c>
      <c r="T201" s="831" t="s">
        <v>769</v>
      </c>
      <c r="U201" s="825"/>
      <c r="V201" s="826"/>
      <c r="W201" s="206">
        <f>Prod.!B113</f>
        <v>0</v>
      </c>
      <c r="X201" s="469">
        <f>Prod.!C113</f>
        <v>0</v>
      </c>
      <c r="Y201" s="469">
        <f>Prod.!D113</f>
        <v>0</v>
      </c>
      <c r="Z201" s="469">
        <f>Prod.!E113</f>
        <v>0</v>
      </c>
      <c r="AA201" s="282">
        <f>Prod.!F113</f>
        <v>0</v>
      </c>
      <c r="AB201" s="282">
        <f>Prod.!G113</f>
        <v>0</v>
      </c>
      <c r="AC201" s="836">
        <f>Prod.!H113</f>
        <v>0</v>
      </c>
      <c r="AD201" s="282">
        <f>Prod.!AB113</f>
        <v>0</v>
      </c>
      <c r="AE201" s="282">
        <f>AD201-AF201</f>
        <v>0</v>
      </c>
      <c r="AF201" s="282">
        <f>Prod.!AA113</f>
        <v>0</v>
      </c>
    </row>
    <row r="202" spans="1:32" ht="15" customHeight="1">
      <c r="A202" s="1435">
        <v>3</v>
      </c>
      <c r="B202" s="818">
        <f>W203</f>
        <v>0</v>
      </c>
      <c r="C202" s="819" t="s">
        <v>765</v>
      </c>
      <c r="D202" s="822"/>
      <c r="E202" s="822"/>
      <c r="F202" s="821">
        <f ca="1">F203 + (RAND() * 0.02 - 0.01)</f>
        <v>6.7474138201856267E-3</v>
      </c>
      <c r="G202" s="821">
        <f ca="1">G203 + (RAND() * 0.06 - 0.03)</f>
        <v>0.56297568807971254</v>
      </c>
      <c r="H202" s="822">
        <f ca="1">H203 + (RAND() * 0.006 - 0.003)</f>
        <v>-2.3995980305338447E-3</v>
      </c>
      <c r="I202" s="822">
        <f ca="1">I203 + (RAND() * 0.006 - 0.003)</f>
        <v>1.6548609917445218E-3</v>
      </c>
      <c r="J202" s="821">
        <f ca="1">J203 + (RAND() * 0.02 - 0.01)</f>
        <v>8.6283373536299151E-3</v>
      </c>
      <c r="K202" s="821"/>
      <c r="L202" s="822"/>
      <c r="M202" s="821"/>
      <c r="N202" s="823"/>
      <c r="O202" s="823"/>
      <c r="P202" s="823"/>
      <c r="Q202" s="823"/>
      <c r="R202" s="839"/>
      <c r="S202" s="821"/>
      <c r="T202" s="821"/>
      <c r="U202" s="825"/>
      <c r="V202" s="826"/>
    </row>
    <row r="203" spans="1:32" ht="15" customHeight="1">
      <c r="A203" s="1435"/>
      <c r="B203" s="827">
        <f>B202</f>
        <v>0</v>
      </c>
      <c r="C203" s="828" t="s">
        <v>768</v>
      </c>
      <c r="D203" s="829" t="str">
        <f>IF(AC203=130, "130 × 130", IF(AC203=160, "160 × 160", IF(AC203=110, "110 × 110", "Value not 130, 160, or 110")))</f>
        <v>Value not 130, 160, or 110</v>
      </c>
      <c r="E203" s="830">
        <f>AD203</f>
        <v>0</v>
      </c>
      <c r="F203" s="831">
        <f ca="1">IF(X203 &gt; 0.1, RAND() * (0.1 - 0.06) + 0.06, X203)</f>
        <v>0</v>
      </c>
      <c r="G203" s="831">
        <f ca="1">IF(Y203 &lt; 0.5, 0.5 + RAND() * 0.1, Y203)</f>
        <v>0.54637453715244777</v>
      </c>
      <c r="H203" s="830">
        <f ca="1">IF(AB203&gt;0.04, 0.029 + (0.039-0.029)*RAND(), AB203)</f>
        <v>0</v>
      </c>
      <c r="I203" s="830">
        <f ca="1">IF(AA203&gt;0.04, 0.029 + (0.039-0.029)*RAND(), AA203)</f>
        <v>0</v>
      </c>
      <c r="J203" s="831">
        <f ca="1">IF(Z203&gt;0.15, 0.11 + (0.15-0.11) * RAND(), Z203)</f>
        <v>0</v>
      </c>
      <c r="K203" s="830">
        <f ca="1">0.004 + (RAND() * (0.001 - 0.004))</f>
        <v>3.2790474464588146E-3</v>
      </c>
      <c r="L203" s="830">
        <f ca="1">H203+I203</f>
        <v>0</v>
      </c>
      <c r="M203" s="831">
        <f ca="1">(G203/6)+F203</f>
        <v>9.106242285874129E-2</v>
      </c>
      <c r="N203" s="831">
        <f ca="1">2 + RAND()</f>
        <v>2.4299332038083281</v>
      </c>
      <c r="O203" s="831">
        <f ca="1">1 + RAND()</f>
        <v>1.8467396411345143</v>
      </c>
      <c r="P203" s="831">
        <f ca="1">2.98 + (RAND() * (3.03 - 2.98))</f>
        <v>3.0216228034076162</v>
      </c>
      <c r="Q203" s="832" t="str">
        <f ca="1">IF(D203="130 × 130", (130 + RANDBETWEEN(-1,1)) &amp; " × " &amp; (130 + RANDBETWEEN(-1,1)),
   IF(D203="160 × 160", (160 + RANDBETWEEN(-1,1)) &amp; " × " &amp; (160 + RANDBETWEEN(-1,1)),
   IF(D203="110 × 110", (110 + RANDBETWEEN(-1,1)) &amp; " × " &amp; (110 + RANDBETWEEN(-1,1)),
   "Value not matched")))</f>
        <v>Value not matched</v>
      </c>
      <c r="R203" s="833" t="s">
        <v>213</v>
      </c>
      <c r="S203" s="834" t="str">
        <f ca="1">IF(G203&lt;0.6, "IS 14650 CPS 10748/GR2", "IS 14650 CPS 10748/GR3")</f>
        <v>IS 14650 CPS 10748/GR2</v>
      </c>
      <c r="T203" s="831" t="s">
        <v>769</v>
      </c>
      <c r="U203" s="825"/>
      <c r="V203" s="826"/>
      <c r="W203" s="206">
        <f>Prod.!B114</f>
        <v>0</v>
      </c>
      <c r="X203" s="469">
        <f>Prod.!C114</f>
        <v>0</v>
      </c>
      <c r="Y203" s="469">
        <f>Prod.!D114</f>
        <v>0</v>
      </c>
      <c r="Z203" s="469">
        <f>Prod.!E114</f>
        <v>0</v>
      </c>
      <c r="AA203" s="282">
        <f>Prod.!F114</f>
        <v>0</v>
      </c>
      <c r="AB203" s="282">
        <f>Prod.!G114</f>
        <v>0</v>
      </c>
      <c r="AC203" s="836">
        <f>Prod.!H114</f>
        <v>0</v>
      </c>
      <c r="AD203" s="282">
        <f>Prod.!AB114</f>
        <v>0</v>
      </c>
      <c r="AE203" s="282">
        <f>AD203-AF203</f>
        <v>0</v>
      </c>
      <c r="AF203" s="282">
        <f>Prod.!AA114</f>
        <v>0</v>
      </c>
    </row>
    <row r="204" spans="1:32" ht="15" customHeight="1">
      <c r="A204" s="1435">
        <v>4</v>
      </c>
      <c r="B204" s="818">
        <f>W205</f>
        <v>0</v>
      </c>
      <c r="C204" s="819" t="s">
        <v>765</v>
      </c>
      <c r="D204" s="822"/>
      <c r="E204" s="822"/>
      <c r="F204" s="821">
        <f ca="1">F205 + (RAND() * 0.02 - 0.01)</f>
        <v>-1.2501586595143385E-3</v>
      </c>
      <c r="G204" s="821">
        <f ca="1">G205 + (RAND() * 0.06 - 0.03)</f>
        <v>0.57592947496644464</v>
      </c>
      <c r="H204" s="822">
        <f ca="1">H205 + (RAND() * 0.006 - 0.003)</f>
        <v>1.5853466751534762E-3</v>
      </c>
      <c r="I204" s="822">
        <f ca="1">I205 + (RAND() * 0.006 - 0.003)</f>
        <v>-1.7748609641344225E-3</v>
      </c>
      <c r="J204" s="821">
        <f ca="1">J205 + (RAND() * 0.02 - 0.01)</f>
        <v>1.5238919516238347E-3</v>
      </c>
      <c r="K204" s="821"/>
      <c r="L204" s="822"/>
      <c r="M204" s="821"/>
      <c r="N204" s="823"/>
      <c r="O204" s="823"/>
      <c r="P204" s="823"/>
      <c r="Q204" s="823"/>
      <c r="R204" s="839"/>
      <c r="S204" s="821"/>
      <c r="T204" s="821"/>
      <c r="U204" s="825"/>
      <c r="V204" s="826"/>
    </row>
    <row r="205" spans="1:32" ht="15" customHeight="1">
      <c r="A205" s="1435"/>
      <c r="B205" s="827">
        <f>B204</f>
        <v>0</v>
      </c>
      <c r="C205" s="828" t="s">
        <v>768</v>
      </c>
      <c r="D205" s="829" t="str">
        <f>IF(AC205=130, "130 × 130", IF(AC205=160, "160 × 160", IF(AC205=110, "110 × 110", "Value not 130, 160, or 110")))</f>
        <v>Value not 130, 160, or 110</v>
      </c>
      <c r="E205" s="830">
        <f>AD205</f>
        <v>0</v>
      </c>
      <c r="F205" s="831">
        <f ca="1">IF(X205 &gt; 0.1, RAND() * (0.1 - 0.06) + 0.06, X205)</f>
        <v>0</v>
      </c>
      <c r="G205" s="831">
        <f ca="1">IF(Y205 &lt; 0.5, 0.5 + RAND() * 0.1, Y205)</f>
        <v>0.5803406561202441</v>
      </c>
      <c r="H205" s="830">
        <f ca="1">IF(AB205&gt;0.04, 0.029 + (0.039-0.029)*RAND(), AB205)</f>
        <v>0</v>
      </c>
      <c r="I205" s="830">
        <f ca="1">IF(AA205&gt;0.04, 0.029 + (0.039-0.029)*RAND(), AA205)</f>
        <v>0</v>
      </c>
      <c r="J205" s="831">
        <f ca="1">IF(Z205&gt;0.15, 0.11 + (0.15-0.11) * RAND(), Z205)</f>
        <v>0</v>
      </c>
      <c r="K205" s="830">
        <f ca="1">0.004 + (RAND() * (0.001 - 0.004))</f>
        <v>1.2746694117702971E-3</v>
      </c>
      <c r="L205" s="830">
        <f ca="1">H205+I205</f>
        <v>0</v>
      </c>
      <c r="M205" s="831">
        <f ca="1">(G205/6)+F205</f>
        <v>9.672344268670735E-2</v>
      </c>
      <c r="N205" s="831">
        <f ca="1">2 + RAND()</f>
        <v>2.6209665407132099</v>
      </c>
      <c r="O205" s="831">
        <f ca="1">1 + RAND()</f>
        <v>1.6464813124796236</v>
      </c>
      <c r="P205" s="831">
        <f ca="1">2.98 + (RAND() * (3.03 - 2.98))</f>
        <v>3.0133531665126529</v>
      </c>
      <c r="Q205" s="832" t="str">
        <f ca="1">IF(D205="130 × 130", (130 + RANDBETWEEN(-1,1)) &amp; " × " &amp; (130 + RANDBETWEEN(-1,1)),
   IF(D205="160 × 160", (160 + RANDBETWEEN(-1,1)) &amp; " × " &amp; (160 + RANDBETWEEN(-1,1)),
   IF(D205="110 × 110", (110 + RANDBETWEEN(-1,1)) &amp; " × " &amp; (110 + RANDBETWEEN(-1,1)),
   "Value not matched")))</f>
        <v>Value not matched</v>
      </c>
      <c r="R205" s="833" t="s">
        <v>213</v>
      </c>
      <c r="S205" s="834" t="str">
        <f ca="1">IF(G205&lt;0.6, "IS 14650 CPS 10748/GR2", "IS 14650 CPS 10748/GR3")</f>
        <v>IS 14650 CPS 10748/GR2</v>
      </c>
      <c r="T205" s="831" t="s">
        <v>769</v>
      </c>
      <c r="U205" s="825"/>
      <c r="V205" s="826"/>
      <c r="W205" s="206">
        <f>Prod.!B115</f>
        <v>0</v>
      </c>
      <c r="X205" s="469">
        <f>Prod.!C115</f>
        <v>0</v>
      </c>
      <c r="Y205" s="469">
        <f>Prod.!D115</f>
        <v>0</v>
      </c>
      <c r="Z205" s="469">
        <f>Prod.!E115</f>
        <v>0</v>
      </c>
      <c r="AA205" s="282">
        <f>Prod.!F115</f>
        <v>0</v>
      </c>
      <c r="AB205" s="282">
        <f>Prod.!G115</f>
        <v>0</v>
      </c>
      <c r="AC205" s="836">
        <f>Prod.!H115</f>
        <v>0</v>
      </c>
      <c r="AD205" s="282">
        <f>Prod.!AB115</f>
        <v>0</v>
      </c>
      <c r="AE205" s="282">
        <f>AD205-AF205</f>
        <v>0</v>
      </c>
      <c r="AF205" s="282">
        <f>Prod.!AA115</f>
        <v>0</v>
      </c>
    </row>
    <row r="206" spans="1:32" ht="15" customHeight="1">
      <c r="A206" s="1435">
        <v>5</v>
      </c>
      <c r="B206" s="818">
        <f>W207</f>
        <v>0</v>
      </c>
      <c r="C206" s="819" t="s">
        <v>765</v>
      </c>
      <c r="D206" s="822"/>
      <c r="E206" s="822"/>
      <c r="F206" s="821">
        <f ca="1">F207 + (RAND() * 0.02 - 0.01)</f>
        <v>1.1909237339736631E-3</v>
      </c>
      <c r="G206" s="821">
        <f ca="1">G207 + (RAND() * 0.06 - 0.03)</f>
        <v>0.55380557940229158</v>
      </c>
      <c r="H206" s="822">
        <f ca="1">H207 + (RAND() * 0.006 - 0.003)</f>
        <v>1.8380831113120116E-3</v>
      </c>
      <c r="I206" s="822">
        <f ca="1">I207 + (RAND() * 0.006 - 0.003)</f>
        <v>1.7807151636485222E-3</v>
      </c>
      <c r="J206" s="821">
        <f ca="1">J207 + (RAND() * 0.02 - 0.01)</f>
        <v>-4.3871195310044913E-3</v>
      </c>
      <c r="K206" s="821"/>
      <c r="L206" s="822"/>
      <c r="M206" s="821"/>
      <c r="N206" s="823"/>
      <c r="O206" s="823"/>
      <c r="P206" s="823"/>
      <c r="Q206" s="823"/>
      <c r="R206" s="839"/>
      <c r="S206" s="821"/>
      <c r="T206" s="821"/>
      <c r="U206" s="825"/>
      <c r="V206" s="826"/>
    </row>
    <row r="207" spans="1:32" ht="15" customHeight="1">
      <c r="A207" s="1435"/>
      <c r="B207" s="827">
        <f>B206</f>
        <v>0</v>
      </c>
      <c r="C207" s="828" t="s">
        <v>768</v>
      </c>
      <c r="D207" s="829" t="str">
        <f>IF(AC207=130, "130 × 130", IF(AC207=160, "160 × 160", IF(AC207=110, "110 × 110", "Value not 130, 160, or 110")))</f>
        <v>Value not 130, 160, or 110</v>
      </c>
      <c r="E207" s="830">
        <f>AD207</f>
        <v>0</v>
      </c>
      <c r="F207" s="831">
        <f ca="1">IF(X207 &gt; 0.1, RAND() * (0.1 - 0.06) + 0.06, X207)</f>
        <v>0</v>
      </c>
      <c r="G207" s="831">
        <f ca="1">IF(Y207 &lt; 0.5, 0.5 + RAND() * 0.1, Y207)</f>
        <v>0.54774376965086002</v>
      </c>
      <c r="H207" s="830">
        <f ca="1">IF(AB207&gt;0.04, 0.029 + (0.039-0.029)*RAND(), AB207)</f>
        <v>0</v>
      </c>
      <c r="I207" s="830">
        <f ca="1">IF(AA207&gt;0.04, 0.029 + (0.039-0.029)*RAND(), AA207)</f>
        <v>0</v>
      </c>
      <c r="J207" s="831">
        <f ca="1">IF(Z207&gt;0.15, 0.11 + (0.15-0.11) * RAND(), Z207)</f>
        <v>0</v>
      </c>
      <c r="K207" s="830">
        <f ca="1">0.004 + (RAND() * (0.001 - 0.004))</f>
        <v>3.2794146521729598E-3</v>
      </c>
      <c r="L207" s="830">
        <f ca="1">H207+I207</f>
        <v>0</v>
      </c>
      <c r="M207" s="831">
        <f ca="1">(G207/6)+F207</f>
        <v>9.1290628275143337E-2</v>
      </c>
      <c r="N207" s="831">
        <f ca="1">2 + RAND()</f>
        <v>2.1606833982151126</v>
      </c>
      <c r="O207" s="831">
        <f ca="1">1 + RAND()</f>
        <v>1.9792959319176835</v>
      </c>
      <c r="P207" s="831">
        <f ca="1">2.98 + (RAND() * (3.03 - 2.98))</f>
        <v>3.0131069807960085</v>
      </c>
      <c r="Q207" s="832" t="str">
        <f ca="1">IF(D207="130 × 130", (130 + RANDBETWEEN(-1,1)) &amp; " × " &amp; (130 + RANDBETWEEN(-1,1)),
   IF(D207="160 × 160", (160 + RANDBETWEEN(-1,1)) &amp; " × " &amp; (160 + RANDBETWEEN(-1,1)),
   IF(D207="110 × 110", (110 + RANDBETWEEN(-1,1)) &amp; " × " &amp; (110 + RANDBETWEEN(-1,1)),
   "Value not matched")))</f>
        <v>Value not matched</v>
      </c>
      <c r="R207" s="833" t="s">
        <v>213</v>
      </c>
      <c r="S207" s="834" t="str">
        <f ca="1">IF(G207&lt;0.6, "IS 14650 CPS 10748/GR2", "IS 14650 CPS 10748/GR3")</f>
        <v>IS 14650 CPS 10748/GR2</v>
      </c>
      <c r="T207" s="831" t="s">
        <v>769</v>
      </c>
      <c r="U207" s="825"/>
      <c r="V207" s="826"/>
      <c r="W207" s="206">
        <f>Prod.!B116</f>
        <v>0</v>
      </c>
      <c r="X207" s="469">
        <f>Prod.!C116</f>
        <v>0</v>
      </c>
      <c r="Y207" s="469">
        <f>Prod.!D116</f>
        <v>0</v>
      </c>
      <c r="Z207" s="469">
        <f>Prod.!E116</f>
        <v>0</v>
      </c>
      <c r="AA207" s="282">
        <f>Prod.!F116</f>
        <v>0</v>
      </c>
      <c r="AB207" s="282">
        <f>Prod.!G116</f>
        <v>0</v>
      </c>
      <c r="AC207" s="836">
        <f>Prod.!H116</f>
        <v>0</v>
      </c>
      <c r="AD207" s="282">
        <f>Prod.!AB116</f>
        <v>0</v>
      </c>
      <c r="AE207" s="282">
        <f>AD207-AF207</f>
        <v>0</v>
      </c>
      <c r="AF207" s="282">
        <f>Prod.!AA116</f>
        <v>0</v>
      </c>
    </row>
    <row r="208" spans="1:32" ht="15" customHeight="1">
      <c r="A208" s="1435">
        <v>6</v>
      </c>
      <c r="B208" s="818">
        <f>W209</f>
        <v>0</v>
      </c>
      <c r="C208" s="819" t="s">
        <v>765</v>
      </c>
      <c r="D208" s="822"/>
      <c r="E208" s="822"/>
      <c r="F208" s="821">
        <f ca="1">F209 + (RAND() * 0.02 - 0.01)</f>
        <v>-3.7393849682376933E-3</v>
      </c>
      <c r="G208" s="821">
        <f ca="1">G209 + (RAND() * 0.06 - 0.03)</f>
        <v>0.58385904866657423</v>
      </c>
      <c r="H208" s="822">
        <f ca="1">H209 + (RAND() * 0.006 - 0.003)</f>
        <v>-2.6198221070789355E-3</v>
      </c>
      <c r="I208" s="822">
        <f ca="1">I209 + (RAND() * 0.006 - 0.003)</f>
        <v>-2.9671457352788764E-3</v>
      </c>
      <c r="J208" s="821">
        <f ca="1">J209 + (RAND() * 0.02 - 0.01)</f>
        <v>8.8226265938607436E-3</v>
      </c>
      <c r="K208" s="821"/>
      <c r="L208" s="822"/>
      <c r="M208" s="821"/>
      <c r="N208" s="823"/>
      <c r="O208" s="823"/>
      <c r="P208" s="823"/>
      <c r="Q208" s="823"/>
      <c r="R208" s="839"/>
      <c r="S208" s="821"/>
      <c r="T208" s="821"/>
      <c r="U208" s="825"/>
      <c r="V208" s="826"/>
    </row>
    <row r="209" spans="1:32" ht="15" customHeight="1">
      <c r="A209" s="1435"/>
      <c r="B209" s="827">
        <f>B208</f>
        <v>0</v>
      </c>
      <c r="C209" s="828" t="s">
        <v>768</v>
      </c>
      <c r="D209" s="829" t="str">
        <f>IF(AC209=130, "130 × 130", IF(AC209=160, "160 × 160", IF(AC209=110, "110 × 110", "Value not 130, 160, or 110")))</f>
        <v>Value not 130, 160, or 110</v>
      </c>
      <c r="E209" s="830">
        <f>AD209</f>
        <v>0</v>
      </c>
      <c r="F209" s="831">
        <f ca="1">IF(X209 &gt; 0.1, RAND() * (0.1 - 0.06) + 0.06, X209)</f>
        <v>0</v>
      </c>
      <c r="G209" s="831">
        <f ca="1">IF(Y209 &lt; 0.5, 0.5 + RAND() * 0.1, Y209)</f>
        <v>0.58670218459791812</v>
      </c>
      <c r="H209" s="830">
        <f ca="1">IF(AB209&gt;0.04, 0.029 + (0.039-0.029)*RAND(), AB209)</f>
        <v>0</v>
      </c>
      <c r="I209" s="830">
        <f ca="1">IF(AA209&gt;0.04, 0.029 + (0.039-0.029)*RAND(), AA209)</f>
        <v>0</v>
      </c>
      <c r="J209" s="831">
        <f ca="1">IF(Z209&gt;0.15, 0.11 + (0.15-0.11) * RAND(), Z209)</f>
        <v>0</v>
      </c>
      <c r="K209" s="830">
        <f ca="1">0.004 + (RAND() * (0.001 - 0.004))</f>
        <v>3.290341287200689E-3</v>
      </c>
      <c r="L209" s="830">
        <f ca="1">H209+I209</f>
        <v>0</v>
      </c>
      <c r="M209" s="831">
        <f ca="1">(G209/6)+F209</f>
        <v>9.7783697432986358E-2</v>
      </c>
      <c r="N209" s="831">
        <f ca="1">2 + RAND()</f>
        <v>2.6696266439395036</v>
      </c>
      <c r="O209" s="831">
        <f ca="1">1 + RAND()</f>
        <v>1.6710815829422967</v>
      </c>
      <c r="P209" s="831">
        <f ca="1">2.98 + (RAND() * (3.03 - 2.98))</f>
        <v>2.9800931812753353</v>
      </c>
      <c r="Q209" s="832" t="str">
        <f ca="1">IF(D209="130 × 130", (130 + RANDBETWEEN(-1,1)) &amp; " × " &amp; (130 + RANDBETWEEN(-1,1)),
   IF(D209="160 × 160", (160 + RANDBETWEEN(-1,1)) &amp; " × " &amp; (160 + RANDBETWEEN(-1,1)),
   IF(D209="110 × 110", (110 + RANDBETWEEN(-1,1)) &amp; " × " &amp; (110 + RANDBETWEEN(-1,1)),
   "Value not matched")))</f>
        <v>Value not matched</v>
      </c>
      <c r="R209" s="833" t="s">
        <v>213</v>
      </c>
      <c r="S209" s="834" t="str">
        <f ca="1">IF(G209&lt;0.6, "IS 14650 CPS 10748/GR2", "IS 14650 CPS 10748/GR3")</f>
        <v>IS 14650 CPS 10748/GR2</v>
      </c>
      <c r="T209" s="831" t="s">
        <v>769</v>
      </c>
      <c r="U209" s="825"/>
      <c r="V209" s="826"/>
      <c r="W209" s="206">
        <f>Prod.!B117</f>
        <v>0</v>
      </c>
      <c r="X209" s="469">
        <f>Prod.!C117</f>
        <v>0</v>
      </c>
      <c r="Y209" s="469">
        <f>Prod.!D117</f>
        <v>0</v>
      </c>
      <c r="Z209" s="469">
        <f>Prod.!E117</f>
        <v>0</v>
      </c>
      <c r="AA209" s="282">
        <f>Prod.!F117</f>
        <v>0</v>
      </c>
      <c r="AB209" s="282">
        <f>Prod.!G117</f>
        <v>0</v>
      </c>
      <c r="AC209" s="836">
        <f>Prod.!H117</f>
        <v>0</v>
      </c>
      <c r="AD209" s="282">
        <f>Prod.!AB117</f>
        <v>0</v>
      </c>
      <c r="AE209" s="282">
        <f>AD209-AF209</f>
        <v>0</v>
      </c>
      <c r="AF209" s="282">
        <f>Prod.!AA117</f>
        <v>0</v>
      </c>
    </row>
    <row r="210" spans="1:32" ht="15" customHeight="1">
      <c r="A210" s="1435">
        <v>7</v>
      </c>
      <c r="B210" s="818">
        <f>W211</f>
        <v>0</v>
      </c>
      <c r="C210" s="819" t="s">
        <v>765</v>
      </c>
      <c r="D210" s="822"/>
      <c r="E210" s="822"/>
      <c r="F210" s="821">
        <f ca="1">F211 + (RAND() * 0.02 - 0.01)</f>
        <v>2.1617338300428043E-3</v>
      </c>
      <c r="G210" s="821">
        <f ca="1">G211 + (RAND() * 0.06 - 0.03)</f>
        <v>0.493202798828003</v>
      </c>
      <c r="H210" s="822">
        <f ca="1">H211 + (RAND() * 0.006 - 0.003)</f>
        <v>2.2875357459782222E-3</v>
      </c>
      <c r="I210" s="822">
        <f ca="1">I211 + (RAND() * 0.006 - 0.003)</f>
        <v>2.102868165403048E-3</v>
      </c>
      <c r="J210" s="821">
        <f ca="1">J211 + (RAND() * 0.02 - 0.01)</f>
        <v>-5.419642556357753E-3</v>
      </c>
      <c r="K210" s="821"/>
      <c r="L210" s="822"/>
      <c r="M210" s="821"/>
      <c r="N210" s="823"/>
      <c r="O210" s="823"/>
      <c r="P210" s="823"/>
      <c r="Q210" s="823"/>
      <c r="R210" s="839"/>
      <c r="S210" s="821"/>
      <c r="T210" s="821"/>
      <c r="U210" s="825"/>
      <c r="V210" s="826"/>
    </row>
    <row r="211" spans="1:32" ht="15" customHeight="1">
      <c r="A211" s="1435"/>
      <c r="B211" s="827">
        <f>B210</f>
        <v>0</v>
      </c>
      <c r="C211" s="828" t="s">
        <v>768</v>
      </c>
      <c r="D211" s="829" t="str">
        <f>IF(AC211=130, "130 × 130", IF(AC211=160, "160 × 160", IF(AC211=110, "110 × 110", "Value not 130, 160, or 110")))</f>
        <v>Value not 130, 160, or 110</v>
      </c>
      <c r="E211" s="830">
        <f>AD211</f>
        <v>0</v>
      </c>
      <c r="F211" s="831">
        <f ca="1">IF(X211 &gt; 0.1, RAND() * (0.1 - 0.06) + 0.06, X211)</f>
        <v>0</v>
      </c>
      <c r="G211" s="831">
        <f ca="1">IF(Y211 &lt; 0.5, 0.5 + RAND() * 0.1, Y211)</f>
        <v>0.513445553032296</v>
      </c>
      <c r="H211" s="830">
        <f ca="1">IF(AB211&gt;0.04, 0.029 + (0.039-0.029)*RAND(), AB211)</f>
        <v>0</v>
      </c>
      <c r="I211" s="830">
        <f ca="1">IF(AA211&gt;0.04, 0.029 + (0.039-0.029)*RAND(), AA211)</f>
        <v>0</v>
      </c>
      <c r="J211" s="831">
        <f ca="1">IF(Z211&gt;0.15, 0.11 + (0.15-0.11) * RAND(), Z211)</f>
        <v>0</v>
      </c>
      <c r="K211" s="830">
        <f ca="1">0.004 + (RAND() * (0.001 - 0.004))</f>
        <v>1.9378251957456777E-3</v>
      </c>
      <c r="L211" s="830">
        <f ca="1">H211+I211</f>
        <v>0</v>
      </c>
      <c r="M211" s="831">
        <f ca="1">(G211/6)+F211</f>
        <v>8.5574258838716E-2</v>
      </c>
      <c r="N211" s="831">
        <f ca="1">2 + RAND()</f>
        <v>2.6516488718628994</v>
      </c>
      <c r="O211" s="831">
        <f ca="1">1 + RAND()</f>
        <v>1.6233848532386166</v>
      </c>
      <c r="P211" s="831">
        <f ca="1">2.98 + (RAND() * (3.03 - 2.98))</f>
        <v>2.9984769525104942</v>
      </c>
      <c r="Q211" s="832" t="str">
        <f ca="1">IF(D211="130 × 130", (130 + RANDBETWEEN(-1,1)) &amp; " × " &amp; (130 + RANDBETWEEN(-1,1)),
   IF(D211="160 × 160", (160 + RANDBETWEEN(-1,1)) &amp; " × " &amp; (160 + RANDBETWEEN(-1,1)),
   IF(D211="110 × 110", (110 + RANDBETWEEN(-1,1)) &amp; " × " &amp; (110 + RANDBETWEEN(-1,1)),
   "Value not matched")))</f>
        <v>Value not matched</v>
      </c>
      <c r="R211" s="833" t="s">
        <v>213</v>
      </c>
      <c r="S211" s="834" t="str">
        <f ca="1">IF(G211&lt;0.6, "IS 14650 CPS 10748/GR2", "IS 14650 CPS 10748/GR3")</f>
        <v>IS 14650 CPS 10748/GR2</v>
      </c>
      <c r="T211" s="831" t="s">
        <v>769</v>
      </c>
      <c r="U211" s="825"/>
      <c r="V211" s="826"/>
      <c r="W211" s="206">
        <f>Prod.!B118</f>
        <v>0</v>
      </c>
      <c r="X211" s="469">
        <f>Prod.!C118</f>
        <v>0</v>
      </c>
      <c r="Y211" s="469">
        <f>Prod.!D118</f>
        <v>0</v>
      </c>
      <c r="Z211" s="469">
        <f>Prod.!E118</f>
        <v>0</v>
      </c>
      <c r="AA211" s="282">
        <f>Prod.!F118</f>
        <v>0</v>
      </c>
      <c r="AB211" s="282">
        <f>Prod.!G118</f>
        <v>0</v>
      </c>
      <c r="AC211" s="836">
        <f>Prod.!H118</f>
        <v>0</v>
      </c>
      <c r="AD211" s="282">
        <f>Prod.!AB118</f>
        <v>0</v>
      </c>
      <c r="AE211" s="282">
        <f>AD211-AF211</f>
        <v>0</v>
      </c>
      <c r="AF211" s="282">
        <f>Prod.!AA118</f>
        <v>0</v>
      </c>
    </row>
    <row r="212" spans="1:32" ht="15" customHeight="1">
      <c r="A212" s="1435">
        <v>8</v>
      </c>
      <c r="B212" s="818">
        <f>W213</f>
        <v>0</v>
      </c>
      <c r="C212" s="819" t="s">
        <v>765</v>
      </c>
      <c r="D212" s="822"/>
      <c r="E212" s="822"/>
      <c r="F212" s="821">
        <f ca="1">F213 + (RAND() * 0.02 - 0.01)</f>
        <v>-1.6977309865857416E-3</v>
      </c>
      <c r="G212" s="821">
        <f ca="1">G213 + (RAND() * 0.06 - 0.03)</f>
        <v>0.53411636451605926</v>
      </c>
      <c r="H212" s="822">
        <f ca="1">H213 + (RAND() * 0.006 - 0.003)</f>
        <v>2.2342654652460596E-3</v>
      </c>
      <c r="I212" s="822">
        <f ca="1">I213 + (RAND() * 0.006 - 0.003)</f>
        <v>-8.4022577449866616E-4</v>
      </c>
      <c r="J212" s="821">
        <f ca="1">J213 + (RAND() * 0.02 - 0.01)</f>
        <v>-4.1157630298653399E-3</v>
      </c>
      <c r="K212" s="821"/>
      <c r="L212" s="822"/>
      <c r="M212" s="821"/>
      <c r="N212" s="823"/>
      <c r="O212" s="823"/>
      <c r="P212" s="823"/>
      <c r="Q212" s="823"/>
      <c r="R212" s="839"/>
      <c r="S212" s="821"/>
      <c r="T212" s="821"/>
      <c r="U212" s="825"/>
      <c r="V212" s="826"/>
    </row>
    <row r="213" spans="1:32" ht="15" customHeight="1">
      <c r="A213" s="1435"/>
      <c r="B213" s="827">
        <f>B212</f>
        <v>0</v>
      </c>
      <c r="C213" s="828" t="s">
        <v>768</v>
      </c>
      <c r="D213" s="829" t="str">
        <f>IF(AC213=130, "130 × 130", IF(AC213=160, "160 × 160", IF(AC213=110, "110 × 110", "Value not 130, 160, or 110")))</f>
        <v>Value not 130, 160, or 110</v>
      </c>
      <c r="E213" s="830">
        <f>AD213</f>
        <v>0</v>
      </c>
      <c r="F213" s="831">
        <f ca="1">IF(X213 &gt; 0.1, RAND() * (0.1 - 0.06) + 0.06, X213)</f>
        <v>0</v>
      </c>
      <c r="G213" s="831">
        <f ca="1">IF(Y213 &lt; 0.5, 0.5 + RAND() * 0.1, Y213)</f>
        <v>0.55636273591347929</v>
      </c>
      <c r="H213" s="830">
        <f ca="1">IF(AB213&gt;0.04, 0.029 + (0.039-0.029)*RAND(), AB213)</f>
        <v>0</v>
      </c>
      <c r="I213" s="830">
        <f ca="1">IF(AA213&gt;0.04, 0.029 + (0.039-0.029)*RAND(), AA213)</f>
        <v>0</v>
      </c>
      <c r="J213" s="831">
        <f ca="1">IF(Z213&gt;0.15, 0.11 + (0.15-0.11) * RAND(), Z213)</f>
        <v>0</v>
      </c>
      <c r="K213" s="830">
        <f ca="1">0.004 + (RAND() * (0.001 - 0.004))</f>
        <v>3.0001654650161527E-3</v>
      </c>
      <c r="L213" s="830">
        <f ca="1">H213+I213</f>
        <v>0</v>
      </c>
      <c r="M213" s="831">
        <f ca="1">(G213/6)+F213</f>
        <v>9.2727122652246544E-2</v>
      </c>
      <c r="N213" s="831">
        <f ca="1">2 + RAND()</f>
        <v>2.6736174708332978</v>
      </c>
      <c r="O213" s="831">
        <f ca="1">1 + RAND()</f>
        <v>1.2042578484064845</v>
      </c>
      <c r="P213" s="831">
        <f ca="1">2.98 + (RAND() * (3.03 - 2.98))</f>
        <v>3.015820938904926</v>
      </c>
      <c r="Q213" s="832" t="str">
        <f ca="1">IF(D213="130 × 130", (130 + RANDBETWEEN(-1,1)) &amp; " × " &amp; (130 + RANDBETWEEN(-1,1)),
   IF(D213="160 × 160", (160 + RANDBETWEEN(-1,1)) &amp; " × " &amp; (160 + RANDBETWEEN(-1,1)),
   IF(D213="110 × 110", (110 + RANDBETWEEN(-1,1)) &amp; " × " &amp; (110 + RANDBETWEEN(-1,1)),
   "Value not matched")))</f>
        <v>Value not matched</v>
      </c>
      <c r="R213" s="833" t="s">
        <v>213</v>
      </c>
      <c r="S213" s="834" t="str">
        <f ca="1">IF(G213&lt;0.6, "IS 14650 CPS 10748/GR2", "IS 14650 CPS 10748/GR3")</f>
        <v>IS 14650 CPS 10748/GR2</v>
      </c>
      <c r="T213" s="831" t="s">
        <v>769</v>
      </c>
      <c r="U213" s="825"/>
      <c r="V213" s="826"/>
      <c r="W213" s="206">
        <f>Prod.!B119</f>
        <v>0</v>
      </c>
      <c r="X213" s="469">
        <f>Prod.!C119</f>
        <v>0</v>
      </c>
      <c r="Y213" s="469">
        <f>Prod.!D119</f>
        <v>0</v>
      </c>
      <c r="Z213" s="469">
        <f>Prod.!E119</f>
        <v>0</v>
      </c>
      <c r="AA213" s="282">
        <f>Prod.!F119</f>
        <v>0</v>
      </c>
      <c r="AB213" s="282">
        <f>Prod.!G119</f>
        <v>0</v>
      </c>
      <c r="AC213" s="836">
        <f>Prod.!H119</f>
        <v>0</v>
      </c>
      <c r="AD213" s="282">
        <f>Prod.!AB119</f>
        <v>0</v>
      </c>
      <c r="AE213" s="282">
        <f>AD213-AF213</f>
        <v>0</v>
      </c>
      <c r="AF213" s="282">
        <f>Prod.!AA119</f>
        <v>0</v>
      </c>
    </row>
    <row r="214" spans="1:32" ht="15" customHeight="1">
      <c r="A214" s="1435">
        <v>9</v>
      </c>
      <c r="B214" s="818">
        <f>W215</f>
        <v>0</v>
      </c>
      <c r="C214" s="819" t="s">
        <v>765</v>
      </c>
      <c r="D214" s="822"/>
      <c r="E214" s="822"/>
      <c r="F214" s="821">
        <f ca="1">F215 + (RAND() * 0.02 - 0.01)</f>
        <v>-4.7376060682760082E-3</v>
      </c>
      <c r="G214" s="821">
        <f ca="1">G215 + (RAND() * 0.06 - 0.03)</f>
        <v>0.5048129438362845</v>
      </c>
      <c r="H214" s="822">
        <f ca="1">H215 + (RAND() * 0.006 - 0.003)</f>
        <v>2.7522403991628403E-3</v>
      </c>
      <c r="I214" s="822">
        <f ca="1">I215 + (RAND() * 0.006 - 0.003)</f>
        <v>2.0975381947290605E-3</v>
      </c>
      <c r="J214" s="821">
        <f ca="1">J215 + (RAND() * 0.02 - 0.01)</f>
        <v>-5.5993318712244337E-3</v>
      </c>
      <c r="K214" s="821"/>
      <c r="L214" s="822"/>
      <c r="M214" s="821"/>
      <c r="N214" s="823"/>
      <c r="O214" s="823"/>
      <c r="P214" s="823"/>
      <c r="Q214" s="823"/>
      <c r="R214" s="839"/>
      <c r="S214" s="821"/>
      <c r="T214" s="821"/>
      <c r="U214" s="825"/>
      <c r="V214" s="826"/>
    </row>
    <row r="215" spans="1:32" ht="15" customHeight="1">
      <c r="A215" s="1435"/>
      <c r="B215" s="827">
        <f>B214</f>
        <v>0</v>
      </c>
      <c r="C215" s="828" t="s">
        <v>768</v>
      </c>
      <c r="D215" s="829" t="str">
        <f>IF(AC215=130, "130 × 130", IF(AC215=160, "160 × 160", IF(AC215=110, "110 × 110", "Value not 130, 160, or 110")))</f>
        <v>Value not 130, 160, or 110</v>
      </c>
      <c r="E215" s="830">
        <f>AD215</f>
        <v>0</v>
      </c>
      <c r="F215" s="831">
        <f ca="1">IF(X215 &gt; 0.1, RAND() * (0.1 - 0.06) + 0.06, X215)</f>
        <v>0</v>
      </c>
      <c r="G215" s="831">
        <f ca="1">IF(Y215 &lt; 0.5, 0.5 + RAND() * 0.1, Y215)</f>
        <v>0.53136944913818152</v>
      </c>
      <c r="H215" s="830">
        <f ca="1">IF(AB215&gt;0.04, 0.029 + (0.039-0.029)*RAND(), AB215)</f>
        <v>0</v>
      </c>
      <c r="I215" s="830">
        <f ca="1">IF(AA215&gt;0.04, 0.029 + (0.039-0.029)*RAND(), AA215)</f>
        <v>0</v>
      </c>
      <c r="J215" s="831">
        <f ca="1">IF(Z215&gt;0.15, 0.11 + (0.15-0.11) * RAND(), Z215)</f>
        <v>0</v>
      </c>
      <c r="K215" s="830">
        <f ca="1">0.004 + (RAND() * (0.001 - 0.004))</f>
        <v>1.3881257280665719E-3</v>
      </c>
      <c r="L215" s="830">
        <f ca="1">H215+I215</f>
        <v>0</v>
      </c>
      <c r="M215" s="831">
        <f ca="1">(G215/6)+F215</f>
        <v>8.8561574856363581E-2</v>
      </c>
      <c r="N215" s="831">
        <f ca="1">2 + RAND()</f>
        <v>2.5875628963308643</v>
      </c>
      <c r="O215" s="831">
        <f ca="1">1 + RAND()</f>
        <v>1.0459782212964752</v>
      </c>
      <c r="P215" s="831">
        <f ca="1">2.98 + (RAND() * (3.03 - 2.98))</f>
        <v>3.0240072799437341</v>
      </c>
      <c r="Q215" s="832" t="str">
        <f ca="1">IF(D215="130 × 130", (130 + RANDBETWEEN(-1,1)) &amp; " × " &amp; (130 + RANDBETWEEN(-1,1)),
   IF(D215="160 × 160", (160 + RANDBETWEEN(-1,1)) &amp; " × " &amp; (160 + RANDBETWEEN(-1,1)),
   IF(D215="110 × 110", (110 + RANDBETWEEN(-1,1)) &amp; " × " &amp; (110 + RANDBETWEEN(-1,1)),
   "Value not matched")))</f>
        <v>Value not matched</v>
      </c>
      <c r="R215" s="833" t="s">
        <v>213</v>
      </c>
      <c r="S215" s="834" t="str">
        <f ca="1">IF(G215&lt;0.6, "IS 14650 CPS 10748/GR2", "IS 14650 CPS 10748/GR3")</f>
        <v>IS 14650 CPS 10748/GR2</v>
      </c>
      <c r="T215" s="831" t="s">
        <v>769</v>
      </c>
      <c r="U215" s="825"/>
      <c r="V215" s="826"/>
      <c r="W215" s="206">
        <f>Prod.!B120</f>
        <v>0</v>
      </c>
      <c r="X215" s="469">
        <f>Prod.!C120</f>
        <v>0</v>
      </c>
      <c r="Y215" s="469">
        <f>Prod.!D120</f>
        <v>0</v>
      </c>
      <c r="Z215" s="469">
        <f>Prod.!E120</f>
        <v>0</v>
      </c>
      <c r="AA215" s="282">
        <f>Prod.!F120</f>
        <v>0</v>
      </c>
      <c r="AB215" s="282">
        <f>Prod.!G120</f>
        <v>0</v>
      </c>
      <c r="AC215" s="836">
        <f>Prod.!H120</f>
        <v>0</v>
      </c>
      <c r="AD215" s="282">
        <f>Prod.!AB120</f>
        <v>0</v>
      </c>
      <c r="AE215" s="282">
        <f>AD215-AF215</f>
        <v>0</v>
      </c>
      <c r="AF215" s="282">
        <f>Prod.!AA120</f>
        <v>0</v>
      </c>
    </row>
    <row r="216" spans="1:32" ht="15" customHeight="1">
      <c r="A216" s="1435">
        <v>10</v>
      </c>
      <c r="B216" s="818">
        <f>W217</f>
        <v>0</v>
      </c>
      <c r="C216" s="819" t="s">
        <v>765</v>
      </c>
      <c r="D216" s="822"/>
      <c r="E216" s="822"/>
      <c r="F216" s="821">
        <f ca="1">F217 + (RAND() * 0.02 - 0.01)</f>
        <v>4.3860420572746292E-3</v>
      </c>
      <c r="G216" s="821">
        <f ca="1">G217 + (RAND() * 0.06 - 0.03)</f>
        <v>0.54262631626772817</v>
      </c>
      <c r="H216" s="822">
        <f ca="1">H217 + (RAND() * 0.006 - 0.003)</f>
        <v>2.9823196423760159E-3</v>
      </c>
      <c r="I216" s="822">
        <f ca="1">I217 + (RAND() * 0.006 - 0.003)</f>
        <v>9.8925426257530803E-4</v>
      </c>
      <c r="J216" s="821">
        <f ca="1">J217 + (RAND() * 0.02 - 0.01)</f>
        <v>-8.7052566399435701E-3</v>
      </c>
      <c r="K216" s="821"/>
      <c r="L216" s="822"/>
      <c r="M216" s="821"/>
      <c r="N216" s="823"/>
      <c r="O216" s="823"/>
      <c r="P216" s="823"/>
      <c r="Q216" s="823"/>
      <c r="R216" s="839"/>
      <c r="S216" s="821"/>
      <c r="T216" s="821"/>
      <c r="U216" s="825"/>
      <c r="V216" s="826"/>
    </row>
    <row r="217" spans="1:32" ht="15" customHeight="1">
      <c r="A217" s="1435"/>
      <c r="B217" s="827">
        <f>B216</f>
        <v>0</v>
      </c>
      <c r="C217" s="828" t="s">
        <v>768</v>
      </c>
      <c r="D217" s="829" t="str">
        <f>IF(AC217=130, "130 × 130", IF(AC217=160, "160 × 160", IF(AC217=110, "110 × 110", "Value not 130, 160, or 110")))</f>
        <v>Value not 130, 160, or 110</v>
      </c>
      <c r="E217" s="830">
        <f>AD217</f>
        <v>0</v>
      </c>
      <c r="F217" s="831">
        <f ca="1">IF(X217 &gt; 0.1, RAND() * (0.1 - 0.06) + 0.06, X217)</f>
        <v>0</v>
      </c>
      <c r="G217" s="831">
        <f ca="1">IF(Y217 &lt; 0.5, 0.5 + RAND() * 0.1, Y217)</f>
        <v>0.57257318500703436</v>
      </c>
      <c r="H217" s="830">
        <f ca="1">IF(AB217&gt;0.04, 0.029 + (0.039-0.029)*RAND(), AB217)</f>
        <v>0</v>
      </c>
      <c r="I217" s="830">
        <f ca="1">IF(AA217&gt;0.04, 0.029 + (0.039-0.029)*RAND(), AA217)</f>
        <v>0</v>
      </c>
      <c r="J217" s="831">
        <f ca="1">IF(Z217&gt;0.15, 0.11 + (0.15-0.11) * RAND(), Z217)</f>
        <v>0</v>
      </c>
      <c r="K217" s="830">
        <f ca="1">0.004 + (RAND() * (0.001 - 0.004))</f>
        <v>2.4070424992537398E-3</v>
      </c>
      <c r="L217" s="830">
        <f ca="1">H217+I217</f>
        <v>0</v>
      </c>
      <c r="M217" s="831">
        <f ca="1">(G217/6)+F217</f>
        <v>9.5428864167839064E-2</v>
      </c>
      <c r="N217" s="831">
        <f ca="1">2 + RAND()</f>
        <v>2.624650682669508</v>
      </c>
      <c r="O217" s="831">
        <f ca="1">1 + RAND()</f>
        <v>1.1707431808213937</v>
      </c>
      <c r="P217" s="831">
        <f ca="1">2.98 + (RAND() * (3.03 - 2.98))</f>
        <v>3.0028579775322224</v>
      </c>
      <c r="Q217" s="832" t="str">
        <f ca="1">IF(D217="130 × 130", (130 + RANDBETWEEN(-1,1)) &amp; " × " &amp; (130 + RANDBETWEEN(-1,1)),
   IF(D217="160 × 160", (160 + RANDBETWEEN(-1,1)) &amp; " × " &amp; (160 + RANDBETWEEN(-1,1)),
   IF(D217="110 × 110", (110 + RANDBETWEEN(-1,1)) &amp; " × " &amp; (110 + RANDBETWEEN(-1,1)),
   "Value not matched")))</f>
        <v>Value not matched</v>
      </c>
      <c r="R217" s="833" t="s">
        <v>213</v>
      </c>
      <c r="S217" s="834" t="str">
        <f ca="1">IF(G217&lt;0.6, "IS 14650 CPS 10748/GR2", "IS 14650 CPS 10748/GR3")</f>
        <v>IS 14650 CPS 10748/GR2</v>
      </c>
      <c r="T217" s="831" t="s">
        <v>769</v>
      </c>
      <c r="U217" s="825"/>
      <c r="V217" s="826"/>
      <c r="W217" s="206">
        <f>Prod.!B121</f>
        <v>0</v>
      </c>
      <c r="X217" s="469">
        <f>Prod.!C121</f>
        <v>0</v>
      </c>
      <c r="Y217" s="469">
        <f>Prod.!D121</f>
        <v>0</v>
      </c>
      <c r="Z217" s="469">
        <f>Prod.!E121</f>
        <v>0</v>
      </c>
      <c r="AA217" s="282">
        <f>Prod.!F121</f>
        <v>0</v>
      </c>
      <c r="AB217" s="282">
        <f>Prod.!G121</f>
        <v>0</v>
      </c>
      <c r="AC217" s="836">
        <f>Prod.!H121</f>
        <v>0</v>
      </c>
      <c r="AD217" s="282">
        <f>Prod.!AB121</f>
        <v>0</v>
      </c>
      <c r="AE217" s="282">
        <f>AD217-AF217</f>
        <v>0</v>
      </c>
      <c r="AF217" s="282">
        <f>Prod.!AA121</f>
        <v>0</v>
      </c>
    </row>
    <row r="218" spans="1:32" ht="15" customHeight="1">
      <c r="A218" s="1435">
        <v>11</v>
      </c>
      <c r="B218" s="818">
        <f>W219</f>
        <v>0</v>
      </c>
      <c r="C218" s="819" t="s">
        <v>765</v>
      </c>
      <c r="D218" s="822"/>
      <c r="E218" s="822"/>
      <c r="F218" s="821">
        <f ca="1">F219 + (RAND() * 0.02 - 0.01)</f>
        <v>7.5306517400974254E-3</v>
      </c>
      <c r="G218" s="821">
        <f ca="1">G219 + (RAND() * 0.06 - 0.03)</f>
        <v>0.57557544426493157</v>
      </c>
      <c r="H218" s="822">
        <f ca="1">H219 + (RAND() * 0.006 - 0.003)</f>
        <v>-1.4502102890490815E-3</v>
      </c>
      <c r="I218" s="822">
        <f ca="1">I219 + (RAND() * 0.006 - 0.003)</f>
        <v>-1.9988786460556516E-3</v>
      </c>
      <c r="J218" s="821">
        <f ca="1">J219 + (RAND() * 0.02 - 0.01)</f>
        <v>8.7202052326715452E-3</v>
      </c>
      <c r="K218" s="821"/>
      <c r="L218" s="822"/>
      <c r="M218" s="821"/>
      <c r="N218" s="823"/>
      <c r="O218" s="823"/>
      <c r="P218" s="823"/>
      <c r="Q218" s="823"/>
      <c r="R218" s="839"/>
      <c r="S218" s="821"/>
      <c r="T218" s="821"/>
      <c r="U218" s="825"/>
      <c r="V218" s="826"/>
    </row>
    <row r="219" spans="1:32" ht="15" customHeight="1">
      <c r="A219" s="1435"/>
      <c r="B219" s="827">
        <f>B218</f>
        <v>0</v>
      </c>
      <c r="C219" s="828" t="s">
        <v>768</v>
      </c>
      <c r="D219" s="829" t="str">
        <f>IF(AC219=130, "130 × 130", IF(AC219=160, "160 × 160", IF(AC219=110, "110 × 110", "Value not 130, 160, or 110")))</f>
        <v>Value not 130, 160, or 110</v>
      </c>
      <c r="E219" s="830">
        <f>AD219</f>
        <v>0</v>
      </c>
      <c r="F219" s="831">
        <f ca="1">IF(X219 &gt; 0.1, RAND() * (0.1 - 0.06) + 0.06, X219)</f>
        <v>0</v>
      </c>
      <c r="G219" s="831">
        <f ca="1">IF(Y219 &lt; 0.5, 0.5 + RAND() * 0.1, Y219)</f>
        <v>0.5945293566855181</v>
      </c>
      <c r="H219" s="830">
        <f ca="1">IF(AB219&gt;0.04, 0.029 + (0.039-0.029)*RAND(), AB219)</f>
        <v>0</v>
      </c>
      <c r="I219" s="830">
        <f ca="1">IF(AA219&gt;0.04, 0.029 + (0.039-0.029)*RAND(), AA219)</f>
        <v>0</v>
      </c>
      <c r="J219" s="831">
        <f ca="1">IF(Z219&gt;0.15, 0.11 + (0.15-0.11) * RAND(), Z219)</f>
        <v>0</v>
      </c>
      <c r="K219" s="830">
        <f ca="1">0.004 + (RAND() * (0.001 - 0.004))</f>
        <v>3.3079027317215719E-3</v>
      </c>
      <c r="L219" s="830">
        <f ca="1">H219+I219</f>
        <v>0</v>
      </c>
      <c r="M219" s="831">
        <f ca="1">(G219/6)+F219</f>
        <v>9.9088226114253011E-2</v>
      </c>
      <c r="N219" s="831">
        <f ca="1">2 + RAND()</f>
        <v>2.9994353510168383</v>
      </c>
      <c r="O219" s="831">
        <f ca="1">1 + RAND()</f>
        <v>1.4988574635652228</v>
      </c>
      <c r="P219" s="831">
        <f ca="1">2.98 + (RAND() * (3.03 - 2.98))</f>
        <v>3.0142885303194875</v>
      </c>
      <c r="Q219" s="832" t="str">
        <f ca="1">IF(D219="130 × 130", (130 + RANDBETWEEN(-1,1)) &amp; " × " &amp; (130 + RANDBETWEEN(-1,1)),
   IF(D219="160 × 160", (160 + RANDBETWEEN(-1,1)) &amp; " × " &amp; (160 + RANDBETWEEN(-1,1)),
   IF(D219="110 × 110", (110 + RANDBETWEEN(-1,1)) &amp; " × " &amp; (110 + RANDBETWEEN(-1,1)),
   "Value not matched")))</f>
        <v>Value not matched</v>
      </c>
      <c r="R219" s="833" t="s">
        <v>213</v>
      </c>
      <c r="S219" s="834" t="str">
        <f ca="1">IF(G219&lt;0.6, "IS 14650 CPS 10748/GR2", "IS 14650 CPS 10748/GR3")</f>
        <v>IS 14650 CPS 10748/GR2</v>
      </c>
      <c r="T219" s="831" t="s">
        <v>769</v>
      </c>
      <c r="U219" s="825"/>
      <c r="V219" s="826"/>
      <c r="W219" s="206">
        <f>Prod.!B122</f>
        <v>0</v>
      </c>
      <c r="X219" s="469">
        <f>Prod.!C122</f>
        <v>0</v>
      </c>
      <c r="Y219" s="469">
        <f>Prod.!D122</f>
        <v>0</v>
      </c>
      <c r="Z219" s="469">
        <f>Prod.!E122</f>
        <v>0</v>
      </c>
      <c r="AA219" s="282">
        <f>Prod.!F122</f>
        <v>0</v>
      </c>
      <c r="AB219" s="282">
        <f>Prod.!G122</f>
        <v>0</v>
      </c>
      <c r="AC219" s="836">
        <f>Prod.!H122</f>
        <v>0</v>
      </c>
      <c r="AD219" s="282">
        <f>Prod.!AB122</f>
        <v>0</v>
      </c>
      <c r="AE219" s="282">
        <f>AD219-AF219</f>
        <v>0</v>
      </c>
      <c r="AF219" s="282">
        <f>Prod.!AA122</f>
        <v>0</v>
      </c>
    </row>
    <row r="220" spans="1:32" ht="15" customHeight="1">
      <c r="A220" s="1435">
        <v>12</v>
      </c>
      <c r="B220" s="818">
        <f>W221</f>
        <v>0</v>
      </c>
      <c r="C220" s="819" t="s">
        <v>765</v>
      </c>
      <c r="D220" s="822"/>
      <c r="E220" s="822"/>
      <c r="F220" s="821">
        <f ca="1">F221 + (RAND() * 0.02 - 0.01)</f>
        <v>6.9142677370931157E-3</v>
      </c>
      <c r="G220" s="821">
        <f ca="1">G221 + (RAND() * 0.06 - 0.03)</f>
        <v>0.5981670469408068</v>
      </c>
      <c r="H220" s="822">
        <f ca="1">H221 + (RAND() * 0.006 - 0.003)</f>
        <v>3.5456220565279568E-4</v>
      </c>
      <c r="I220" s="822">
        <f ca="1">I221 + (RAND() * 0.006 - 0.003)</f>
        <v>9.2581817012898741E-4</v>
      </c>
      <c r="J220" s="821">
        <f ca="1">J221 + (RAND() * 0.02 - 0.01)</f>
        <v>-5.1507528919391213E-4</v>
      </c>
      <c r="K220" s="821"/>
      <c r="L220" s="822"/>
      <c r="M220" s="821"/>
      <c r="N220" s="823"/>
      <c r="O220" s="823"/>
      <c r="P220" s="823"/>
      <c r="Q220" s="823"/>
      <c r="R220" s="839"/>
      <c r="S220" s="821"/>
      <c r="T220" s="821"/>
      <c r="U220" s="825"/>
      <c r="V220" s="826"/>
    </row>
    <row r="221" spans="1:32" ht="15" customHeight="1">
      <c r="A221" s="1435"/>
      <c r="B221" s="827">
        <f>B220</f>
        <v>0</v>
      </c>
      <c r="C221" s="828" t="s">
        <v>768</v>
      </c>
      <c r="D221" s="829" t="str">
        <f>IF(AC221=130, "130 × 130", IF(AC221=160, "160 × 160", IF(AC221=110, "110 × 110", "Value not 130, 160, or 110")))</f>
        <v>Value not 130, 160, or 110</v>
      </c>
      <c r="E221" s="830">
        <f>AD221</f>
        <v>0</v>
      </c>
      <c r="F221" s="831">
        <f ca="1">IF(X221 &gt; 0.1, RAND() * (0.1 - 0.06) + 0.06, X221)</f>
        <v>0</v>
      </c>
      <c r="G221" s="831">
        <f ca="1">IF(Y221 &lt; 0.5, 0.5 + RAND() * 0.1, Y221)</f>
        <v>0.57830094463624215</v>
      </c>
      <c r="H221" s="830">
        <f ca="1">IF(AB221&gt;0.04, 0.029 + (0.039-0.029)*RAND(), AB221)</f>
        <v>0</v>
      </c>
      <c r="I221" s="830">
        <f ca="1">IF(AA221&gt;0.04, 0.029 + (0.039-0.029)*RAND(), AA221)</f>
        <v>0</v>
      </c>
      <c r="J221" s="831">
        <f ca="1">IF(Z221&gt;0.15, 0.11 + (0.15-0.11) * RAND(), Z221)</f>
        <v>0</v>
      </c>
      <c r="K221" s="830">
        <f ca="1">0.004 + (RAND() * (0.001 - 0.004))</f>
        <v>3.9778690977106358E-3</v>
      </c>
      <c r="L221" s="830">
        <f ca="1">H221+I221</f>
        <v>0</v>
      </c>
      <c r="M221" s="831">
        <f ca="1">(G221/6)+F221</f>
        <v>9.6383490772707026E-2</v>
      </c>
      <c r="N221" s="831">
        <f ca="1">2 + RAND()</f>
        <v>2.0549876046890501</v>
      </c>
      <c r="O221" s="831">
        <f ca="1">1 + RAND()</f>
        <v>1.8004135679567641</v>
      </c>
      <c r="P221" s="831">
        <f ca="1">2.98 + (RAND() * (3.03 - 2.98))</f>
        <v>3.0122604242375286</v>
      </c>
      <c r="Q221" s="832" t="str">
        <f ca="1">IF(D221="130 × 130", (130 + RANDBETWEEN(-1,1)) &amp; " × " &amp; (130 + RANDBETWEEN(-1,1)),
   IF(D221="160 × 160", (160 + RANDBETWEEN(-1,1)) &amp; " × " &amp; (160 + RANDBETWEEN(-1,1)),
   IF(D221="110 × 110", (110 + RANDBETWEEN(-1,1)) &amp; " × " &amp; (110 + RANDBETWEEN(-1,1)),
   "Value not matched")))</f>
        <v>Value not matched</v>
      </c>
      <c r="R221" s="833" t="s">
        <v>213</v>
      </c>
      <c r="S221" s="834" t="str">
        <f ca="1">IF(G221&lt;0.6, "IS 14650 CPS 10748/GR2", "IS 14650 CPS 10748/GR3")</f>
        <v>IS 14650 CPS 10748/GR2</v>
      </c>
      <c r="T221" s="831" t="s">
        <v>769</v>
      </c>
      <c r="U221" s="825"/>
      <c r="V221" s="826"/>
      <c r="W221" s="206">
        <f>Prod.!B123</f>
        <v>0</v>
      </c>
      <c r="X221" s="469">
        <f>Prod.!C123</f>
        <v>0</v>
      </c>
      <c r="Y221" s="469">
        <f>Prod.!D123</f>
        <v>0</v>
      </c>
      <c r="Z221" s="469">
        <f>Prod.!E123</f>
        <v>0</v>
      </c>
      <c r="AA221" s="282">
        <f>Prod.!F123</f>
        <v>0</v>
      </c>
      <c r="AB221" s="282">
        <f>Prod.!G123</f>
        <v>0</v>
      </c>
      <c r="AC221" s="836">
        <f>Prod.!H123</f>
        <v>0</v>
      </c>
      <c r="AD221" s="282">
        <f>Prod.!AB123</f>
        <v>0</v>
      </c>
      <c r="AE221" s="282">
        <f>AD221-AF221</f>
        <v>0</v>
      </c>
      <c r="AF221" s="282">
        <f>Prod.!AA123</f>
        <v>0</v>
      </c>
    </row>
    <row r="222" spans="1:32" ht="15" customHeight="1">
      <c r="A222" s="1435"/>
      <c r="B222" s="818"/>
      <c r="C222" s="819"/>
      <c r="D222" s="822"/>
      <c r="E222" s="822"/>
      <c r="F222" s="821"/>
      <c r="G222" s="821"/>
      <c r="H222" s="840"/>
      <c r="I222" s="840"/>
      <c r="J222" s="821"/>
      <c r="K222" s="821"/>
      <c r="L222" s="822"/>
      <c r="M222" s="838"/>
      <c r="N222" s="821"/>
      <c r="O222" s="821"/>
      <c r="P222" s="821"/>
      <c r="Q222" s="821"/>
      <c r="R222" s="839"/>
      <c r="S222" s="841"/>
      <c r="T222" s="821"/>
      <c r="U222" s="825"/>
      <c r="V222" s="826"/>
    </row>
    <row r="223" spans="1:32" ht="15" customHeight="1">
      <c r="A223" s="1435"/>
      <c r="B223" s="827"/>
      <c r="C223" s="828"/>
      <c r="D223" s="842"/>
      <c r="E223" s="830"/>
      <c r="F223" s="831"/>
      <c r="G223" s="831"/>
      <c r="H223" s="843"/>
      <c r="I223" s="843"/>
      <c r="J223" s="831"/>
      <c r="K223" s="831"/>
      <c r="L223" s="830"/>
      <c r="M223" s="831"/>
      <c r="N223" s="831"/>
      <c r="O223" s="831"/>
      <c r="P223" s="831"/>
      <c r="Q223" s="831"/>
      <c r="R223" s="833"/>
      <c r="S223" s="834"/>
      <c r="T223" s="831"/>
      <c r="U223" s="825"/>
      <c r="V223" s="826"/>
    </row>
    <row r="224" spans="1:32" ht="15" customHeight="1">
      <c r="A224" s="180"/>
      <c r="B224" s="180"/>
      <c r="C224" s="180" t="s">
        <v>770</v>
      </c>
      <c r="D224" s="395"/>
      <c r="E224" s="844">
        <f>SUM(E198:E221)</f>
        <v>0</v>
      </c>
      <c r="F224" s="180"/>
      <c r="G224" s="180"/>
      <c r="H224" s="844"/>
      <c r="I224" s="180"/>
      <c r="J224" s="845"/>
      <c r="K224" s="845"/>
      <c r="L224" s="180"/>
      <c r="M224" s="845"/>
      <c r="N224" s="180"/>
      <c r="O224" s="180"/>
      <c r="P224" s="180"/>
      <c r="Q224" s="180"/>
      <c r="R224" s="263"/>
      <c r="S224" s="180"/>
      <c r="T224" s="180"/>
    </row>
    <row r="225" spans="1:32" ht="28.5" customHeight="1">
      <c r="A225" s="1436" t="s">
        <v>746</v>
      </c>
      <c r="B225" s="1436"/>
      <c r="C225" s="1436"/>
      <c r="D225" s="1436"/>
      <c r="E225" s="1436"/>
      <c r="F225" s="1436"/>
      <c r="G225" s="1436"/>
      <c r="H225" s="1436"/>
      <c r="I225" s="1436"/>
      <c r="J225" s="1436"/>
      <c r="K225" s="1436"/>
      <c r="L225" s="1436"/>
      <c r="M225" s="1436"/>
      <c r="N225" s="1436"/>
      <c r="O225" s="1436"/>
      <c r="P225" s="1436"/>
      <c r="Q225" s="1436"/>
      <c r="R225" s="1436"/>
      <c r="S225" s="1436"/>
      <c r="T225" s="1436"/>
      <c r="U225" s="515"/>
      <c r="V225" s="846"/>
    </row>
    <row r="226" spans="1:32" ht="15" customHeight="1">
      <c r="A226" s="1437" t="s">
        <v>747</v>
      </c>
      <c r="B226" s="1437"/>
      <c r="C226" s="1437"/>
      <c r="D226" s="1437"/>
      <c r="E226" s="1437"/>
      <c r="F226" s="1437"/>
      <c r="G226" s="1437"/>
      <c r="H226" s="1437"/>
      <c r="I226" s="1437"/>
      <c r="J226" s="1437"/>
      <c r="K226" s="1437"/>
      <c r="L226" s="1437"/>
      <c r="M226" s="1437"/>
      <c r="N226" s="1437"/>
      <c r="O226" s="1437"/>
      <c r="P226" s="1437"/>
      <c r="Q226" s="1437"/>
      <c r="R226" s="1437"/>
      <c r="S226" s="1437"/>
      <c r="T226" s="1437"/>
      <c r="U226" s="806"/>
      <c r="V226" s="807"/>
    </row>
    <row r="227" spans="1:32" ht="15" customHeight="1">
      <c r="A227" s="1438" t="str">
        <f>"DATE OF MANUFACTURING : " &amp; TEXT(V231, "DD-MM-YYYY")</f>
        <v>DATE OF MANUFACTURING : 00-01-1900</v>
      </c>
      <c r="B227" s="1438"/>
      <c r="C227" s="1438"/>
      <c r="D227" s="1438"/>
      <c r="E227" s="1438"/>
      <c r="F227" s="1438"/>
      <c r="G227" s="1438"/>
      <c r="H227" s="1438"/>
      <c r="I227" s="1438"/>
      <c r="J227" s="1438"/>
      <c r="K227" s="1438"/>
      <c r="L227" s="1438"/>
      <c r="M227" s="1438"/>
      <c r="N227" s="1437" t="s">
        <v>748</v>
      </c>
      <c r="O227" s="1437"/>
      <c r="P227" s="1437"/>
      <c r="Q227" s="1437"/>
      <c r="R227" s="1437"/>
      <c r="S227" s="1437"/>
      <c r="T227" s="1437"/>
      <c r="U227" s="808"/>
      <c r="V227" s="809"/>
    </row>
    <row r="228" spans="1:32" ht="29.25" customHeight="1">
      <c r="A228" s="1439" t="s">
        <v>749</v>
      </c>
      <c r="B228" s="1440" t="s">
        <v>750</v>
      </c>
      <c r="C228" s="1440"/>
      <c r="D228" s="1440" t="s">
        <v>751</v>
      </c>
      <c r="E228" s="1441" t="s">
        <v>752</v>
      </c>
      <c r="F228" s="1442" t="s">
        <v>753</v>
      </c>
      <c r="G228" s="1442"/>
      <c r="H228" s="1442"/>
      <c r="I228" s="1442"/>
      <c r="J228" s="1442"/>
      <c r="K228" s="1442"/>
      <c r="L228" s="1442"/>
      <c r="M228" s="1442"/>
      <c r="N228" s="1442" t="s">
        <v>754</v>
      </c>
      <c r="O228" s="1442"/>
      <c r="P228" s="1442"/>
      <c r="Q228" s="1442"/>
      <c r="R228" s="1443" t="s">
        <v>771</v>
      </c>
      <c r="S228" s="1441" t="s">
        <v>756</v>
      </c>
      <c r="T228" s="1440" t="s">
        <v>104</v>
      </c>
      <c r="U228" s="810"/>
      <c r="V228" s="811"/>
    </row>
    <row r="229" spans="1:32" ht="42.75" customHeight="1">
      <c r="A229" s="1439"/>
      <c r="B229" s="1440"/>
      <c r="C229" s="1440"/>
      <c r="D229" s="1440"/>
      <c r="E229" s="1440"/>
      <c r="F229" s="812" t="s">
        <v>40</v>
      </c>
      <c r="G229" s="812" t="s">
        <v>757</v>
      </c>
      <c r="H229" s="813" t="s">
        <v>758</v>
      </c>
      <c r="I229" s="812" t="s">
        <v>43</v>
      </c>
      <c r="J229" s="812" t="s">
        <v>42</v>
      </c>
      <c r="K229" s="812" t="s">
        <v>759</v>
      </c>
      <c r="L229" s="812" t="s">
        <v>760</v>
      </c>
      <c r="M229" s="812" t="s">
        <v>761</v>
      </c>
      <c r="N229" s="814" t="s">
        <v>762</v>
      </c>
      <c r="O229" s="815" t="s">
        <v>772</v>
      </c>
      <c r="P229" s="816" t="s">
        <v>773</v>
      </c>
      <c r="Q229" s="817" t="s">
        <v>764</v>
      </c>
      <c r="R229" s="1443"/>
      <c r="S229" s="1443"/>
      <c r="T229" s="1443"/>
      <c r="U229" s="810"/>
      <c r="V229" s="811"/>
    </row>
    <row r="230" spans="1:32" ht="15" customHeight="1">
      <c r="A230" s="1435">
        <v>1</v>
      </c>
      <c r="B230" s="818">
        <f>W231</f>
        <v>0</v>
      </c>
      <c r="C230" s="819" t="s">
        <v>765</v>
      </c>
      <c r="D230" s="820"/>
      <c r="E230" s="821"/>
      <c r="F230" s="821">
        <f ca="1">F231 + (RAND() * 0.02 - 0.01)</f>
        <v>-2.0112026499628614E-3</v>
      </c>
      <c r="G230" s="821">
        <f ca="1">G231 + (RAND() * 0.06 - 0.03)</f>
        <v>0.59184192152220372</v>
      </c>
      <c r="H230" s="822">
        <f ca="1">H231 + (RAND() * 0.006 - 0.003)</f>
        <v>-1.6012347527589795E-3</v>
      </c>
      <c r="I230" s="822">
        <f ca="1">I231 + (RAND() * 0.006 - 0.003)</f>
        <v>1.8322871940749559E-3</v>
      </c>
      <c r="J230" s="821">
        <f ca="1">J231 + (RAND() * 0.02 - 0.01)</f>
        <v>-7.8091479116726963E-3</v>
      </c>
      <c r="K230" s="821"/>
      <c r="L230" s="822"/>
      <c r="M230" s="821"/>
      <c r="N230" s="823"/>
      <c r="O230" s="823"/>
      <c r="P230" s="823"/>
      <c r="Q230" s="823"/>
      <c r="R230" s="824"/>
      <c r="S230" s="821"/>
      <c r="T230" s="821"/>
      <c r="U230" s="825"/>
      <c r="V230" s="826"/>
      <c r="AE230" t="s">
        <v>767</v>
      </c>
    </row>
    <row r="231" spans="1:32" ht="15" customHeight="1">
      <c r="A231" s="1435"/>
      <c r="B231" s="827">
        <f>B230</f>
        <v>0</v>
      </c>
      <c r="C231" s="828" t="s">
        <v>768</v>
      </c>
      <c r="D231" s="829" t="str">
        <f>IF(AC231=130, "130 × 130", IF(AC231=160, "160 × 160", IF(AC231=110, "110 × 110", "Value not 130, 160, or 110")))</f>
        <v>Value not 130, 160, or 110</v>
      </c>
      <c r="E231" s="830">
        <f>AD231</f>
        <v>0</v>
      </c>
      <c r="F231" s="831">
        <f ca="1">IF(X231 &gt; 0.1, RAND() * (0.1 - 0.06) + 0.06, X231)</f>
        <v>0</v>
      </c>
      <c r="G231" s="831">
        <f ca="1">IF(Y231 &lt; 0.5, 0.5 + RAND() * 0.1, Y231)</f>
        <v>0.58841648140130431</v>
      </c>
      <c r="H231" s="830">
        <f ca="1">IF(AB231&gt;0.04, 0.029 + (0.039-0.029)*RAND(), AB231)</f>
        <v>0</v>
      </c>
      <c r="I231" s="830">
        <f ca="1">IF(AA231&gt;0.04, 0.029 + (0.039-0.029)*RAND(), AA231)</f>
        <v>0</v>
      </c>
      <c r="J231" s="831">
        <f ca="1">IF(Z231&gt;0.15, 0.11 + (0.15-0.11) * RAND(), Z231)</f>
        <v>0</v>
      </c>
      <c r="K231" s="830">
        <f ca="1">0.004 + (RAND() * (0.001 - 0.004))</f>
        <v>2.8281016582979235E-3</v>
      </c>
      <c r="L231" s="830">
        <f ca="1">H231+I231</f>
        <v>0</v>
      </c>
      <c r="M231" s="831">
        <f ca="1">(G231/6)+F231</f>
        <v>9.8069413566884048E-2</v>
      </c>
      <c r="N231" s="831">
        <f ca="1">2 + RAND()</f>
        <v>2.538390698233465</v>
      </c>
      <c r="O231" s="831">
        <f ca="1">1 + RAND()</f>
        <v>1.1692561901720748</v>
      </c>
      <c r="P231" s="831">
        <f ca="1">2.98 + (RAND() * (3.03 - 2.98))</f>
        <v>3.0210987204587827</v>
      </c>
      <c r="Q231" s="832" t="str">
        <f ca="1">IF(D231="130 × 130", (130 + RANDBETWEEN(-1,1)) &amp; " × " &amp; (130 + RANDBETWEEN(-1,1)),
   IF(D231="160 × 160", (160 + RANDBETWEEN(-1,1)) &amp; " × " &amp; (160 + RANDBETWEEN(-1,1)),
   IF(D231="110 × 110", (110 + RANDBETWEEN(-1,1)) &amp; " × " &amp; (110 + RANDBETWEEN(-1,1)),
   "Value not matched")))</f>
        <v>Value not matched</v>
      </c>
      <c r="R231" s="833" t="s">
        <v>213</v>
      </c>
      <c r="S231" s="834" t="str">
        <f ca="1">IF(G231&lt;0.6, "IS 14650 CPS 10748/GR2", "IS 14650 CPS 10748/GR3")</f>
        <v>IS 14650 CPS 10748/GR2</v>
      </c>
      <c r="T231" s="831" t="s">
        <v>769</v>
      </c>
      <c r="U231" s="825"/>
      <c r="V231" s="835">
        <f>Prod.!A130</f>
        <v>0</v>
      </c>
      <c r="W231" s="206">
        <f>Prod.!B130</f>
        <v>0</v>
      </c>
      <c r="X231" s="469">
        <f>Prod.!C130</f>
        <v>0</v>
      </c>
      <c r="Y231" s="469">
        <f>Prod.!D130</f>
        <v>0</v>
      </c>
      <c r="Z231" s="469">
        <f>Prod.!E130</f>
        <v>0</v>
      </c>
      <c r="AA231" s="282">
        <f>Prod.!F130</f>
        <v>0</v>
      </c>
      <c r="AB231" s="282">
        <f>Prod.!G130</f>
        <v>0</v>
      </c>
      <c r="AC231" s="836">
        <f>Prod.!H130</f>
        <v>0</v>
      </c>
      <c r="AD231" s="282">
        <f>Prod.!AB130</f>
        <v>0</v>
      </c>
      <c r="AE231" s="282">
        <f>AD231-AF231</f>
        <v>0</v>
      </c>
      <c r="AF231" s="282">
        <f>Prod.!AA130</f>
        <v>0</v>
      </c>
    </row>
    <row r="232" spans="1:32" ht="15" customHeight="1">
      <c r="A232" s="1435">
        <v>2</v>
      </c>
      <c r="B232" s="818">
        <f>W233</f>
        <v>0</v>
      </c>
      <c r="C232" s="819" t="s">
        <v>765</v>
      </c>
      <c r="D232" s="822"/>
      <c r="E232" s="822"/>
      <c r="F232" s="821">
        <f ca="1">F233 + (RAND() * 0.02 - 0.01)</f>
        <v>8.5617904191013731E-3</v>
      </c>
      <c r="G232" s="821">
        <f ca="1">G233 + (RAND() * 0.06 - 0.03)</f>
        <v>0.52379855867330027</v>
      </c>
      <c r="H232" s="822">
        <f ca="1">H233 + (RAND() * 0.006 - 0.003)</f>
        <v>-2.0171748510707235E-3</v>
      </c>
      <c r="I232" s="822">
        <f ca="1">I233 + (RAND() * 0.006 - 0.003)</f>
        <v>1.267133209508324E-4</v>
      </c>
      <c r="J232" s="821">
        <f ca="1">J233 + (RAND() * 0.02 - 0.01)</f>
        <v>-5.9493389102471218E-3</v>
      </c>
      <c r="K232" s="821"/>
      <c r="L232" s="822"/>
      <c r="M232" s="821"/>
      <c r="N232" s="823"/>
      <c r="O232" s="823"/>
      <c r="P232" s="823"/>
      <c r="Q232" s="823"/>
      <c r="R232" s="837"/>
      <c r="S232" s="821"/>
      <c r="T232" s="838"/>
      <c r="U232" s="825"/>
      <c r="V232" s="826"/>
    </row>
    <row r="233" spans="1:32" ht="15" customHeight="1">
      <c r="A233" s="1435"/>
      <c r="B233" s="827">
        <f>B232</f>
        <v>0</v>
      </c>
      <c r="C233" s="828" t="s">
        <v>768</v>
      </c>
      <c r="D233" s="829" t="str">
        <f>IF(AC233=130, "130 × 130", IF(AC233=160, "160 × 160", IF(AC233=110, "110 × 110", "Value not 130, 160, or 110")))</f>
        <v>Value not 130, 160, or 110</v>
      </c>
      <c r="E233" s="830">
        <f>AD233</f>
        <v>0</v>
      </c>
      <c r="F233" s="831">
        <f ca="1">IF(X233 &gt; 0.1, RAND() * (0.1 - 0.06) + 0.06, X233)</f>
        <v>0</v>
      </c>
      <c r="G233" s="831">
        <f ca="1">IF(Y233 &lt; 0.5, 0.5 + RAND() * 0.1, Y233)</f>
        <v>0.54110343767371527</v>
      </c>
      <c r="H233" s="830">
        <f ca="1">IF(AB233&gt;0.04, 0.029 + (0.039-0.029)*RAND(), AB233)</f>
        <v>0</v>
      </c>
      <c r="I233" s="830">
        <f ca="1">IF(AA233&gt;0.04, 0.029 + (0.039-0.029)*RAND(), AA233)</f>
        <v>0</v>
      </c>
      <c r="J233" s="831">
        <f ca="1">IF(Z233&gt;0.15, 0.11 + (0.15-0.11) * RAND(), Z233)</f>
        <v>0</v>
      </c>
      <c r="K233" s="830">
        <f ca="1">0.004 + (RAND() * (0.001 - 0.004))</f>
        <v>1.8120306868825106E-3</v>
      </c>
      <c r="L233" s="830">
        <f ca="1">H233+I233</f>
        <v>0</v>
      </c>
      <c r="M233" s="831">
        <f ca="1">(G233/6)+F233</f>
        <v>9.018390627895255E-2</v>
      </c>
      <c r="N233" s="831">
        <f ca="1">2 + RAND()</f>
        <v>2.7301714874982657</v>
      </c>
      <c r="O233" s="831">
        <f ca="1">1 + RAND()</f>
        <v>1.8967561768148316</v>
      </c>
      <c r="P233" s="831">
        <f ca="1">2.98 + (RAND() * (3.03 - 2.98))</f>
        <v>3.0079425107850479</v>
      </c>
      <c r="Q233" s="832" t="str">
        <f ca="1">IF(D233="130 × 130", (130 + RANDBETWEEN(-1,1)) &amp; " × " &amp; (130 + RANDBETWEEN(-1,1)),
   IF(D233="160 × 160", (160 + RANDBETWEEN(-1,1)) &amp; " × " &amp; (160 + RANDBETWEEN(-1,1)),
   IF(D233="110 × 110", (110 + RANDBETWEEN(-1,1)) &amp; " × " &amp; (110 + RANDBETWEEN(-1,1)),
   "Value not matched")))</f>
        <v>Value not matched</v>
      </c>
      <c r="R233" s="833" t="s">
        <v>213</v>
      </c>
      <c r="S233" s="834" t="str">
        <f ca="1">IF(G233&lt;0.6, "IS 14650 CPS 10748/GR2", "IS 14650 CPS 10748/GR3")</f>
        <v>IS 14650 CPS 10748/GR2</v>
      </c>
      <c r="T233" s="831" t="s">
        <v>769</v>
      </c>
      <c r="U233" s="825"/>
      <c r="V233" s="826"/>
      <c r="W233" s="206">
        <f>Prod.!B131</f>
        <v>0</v>
      </c>
      <c r="X233" s="469">
        <f>Prod.!C131</f>
        <v>0</v>
      </c>
      <c r="Y233" s="469">
        <f>Prod.!D131</f>
        <v>0</v>
      </c>
      <c r="Z233" s="469">
        <f>Prod.!E131</f>
        <v>0</v>
      </c>
      <c r="AA233" s="282">
        <f>Prod.!F131</f>
        <v>0</v>
      </c>
      <c r="AB233" s="282">
        <f>Prod.!G131</f>
        <v>0</v>
      </c>
      <c r="AC233" s="836">
        <f>Prod.!H131</f>
        <v>0</v>
      </c>
      <c r="AD233" s="282">
        <f>Prod.!AB131</f>
        <v>0</v>
      </c>
      <c r="AE233" s="282">
        <f>AD233-AF233</f>
        <v>0</v>
      </c>
      <c r="AF233" s="282">
        <f>Prod.!AA131</f>
        <v>0</v>
      </c>
    </row>
    <row r="234" spans="1:32" ht="15" customHeight="1">
      <c r="A234" s="1435">
        <v>3</v>
      </c>
      <c r="B234" s="818">
        <f>W235</f>
        <v>0</v>
      </c>
      <c r="C234" s="819" t="s">
        <v>765</v>
      </c>
      <c r="D234" s="822"/>
      <c r="E234" s="822"/>
      <c r="F234" s="821">
        <f ca="1">F235 + (RAND() * 0.02 - 0.01)</f>
        <v>4.861425667583524E-3</v>
      </c>
      <c r="G234" s="821">
        <f ca="1">G235 + (RAND() * 0.06 - 0.03)</f>
        <v>0.58952115757675627</v>
      </c>
      <c r="H234" s="822">
        <f ca="1">H235 + (RAND() * 0.006 - 0.003)</f>
        <v>7.9752658816396914E-4</v>
      </c>
      <c r="I234" s="822">
        <f ca="1">I235 + (RAND() * 0.006 - 0.003)</f>
        <v>-4.9824057211834754E-4</v>
      </c>
      <c r="J234" s="821">
        <f ca="1">J235 + (RAND() * 0.02 - 0.01)</f>
        <v>-9.1011431021834933E-3</v>
      </c>
      <c r="K234" s="821"/>
      <c r="L234" s="822"/>
      <c r="M234" s="821"/>
      <c r="N234" s="823"/>
      <c r="O234" s="823"/>
      <c r="P234" s="823"/>
      <c r="Q234" s="823"/>
      <c r="R234" s="839"/>
      <c r="S234" s="821"/>
      <c r="T234" s="821"/>
      <c r="U234" s="825"/>
      <c r="V234" s="826"/>
    </row>
    <row r="235" spans="1:32" ht="15" customHeight="1">
      <c r="A235" s="1435"/>
      <c r="B235" s="827">
        <f>B234</f>
        <v>0</v>
      </c>
      <c r="C235" s="828" t="s">
        <v>768</v>
      </c>
      <c r="D235" s="829" t="str">
        <f>IF(AC235=130, "130 × 130", IF(AC235=160, "160 × 160", IF(AC235=110, "110 × 110", "Value not 130, 160, or 110")))</f>
        <v>Value not 130, 160, or 110</v>
      </c>
      <c r="E235" s="830">
        <f>AD235</f>
        <v>0</v>
      </c>
      <c r="F235" s="831">
        <f ca="1">IF(X235 &gt; 0.1, RAND() * (0.1 - 0.06) + 0.06, X235)</f>
        <v>0</v>
      </c>
      <c r="G235" s="831">
        <f ca="1">IF(Y235 &lt; 0.5, 0.5 + RAND() * 0.1, Y235)</f>
        <v>0.57043413220739159</v>
      </c>
      <c r="H235" s="830">
        <f ca="1">IF(AB235&gt;0.04, 0.029 + (0.039-0.029)*RAND(), AB235)</f>
        <v>0</v>
      </c>
      <c r="I235" s="830">
        <f ca="1">IF(AA235&gt;0.04, 0.029 + (0.039-0.029)*RAND(), AA235)</f>
        <v>0</v>
      </c>
      <c r="J235" s="831">
        <f ca="1">IF(Z235&gt;0.15, 0.11 + (0.15-0.11) * RAND(), Z235)</f>
        <v>0</v>
      </c>
      <c r="K235" s="830">
        <f ca="1">0.004 + (RAND() * (0.001 - 0.004))</f>
        <v>2.4630953782379247E-3</v>
      </c>
      <c r="L235" s="830">
        <f ca="1">H235+I235</f>
        <v>0</v>
      </c>
      <c r="M235" s="831">
        <f ca="1">(G235/6)+F235</f>
        <v>9.5072355367898598E-2</v>
      </c>
      <c r="N235" s="831">
        <f ca="1">2 + RAND()</f>
        <v>2.9019309356239118</v>
      </c>
      <c r="O235" s="831">
        <f ca="1">1 + RAND()</f>
        <v>1.3343845160174816</v>
      </c>
      <c r="P235" s="831">
        <f ca="1">2.98 + (RAND() * (3.03 - 2.98))</f>
        <v>3.0032662840606905</v>
      </c>
      <c r="Q235" s="832" t="str">
        <f ca="1">IF(D235="130 × 130", (130 + RANDBETWEEN(-1,1)) &amp; " × " &amp; (130 + RANDBETWEEN(-1,1)),
   IF(D235="160 × 160", (160 + RANDBETWEEN(-1,1)) &amp; " × " &amp; (160 + RANDBETWEEN(-1,1)),
   IF(D235="110 × 110", (110 + RANDBETWEEN(-1,1)) &amp; " × " &amp; (110 + RANDBETWEEN(-1,1)),
   "Value not matched")))</f>
        <v>Value not matched</v>
      </c>
      <c r="R235" s="833" t="s">
        <v>213</v>
      </c>
      <c r="S235" s="834" t="str">
        <f ca="1">IF(G235&lt;0.6, "IS 14650 CPS 10748/GR2", "IS 14650 CPS 10748/GR3")</f>
        <v>IS 14650 CPS 10748/GR2</v>
      </c>
      <c r="T235" s="831" t="s">
        <v>769</v>
      </c>
      <c r="U235" s="825"/>
      <c r="V235" s="826"/>
      <c r="W235" s="206">
        <f>Prod.!B132</f>
        <v>0</v>
      </c>
      <c r="X235" s="469">
        <f>Prod.!C132</f>
        <v>0</v>
      </c>
      <c r="Y235" s="469">
        <f>Prod.!D132</f>
        <v>0</v>
      </c>
      <c r="Z235" s="469">
        <f>Prod.!E132</f>
        <v>0</v>
      </c>
      <c r="AA235" s="282">
        <f>Prod.!F132</f>
        <v>0</v>
      </c>
      <c r="AB235" s="282">
        <f>Prod.!G132</f>
        <v>0</v>
      </c>
      <c r="AC235" s="836">
        <f>Prod.!H132</f>
        <v>0</v>
      </c>
      <c r="AD235" s="282">
        <f>Prod.!AB132</f>
        <v>0</v>
      </c>
      <c r="AE235" s="282">
        <f>AD235-AF235</f>
        <v>0</v>
      </c>
      <c r="AF235" s="282">
        <f>Prod.!AA132</f>
        <v>0</v>
      </c>
    </row>
    <row r="236" spans="1:32" ht="15" customHeight="1">
      <c r="A236" s="1435">
        <v>4</v>
      </c>
      <c r="B236" s="818">
        <f>W237</f>
        <v>0</v>
      </c>
      <c r="C236" s="819" t="s">
        <v>765</v>
      </c>
      <c r="D236" s="822"/>
      <c r="E236" s="822"/>
      <c r="F236" s="821">
        <f ca="1">F237 + (RAND() * 0.02 - 0.01)</f>
        <v>-3.081655478808093E-4</v>
      </c>
      <c r="G236" s="821">
        <f ca="1">G237 + (RAND() * 0.06 - 0.03)</f>
        <v>0.554315521776376</v>
      </c>
      <c r="H236" s="822">
        <f ca="1">H237 + (RAND() * 0.006 - 0.003)</f>
        <v>-2.4592762299315181E-4</v>
      </c>
      <c r="I236" s="822">
        <f ca="1">I237 + (RAND() * 0.006 - 0.003)</f>
        <v>2.7526609941091566E-3</v>
      </c>
      <c r="J236" s="821">
        <f ca="1">J237 + (RAND() * 0.02 - 0.01)</f>
        <v>-5.6695392557152549E-3</v>
      </c>
      <c r="K236" s="821"/>
      <c r="L236" s="822"/>
      <c r="M236" s="821"/>
      <c r="N236" s="823"/>
      <c r="O236" s="823"/>
      <c r="P236" s="823"/>
      <c r="Q236" s="823"/>
      <c r="R236" s="839"/>
      <c r="S236" s="821"/>
      <c r="T236" s="821"/>
      <c r="U236" s="825"/>
      <c r="V236" s="826"/>
    </row>
    <row r="237" spans="1:32" ht="15" customHeight="1">
      <c r="A237" s="1435"/>
      <c r="B237" s="827">
        <f>B236</f>
        <v>0</v>
      </c>
      <c r="C237" s="828" t="s">
        <v>768</v>
      </c>
      <c r="D237" s="829" t="str">
        <f>IF(AC237=130, "130 × 130", IF(AC237=160, "160 × 160", IF(AC237=110, "110 × 110", "Value not 130, 160, or 110")))</f>
        <v>Value not 130, 160, or 110</v>
      </c>
      <c r="E237" s="830">
        <f>AD237</f>
        <v>0</v>
      </c>
      <c r="F237" s="831">
        <f ca="1">IF(X237 &gt; 0.1, RAND() * (0.1 - 0.06) + 0.06, X237)</f>
        <v>0</v>
      </c>
      <c r="G237" s="831">
        <f ca="1">IF(Y237 &lt; 0.5, 0.5 + RAND() * 0.1, Y237)</f>
        <v>0.53546311371967714</v>
      </c>
      <c r="H237" s="830">
        <f ca="1">IF(AB237&gt;0.04, 0.029 + (0.039-0.029)*RAND(), AB237)</f>
        <v>0</v>
      </c>
      <c r="I237" s="830">
        <f ca="1">IF(AA237&gt;0.04, 0.029 + (0.039-0.029)*RAND(), AA237)</f>
        <v>0</v>
      </c>
      <c r="J237" s="831">
        <f ca="1">IF(Z237&gt;0.15, 0.11 + (0.15-0.11) * RAND(), Z237)</f>
        <v>0</v>
      </c>
      <c r="K237" s="830">
        <f ca="1">0.004 + (RAND() * (0.001 - 0.004))</f>
        <v>1.0861361435841152E-3</v>
      </c>
      <c r="L237" s="830">
        <f ca="1">H237+I237</f>
        <v>0</v>
      </c>
      <c r="M237" s="831">
        <f ca="1">(G237/6)+F237</f>
        <v>8.9243852286612857E-2</v>
      </c>
      <c r="N237" s="831">
        <f ca="1">2 + RAND()</f>
        <v>2.0232591597391552</v>
      </c>
      <c r="O237" s="831">
        <f ca="1">1 + RAND()</f>
        <v>1.4967272910503191</v>
      </c>
      <c r="P237" s="831">
        <f ca="1">2.98 + (RAND() * (3.03 - 2.98))</f>
        <v>2.9925679482587086</v>
      </c>
      <c r="Q237" s="832" t="str">
        <f ca="1">IF(D237="130 × 130", (130 + RANDBETWEEN(-1,1)) &amp; " × " &amp; (130 + RANDBETWEEN(-1,1)),
   IF(D237="160 × 160", (160 + RANDBETWEEN(-1,1)) &amp; " × " &amp; (160 + RANDBETWEEN(-1,1)),
   IF(D237="110 × 110", (110 + RANDBETWEEN(-1,1)) &amp; " × " &amp; (110 + RANDBETWEEN(-1,1)),
   "Value not matched")))</f>
        <v>Value not matched</v>
      </c>
      <c r="R237" s="833" t="s">
        <v>213</v>
      </c>
      <c r="S237" s="834" t="str">
        <f ca="1">IF(G237&lt;0.6, "IS 14650 CPS 10748/GR2", "IS 14650 CPS 10748/GR3")</f>
        <v>IS 14650 CPS 10748/GR2</v>
      </c>
      <c r="T237" s="831" t="s">
        <v>769</v>
      </c>
      <c r="U237" s="825"/>
      <c r="V237" s="826"/>
      <c r="W237" s="206">
        <f>Prod.!B133</f>
        <v>0</v>
      </c>
      <c r="X237" s="469">
        <f>Prod.!C133</f>
        <v>0</v>
      </c>
      <c r="Y237" s="469">
        <f>Prod.!D133</f>
        <v>0</v>
      </c>
      <c r="Z237" s="469">
        <f>Prod.!E133</f>
        <v>0</v>
      </c>
      <c r="AA237" s="282">
        <f>Prod.!F133</f>
        <v>0</v>
      </c>
      <c r="AB237" s="282">
        <f>Prod.!G133</f>
        <v>0</v>
      </c>
      <c r="AC237" s="836">
        <f>Prod.!H133</f>
        <v>0</v>
      </c>
      <c r="AD237" s="282">
        <f>Prod.!AB133</f>
        <v>0</v>
      </c>
      <c r="AE237" s="282">
        <f>AD237-AF237</f>
        <v>0</v>
      </c>
      <c r="AF237" s="282">
        <f>Prod.!AA133</f>
        <v>0</v>
      </c>
    </row>
    <row r="238" spans="1:32" ht="15" customHeight="1">
      <c r="A238" s="1435">
        <v>5</v>
      </c>
      <c r="B238" s="818">
        <f>W239</f>
        <v>0</v>
      </c>
      <c r="C238" s="819" t="s">
        <v>765</v>
      </c>
      <c r="D238" s="822"/>
      <c r="E238" s="822"/>
      <c r="F238" s="821">
        <f ca="1">F239 + (RAND() * 0.02 - 0.01)</f>
        <v>-4.9182880565086066E-3</v>
      </c>
      <c r="G238" s="821">
        <f ca="1">G239 + (RAND() * 0.06 - 0.03)</f>
        <v>0.53826663245709871</v>
      </c>
      <c r="H238" s="822">
        <f ca="1">H239 + (RAND() * 0.006 - 0.003)</f>
        <v>-2.1592237315497427E-4</v>
      </c>
      <c r="I238" s="822">
        <f ca="1">I239 + (RAND() * 0.006 - 0.003)</f>
        <v>-7.2472311612292034E-5</v>
      </c>
      <c r="J238" s="821">
        <f ca="1">J239 + (RAND() * 0.02 - 0.01)</f>
        <v>4.8866006354053686E-3</v>
      </c>
      <c r="K238" s="821"/>
      <c r="L238" s="822"/>
      <c r="M238" s="821"/>
      <c r="N238" s="823"/>
      <c r="O238" s="823"/>
      <c r="P238" s="823"/>
      <c r="Q238" s="823"/>
      <c r="R238" s="839"/>
      <c r="S238" s="821"/>
      <c r="T238" s="821"/>
      <c r="U238" s="825"/>
      <c r="V238" s="826"/>
    </row>
    <row r="239" spans="1:32" ht="15" customHeight="1">
      <c r="A239" s="1435"/>
      <c r="B239" s="827">
        <f>B238</f>
        <v>0</v>
      </c>
      <c r="C239" s="828" t="s">
        <v>768</v>
      </c>
      <c r="D239" s="829" t="str">
        <f>IF(AC239=130, "130 × 130", IF(AC239=160, "160 × 160", IF(AC239=110, "110 × 110", "Value not 130, 160, or 110")))</f>
        <v>Value not 130, 160, or 110</v>
      </c>
      <c r="E239" s="830">
        <f>AD239</f>
        <v>0</v>
      </c>
      <c r="F239" s="831">
        <f ca="1">IF(X239 &gt; 0.1, RAND() * (0.1 - 0.06) + 0.06, X239)</f>
        <v>0</v>
      </c>
      <c r="G239" s="831">
        <f ca="1">IF(Y239 &lt; 0.5, 0.5 + RAND() * 0.1, Y239)</f>
        <v>0.52049053548427426</v>
      </c>
      <c r="H239" s="830">
        <f ca="1">IF(AB239&gt;0.04, 0.029 + (0.039-0.029)*RAND(), AB239)</f>
        <v>0</v>
      </c>
      <c r="I239" s="830">
        <f ca="1">IF(AA239&gt;0.04, 0.029 + (0.039-0.029)*RAND(), AA239)</f>
        <v>0</v>
      </c>
      <c r="J239" s="831">
        <f ca="1">IF(Z239&gt;0.15, 0.11 + (0.15-0.11) * RAND(), Z239)</f>
        <v>0</v>
      </c>
      <c r="K239" s="830">
        <f ca="1">0.004 + (RAND() * (0.001 - 0.004))</f>
        <v>1.5948453712214148E-3</v>
      </c>
      <c r="L239" s="830">
        <f ca="1">H239+I239</f>
        <v>0</v>
      </c>
      <c r="M239" s="831">
        <f ca="1">(G239/6)+F239</f>
        <v>8.6748422580712373E-2</v>
      </c>
      <c r="N239" s="831">
        <f ca="1">2 + RAND()</f>
        <v>2.4295102222179144</v>
      </c>
      <c r="O239" s="831">
        <f ca="1">1 + RAND()</f>
        <v>1.7815547440511894</v>
      </c>
      <c r="P239" s="831">
        <f ca="1">2.98 + (RAND() * (3.03 - 2.98))</f>
        <v>3.0068687001513008</v>
      </c>
      <c r="Q239" s="832" t="str">
        <f ca="1">IF(D239="130 × 130", (130 + RANDBETWEEN(-1,1)) &amp; " × " &amp; (130 + RANDBETWEEN(-1,1)),
   IF(D239="160 × 160", (160 + RANDBETWEEN(-1,1)) &amp; " × " &amp; (160 + RANDBETWEEN(-1,1)),
   IF(D239="110 × 110", (110 + RANDBETWEEN(-1,1)) &amp; " × " &amp; (110 + RANDBETWEEN(-1,1)),
   "Value not matched")))</f>
        <v>Value not matched</v>
      </c>
      <c r="R239" s="833" t="s">
        <v>213</v>
      </c>
      <c r="S239" s="834" t="str">
        <f ca="1">IF(G239&lt;0.6, "IS 14650 CPS 10748/GR2", "IS 14650 CPS 10748/GR3")</f>
        <v>IS 14650 CPS 10748/GR2</v>
      </c>
      <c r="T239" s="831" t="s">
        <v>769</v>
      </c>
      <c r="U239" s="825"/>
      <c r="V239" s="826"/>
      <c r="W239" s="206">
        <f>Prod.!B134</f>
        <v>0</v>
      </c>
      <c r="X239" s="469">
        <f>Prod.!C134</f>
        <v>0</v>
      </c>
      <c r="Y239" s="469">
        <f>Prod.!D134</f>
        <v>0</v>
      </c>
      <c r="Z239" s="469">
        <f>Prod.!E134</f>
        <v>0</v>
      </c>
      <c r="AA239" s="282">
        <f>Prod.!F134</f>
        <v>0</v>
      </c>
      <c r="AB239" s="282">
        <f>Prod.!G134</f>
        <v>0</v>
      </c>
      <c r="AC239" s="836">
        <f>Prod.!H134</f>
        <v>0</v>
      </c>
      <c r="AD239" s="282">
        <f>Prod.!AB134</f>
        <v>0</v>
      </c>
      <c r="AE239" s="282">
        <f>AD239-AF239</f>
        <v>0</v>
      </c>
      <c r="AF239" s="282">
        <f>Prod.!AA134</f>
        <v>0</v>
      </c>
    </row>
    <row r="240" spans="1:32" ht="15" customHeight="1">
      <c r="A240" s="1435">
        <v>6</v>
      </c>
      <c r="B240" s="818">
        <f>W241</f>
        <v>0</v>
      </c>
      <c r="C240" s="819" t="s">
        <v>765</v>
      </c>
      <c r="D240" s="822"/>
      <c r="E240" s="822"/>
      <c r="F240" s="821">
        <f ca="1">F241 + (RAND() * 0.02 - 0.01)</f>
        <v>-2.8194756331934578E-3</v>
      </c>
      <c r="G240" s="821">
        <f ca="1">G241 + (RAND() * 0.06 - 0.03)</f>
        <v>0.61497092215253801</v>
      </c>
      <c r="H240" s="822">
        <f ca="1">H241 + (RAND() * 0.006 - 0.003)</f>
        <v>2.5701509790363479E-3</v>
      </c>
      <c r="I240" s="822">
        <f ca="1">I241 + (RAND() * 0.006 - 0.003)</f>
        <v>1.6206016167692348E-3</v>
      </c>
      <c r="J240" s="821">
        <f ca="1">J241 + (RAND() * 0.02 - 0.01)</f>
        <v>5.3272362204574656E-3</v>
      </c>
      <c r="K240" s="821"/>
      <c r="L240" s="822"/>
      <c r="M240" s="821"/>
      <c r="N240" s="823"/>
      <c r="O240" s="823"/>
      <c r="P240" s="823"/>
      <c r="Q240" s="823"/>
      <c r="R240" s="839"/>
      <c r="S240" s="821"/>
      <c r="T240" s="821"/>
      <c r="U240" s="825"/>
      <c r="V240" s="826"/>
    </row>
    <row r="241" spans="1:32" ht="15" customHeight="1">
      <c r="A241" s="1435"/>
      <c r="B241" s="827">
        <f>B240</f>
        <v>0</v>
      </c>
      <c r="C241" s="828" t="s">
        <v>768</v>
      </c>
      <c r="D241" s="829" t="str">
        <f>IF(AC241=130, "130 × 130", IF(AC241=160, "160 × 160", IF(AC241=110, "110 × 110", "Value not 130, 160, or 110")))</f>
        <v>Value not 130, 160, or 110</v>
      </c>
      <c r="E241" s="830">
        <f>AD241</f>
        <v>0</v>
      </c>
      <c r="F241" s="831">
        <f ca="1">IF(X241 &gt; 0.1, RAND() * (0.1 - 0.06) + 0.06, X241)</f>
        <v>0</v>
      </c>
      <c r="G241" s="831">
        <f ca="1">IF(Y241 &lt; 0.5, 0.5 + RAND() * 0.1, Y241)</f>
        <v>0.58747288953420984</v>
      </c>
      <c r="H241" s="830">
        <f ca="1">IF(AB241&gt;0.04, 0.029 + (0.039-0.029)*RAND(), AB241)</f>
        <v>0</v>
      </c>
      <c r="I241" s="830">
        <f ca="1">IF(AA241&gt;0.04, 0.029 + (0.039-0.029)*RAND(), AA241)</f>
        <v>0</v>
      </c>
      <c r="J241" s="831">
        <f ca="1">IF(Z241&gt;0.15, 0.11 + (0.15-0.11) * RAND(), Z241)</f>
        <v>0</v>
      </c>
      <c r="K241" s="830">
        <f ca="1">0.004 + (RAND() * (0.001 - 0.004))</f>
        <v>3.0170083492759067E-3</v>
      </c>
      <c r="L241" s="830">
        <f ca="1">H241+I241</f>
        <v>0</v>
      </c>
      <c r="M241" s="831">
        <f ca="1">(G241/6)+F241</f>
        <v>9.7912148255701645E-2</v>
      </c>
      <c r="N241" s="831">
        <f ca="1">2 + RAND()</f>
        <v>2.2700747228415605</v>
      </c>
      <c r="O241" s="831">
        <f ca="1">1 + RAND()</f>
        <v>1.2379177482831576</v>
      </c>
      <c r="P241" s="831">
        <f ca="1">2.98 + (RAND() * (3.03 - 2.98))</f>
        <v>2.9927621778916182</v>
      </c>
      <c r="Q241" s="832" t="str">
        <f ca="1">IF(D241="130 × 130", (130 + RANDBETWEEN(-1,1)) &amp; " × " &amp; (130 + RANDBETWEEN(-1,1)),
   IF(D241="160 × 160", (160 + RANDBETWEEN(-1,1)) &amp; " × " &amp; (160 + RANDBETWEEN(-1,1)),
   IF(D241="110 × 110", (110 + RANDBETWEEN(-1,1)) &amp; " × " &amp; (110 + RANDBETWEEN(-1,1)),
   "Value not matched")))</f>
        <v>Value not matched</v>
      </c>
      <c r="R241" s="833" t="s">
        <v>213</v>
      </c>
      <c r="S241" s="834" t="str">
        <f ca="1">IF(G241&lt;0.6, "IS 14650 CPS 10748/GR2", "IS 14650 CPS 10748/GR3")</f>
        <v>IS 14650 CPS 10748/GR2</v>
      </c>
      <c r="T241" s="831" t="s">
        <v>769</v>
      </c>
      <c r="U241" s="825"/>
      <c r="V241" s="826"/>
      <c r="W241" s="206">
        <f>Prod.!B135</f>
        <v>0</v>
      </c>
      <c r="X241" s="469">
        <f>Prod.!C135</f>
        <v>0</v>
      </c>
      <c r="Y241" s="469">
        <f>Prod.!D135</f>
        <v>0</v>
      </c>
      <c r="Z241" s="469">
        <f>Prod.!E135</f>
        <v>0</v>
      </c>
      <c r="AA241" s="282">
        <f>Prod.!F135</f>
        <v>0</v>
      </c>
      <c r="AB241" s="282">
        <f>Prod.!G135</f>
        <v>0</v>
      </c>
      <c r="AC241" s="836">
        <f>Prod.!H135</f>
        <v>0</v>
      </c>
      <c r="AD241" s="282">
        <f>Prod.!AB135</f>
        <v>0</v>
      </c>
      <c r="AE241" s="282">
        <f>AD241-AF241</f>
        <v>0</v>
      </c>
      <c r="AF241" s="282">
        <f>Prod.!AA135</f>
        <v>0</v>
      </c>
    </row>
    <row r="242" spans="1:32" ht="15" customHeight="1">
      <c r="A242" s="1435">
        <v>7</v>
      </c>
      <c r="B242" s="818">
        <f>W243</f>
        <v>0</v>
      </c>
      <c r="C242" s="819" t="s">
        <v>765</v>
      </c>
      <c r="D242" s="822"/>
      <c r="E242" s="822"/>
      <c r="F242" s="821">
        <f ca="1">F243 + (RAND() * 0.02 - 0.01)</f>
        <v>9.0164973313598493E-3</v>
      </c>
      <c r="G242" s="821">
        <f ca="1">G243 + (RAND() * 0.06 - 0.03)</f>
        <v>0.54490393286225192</v>
      </c>
      <c r="H242" s="822">
        <f ca="1">H243 + (RAND() * 0.006 - 0.003)</f>
        <v>-1.5439413889591211E-4</v>
      </c>
      <c r="I242" s="822">
        <f ca="1">I243 + (RAND() * 0.006 - 0.003)</f>
        <v>-1.2414467575403987E-3</v>
      </c>
      <c r="J242" s="821">
        <f ca="1">J243 + (RAND() * 0.02 - 0.01)</f>
        <v>9.1216689884065002E-3</v>
      </c>
      <c r="K242" s="821"/>
      <c r="L242" s="822"/>
      <c r="M242" s="821"/>
      <c r="N242" s="823"/>
      <c r="O242" s="823"/>
      <c r="P242" s="823"/>
      <c r="Q242" s="823"/>
      <c r="R242" s="839"/>
      <c r="S242" s="821"/>
      <c r="T242" s="821"/>
      <c r="U242" s="825"/>
      <c r="V242" s="826"/>
    </row>
    <row r="243" spans="1:32" ht="15" customHeight="1">
      <c r="A243" s="1435"/>
      <c r="B243" s="827">
        <f>B242</f>
        <v>0</v>
      </c>
      <c r="C243" s="828" t="s">
        <v>768</v>
      </c>
      <c r="D243" s="829" t="str">
        <f>IF(AC243=130, "130 × 130", IF(AC243=160, "160 × 160", IF(AC243=110, "110 × 110", "Value not 130, 160, or 110")))</f>
        <v>Value not 130, 160, or 110</v>
      </c>
      <c r="E243" s="830">
        <f>AD243</f>
        <v>0</v>
      </c>
      <c r="F243" s="831">
        <f ca="1">IF(X243 &gt; 0.1, RAND() * (0.1 - 0.06) + 0.06, X243)</f>
        <v>0</v>
      </c>
      <c r="G243" s="831">
        <f ca="1">IF(Y243 &lt; 0.5, 0.5 + RAND() * 0.1, Y243)</f>
        <v>0.56898157282184247</v>
      </c>
      <c r="H243" s="830">
        <f ca="1">IF(AB243&gt;0.04, 0.029 + (0.039-0.029)*RAND(), AB243)</f>
        <v>0</v>
      </c>
      <c r="I243" s="830">
        <f ca="1">IF(AA243&gt;0.04, 0.029 + (0.039-0.029)*RAND(), AA243)</f>
        <v>0</v>
      </c>
      <c r="J243" s="831">
        <f ca="1">IF(Z243&gt;0.15, 0.11 + (0.15-0.11) * RAND(), Z243)</f>
        <v>0</v>
      </c>
      <c r="K243" s="830">
        <f ca="1">0.004 + (RAND() * (0.001 - 0.004))</f>
        <v>3.1590072926215196E-3</v>
      </c>
      <c r="L243" s="830">
        <f ca="1">H243+I243</f>
        <v>0</v>
      </c>
      <c r="M243" s="831">
        <f ca="1">(G243/6)+F243</f>
        <v>9.483026213697375E-2</v>
      </c>
      <c r="N243" s="831">
        <f ca="1">2 + RAND()</f>
        <v>2.0864126732688462</v>
      </c>
      <c r="O243" s="831">
        <f ca="1">1 + RAND()</f>
        <v>1.2846208473818495</v>
      </c>
      <c r="P243" s="831">
        <f ca="1">2.98 + (RAND() * (3.03 - 2.98))</f>
        <v>3.0085909306954726</v>
      </c>
      <c r="Q243" s="832" t="str">
        <f ca="1">IF(D243="130 × 130", (130 + RANDBETWEEN(-1,1)) &amp; " × " &amp; (130 + RANDBETWEEN(-1,1)),
   IF(D243="160 × 160", (160 + RANDBETWEEN(-1,1)) &amp; " × " &amp; (160 + RANDBETWEEN(-1,1)),
   IF(D243="110 × 110", (110 + RANDBETWEEN(-1,1)) &amp; " × " &amp; (110 + RANDBETWEEN(-1,1)),
   "Value not matched")))</f>
        <v>Value not matched</v>
      </c>
      <c r="R243" s="833" t="s">
        <v>213</v>
      </c>
      <c r="S243" s="834" t="str">
        <f ca="1">IF(G243&lt;0.6, "IS 14650 CPS 10748/GR2", "IS 14650 CPS 10748/GR3")</f>
        <v>IS 14650 CPS 10748/GR2</v>
      </c>
      <c r="T243" s="831" t="s">
        <v>769</v>
      </c>
      <c r="U243" s="825"/>
      <c r="V243" s="826"/>
      <c r="W243" s="206">
        <f>Prod.!B136</f>
        <v>0</v>
      </c>
      <c r="X243" s="469">
        <f>Prod.!C136</f>
        <v>0</v>
      </c>
      <c r="Y243" s="469">
        <f>Prod.!D136</f>
        <v>0</v>
      </c>
      <c r="Z243" s="469">
        <f>Prod.!E136</f>
        <v>0</v>
      </c>
      <c r="AA243" s="282">
        <f>Prod.!F136</f>
        <v>0</v>
      </c>
      <c r="AB243" s="282">
        <f>Prod.!G136</f>
        <v>0</v>
      </c>
      <c r="AC243" s="836">
        <f>Prod.!H136</f>
        <v>0</v>
      </c>
      <c r="AD243" s="282">
        <f>Prod.!AB136</f>
        <v>0</v>
      </c>
      <c r="AE243" s="282">
        <f>AD243-AF243</f>
        <v>0</v>
      </c>
      <c r="AF243" s="282">
        <f>Prod.!AA136</f>
        <v>0</v>
      </c>
    </row>
    <row r="244" spans="1:32" ht="15" customHeight="1">
      <c r="A244" s="1435">
        <v>8</v>
      </c>
      <c r="B244" s="818">
        <f>W245</f>
        <v>0</v>
      </c>
      <c r="C244" s="819" t="s">
        <v>765</v>
      </c>
      <c r="D244" s="822"/>
      <c r="E244" s="822"/>
      <c r="F244" s="821">
        <f ca="1">F245 + (RAND() * 0.02 - 0.01)</f>
        <v>-1.0275356093068441E-3</v>
      </c>
      <c r="G244" s="821">
        <f ca="1">G245 + (RAND() * 0.06 - 0.03)</f>
        <v>0.48492046367207414</v>
      </c>
      <c r="H244" s="822">
        <f ca="1">H245 + (RAND() * 0.006 - 0.003)</f>
        <v>1.4012840624155849E-3</v>
      </c>
      <c r="I244" s="822">
        <f ca="1">I245 + (RAND() * 0.006 - 0.003)</f>
        <v>-1.4936035051245733E-3</v>
      </c>
      <c r="J244" s="821">
        <f ca="1">J245 + (RAND() * 0.02 - 0.01)</f>
        <v>-4.9717572732756324E-3</v>
      </c>
      <c r="K244" s="821"/>
      <c r="L244" s="822"/>
      <c r="M244" s="821"/>
      <c r="N244" s="823"/>
      <c r="O244" s="823"/>
      <c r="P244" s="823"/>
      <c r="Q244" s="823"/>
      <c r="R244" s="839"/>
      <c r="S244" s="821"/>
      <c r="T244" s="821"/>
      <c r="U244" s="825"/>
      <c r="V244" s="826"/>
    </row>
    <row r="245" spans="1:32" ht="15" customHeight="1">
      <c r="A245" s="1435"/>
      <c r="B245" s="827">
        <f>B244</f>
        <v>0</v>
      </c>
      <c r="C245" s="828" t="s">
        <v>768</v>
      </c>
      <c r="D245" s="829" t="str">
        <f>IF(AC245=130, "130 × 130", IF(AC245=160, "160 × 160", IF(AC245=110, "110 × 110", "Value not 130, 160, or 110")))</f>
        <v>Value not 130, 160, or 110</v>
      </c>
      <c r="E245" s="830">
        <f>AD245</f>
        <v>0</v>
      </c>
      <c r="F245" s="831">
        <f ca="1">IF(X245 &gt; 0.1, RAND() * (0.1 - 0.06) + 0.06, X245)</f>
        <v>0</v>
      </c>
      <c r="G245" s="831">
        <f ca="1">IF(Y245 &lt; 0.5, 0.5 + RAND() * 0.1, Y245)</f>
        <v>0.51272880775663199</v>
      </c>
      <c r="H245" s="830">
        <f ca="1">IF(AB245&gt;0.04, 0.029 + (0.039-0.029)*RAND(), AB245)</f>
        <v>0</v>
      </c>
      <c r="I245" s="830">
        <f ca="1">IF(AA245&gt;0.04, 0.029 + (0.039-0.029)*RAND(), AA245)</f>
        <v>0</v>
      </c>
      <c r="J245" s="831">
        <f ca="1">IF(Z245&gt;0.15, 0.11 + (0.15-0.11) * RAND(), Z245)</f>
        <v>0</v>
      </c>
      <c r="K245" s="830">
        <f ca="1">0.004 + (RAND() * (0.001 - 0.004))</f>
        <v>3.6707064215025643E-3</v>
      </c>
      <c r="L245" s="830">
        <f ca="1">H245+I245</f>
        <v>0</v>
      </c>
      <c r="M245" s="831">
        <f ca="1">(G245/6)+F245</f>
        <v>8.5454801292771998E-2</v>
      </c>
      <c r="N245" s="831">
        <f ca="1">2 + RAND()</f>
        <v>2.9062211863574579</v>
      </c>
      <c r="O245" s="831">
        <f ca="1">1 + RAND()</f>
        <v>1.8622908246759176</v>
      </c>
      <c r="P245" s="831">
        <f ca="1">2.98 + (RAND() * (3.03 - 2.98))</f>
        <v>3.015816490417798</v>
      </c>
      <c r="Q245" s="832" t="str">
        <f ca="1">IF(D245="130 × 130", (130 + RANDBETWEEN(-1,1)) &amp; " × " &amp; (130 + RANDBETWEEN(-1,1)),
   IF(D245="160 × 160", (160 + RANDBETWEEN(-1,1)) &amp; " × " &amp; (160 + RANDBETWEEN(-1,1)),
   IF(D245="110 × 110", (110 + RANDBETWEEN(-1,1)) &amp; " × " &amp; (110 + RANDBETWEEN(-1,1)),
   "Value not matched")))</f>
        <v>Value not matched</v>
      </c>
      <c r="R245" s="833" t="s">
        <v>213</v>
      </c>
      <c r="S245" s="834" t="str">
        <f ca="1">IF(G245&lt;0.6, "IS 14650 CPS 10748/GR2", "IS 14650 CPS 10748/GR3")</f>
        <v>IS 14650 CPS 10748/GR2</v>
      </c>
      <c r="T245" s="831" t="s">
        <v>769</v>
      </c>
      <c r="U245" s="825"/>
      <c r="V245" s="826"/>
      <c r="W245" s="206">
        <f>Prod.!B137</f>
        <v>0</v>
      </c>
      <c r="X245" s="469">
        <f>Prod.!C137</f>
        <v>0</v>
      </c>
      <c r="Y245" s="469">
        <f>Prod.!D137</f>
        <v>0</v>
      </c>
      <c r="Z245" s="469">
        <f>Prod.!E137</f>
        <v>0</v>
      </c>
      <c r="AA245" s="282">
        <f>Prod.!F137</f>
        <v>0</v>
      </c>
      <c r="AB245" s="282">
        <f>Prod.!G137</f>
        <v>0</v>
      </c>
      <c r="AC245" s="836">
        <f>Prod.!H137</f>
        <v>0</v>
      </c>
      <c r="AD245" s="282">
        <f>Prod.!AB137</f>
        <v>0</v>
      </c>
      <c r="AE245" s="282">
        <f>AD245-AF245</f>
        <v>0</v>
      </c>
      <c r="AF245" s="282">
        <f>Prod.!AA137</f>
        <v>0</v>
      </c>
    </row>
    <row r="246" spans="1:32" ht="15" customHeight="1">
      <c r="A246" s="1435">
        <v>9</v>
      </c>
      <c r="B246" s="818">
        <f>W247</f>
        <v>0</v>
      </c>
      <c r="C246" s="819" t="s">
        <v>765</v>
      </c>
      <c r="D246" s="822"/>
      <c r="E246" s="822"/>
      <c r="F246" s="821">
        <f ca="1">F247 + (RAND() * 0.02 - 0.01)</f>
        <v>8.6750669784973252E-3</v>
      </c>
      <c r="G246" s="821">
        <f ca="1">G247 + (RAND() * 0.06 - 0.03)</f>
        <v>0.56026481897896852</v>
      </c>
      <c r="H246" s="822">
        <f ca="1">H247 + (RAND() * 0.006 - 0.003)</f>
        <v>-8.8579507635197985E-4</v>
      </c>
      <c r="I246" s="822">
        <f ca="1">I247 + (RAND() * 0.006 - 0.003)</f>
        <v>1.2160555470938604E-3</v>
      </c>
      <c r="J246" s="821">
        <f ca="1">J247 + (RAND() * 0.02 - 0.01)</f>
        <v>-2.9555357925690126E-3</v>
      </c>
      <c r="K246" s="821"/>
      <c r="L246" s="822"/>
      <c r="M246" s="821"/>
      <c r="N246" s="823"/>
      <c r="O246" s="823"/>
      <c r="P246" s="823"/>
      <c r="Q246" s="823"/>
      <c r="R246" s="839"/>
      <c r="S246" s="821"/>
      <c r="T246" s="821"/>
      <c r="U246" s="825"/>
      <c r="V246" s="826"/>
    </row>
    <row r="247" spans="1:32" ht="15" customHeight="1">
      <c r="A247" s="1435"/>
      <c r="B247" s="827">
        <f>B246</f>
        <v>0</v>
      </c>
      <c r="C247" s="828" t="s">
        <v>768</v>
      </c>
      <c r="D247" s="829" t="str">
        <f>IF(AC247=130, "130 × 130", IF(AC247=160, "160 × 160", IF(AC247=110, "110 × 110", "Value not 130, 160, or 110")))</f>
        <v>Value not 130, 160, or 110</v>
      </c>
      <c r="E247" s="830">
        <f>AD247</f>
        <v>0</v>
      </c>
      <c r="F247" s="831">
        <f ca="1">IF(X247 &gt; 0.1, RAND() * (0.1 - 0.06) + 0.06, X247)</f>
        <v>0</v>
      </c>
      <c r="G247" s="831">
        <f ca="1">IF(Y247 &lt; 0.5, 0.5 + RAND() * 0.1, Y247)</f>
        <v>0.56244078636884198</v>
      </c>
      <c r="H247" s="830">
        <f ca="1">IF(AB247&gt;0.04, 0.029 + (0.039-0.029)*RAND(), AB247)</f>
        <v>0</v>
      </c>
      <c r="I247" s="830">
        <f ca="1">IF(AA247&gt;0.04, 0.029 + (0.039-0.029)*RAND(), AA247)</f>
        <v>0</v>
      </c>
      <c r="J247" s="831">
        <f ca="1">IF(Z247&gt;0.15, 0.11 + (0.15-0.11) * RAND(), Z247)</f>
        <v>0</v>
      </c>
      <c r="K247" s="830">
        <f ca="1">0.004 + (RAND() * (0.001 - 0.004))</f>
        <v>1.6795687669806827E-3</v>
      </c>
      <c r="L247" s="830">
        <f ca="1">H247+I247</f>
        <v>0</v>
      </c>
      <c r="M247" s="831">
        <f ca="1">(G247/6)+F247</f>
        <v>9.3740131061473664E-2</v>
      </c>
      <c r="N247" s="831">
        <f ca="1">2 + RAND()</f>
        <v>2.1953771860002789</v>
      </c>
      <c r="O247" s="831">
        <f ca="1">1 + RAND()</f>
        <v>1.6644901028127033</v>
      </c>
      <c r="P247" s="831">
        <f ca="1">2.98 + (RAND() * (3.03 - 2.98))</f>
        <v>3.0290700868117719</v>
      </c>
      <c r="Q247" s="832" t="str">
        <f ca="1">IF(D247="130 × 130", (130 + RANDBETWEEN(-1,1)) &amp; " × " &amp; (130 + RANDBETWEEN(-1,1)),
   IF(D247="160 × 160", (160 + RANDBETWEEN(-1,1)) &amp; " × " &amp; (160 + RANDBETWEEN(-1,1)),
   IF(D247="110 × 110", (110 + RANDBETWEEN(-1,1)) &amp; " × " &amp; (110 + RANDBETWEEN(-1,1)),
   "Value not matched")))</f>
        <v>Value not matched</v>
      </c>
      <c r="R247" s="833" t="s">
        <v>213</v>
      </c>
      <c r="S247" s="834" t="str">
        <f ca="1">IF(G247&lt;0.6, "IS 14650 CPS 10748/GR2", "IS 14650 CPS 10748/GR3")</f>
        <v>IS 14650 CPS 10748/GR2</v>
      </c>
      <c r="T247" s="831" t="s">
        <v>769</v>
      </c>
      <c r="U247" s="825"/>
      <c r="V247" s="826"/>
      <c r="W247" s="206">
        <f>Prod.!B138</f>
        <v>0</v>
      </c>
      <c r="X247" s="469">
        <f>Prod.!C138</f>
        <v>0</v>
      </c>
      <c r="Y247" s="469">
        <f>Prod.!D138</f>
        <v>0</v>
      </c>
      <c r="Z247" s="469">
        <f>Prod.!E138</f>
        <v>0</v>
      </c>
      <c r="AA247" s="282">
        <f>Prod.!F138</f>
        <v>0</v>
      </c>
      <c r="AB247" s="282">
        <f>Prod.!G138</f>
        <v>0</v>
      </c>
      <c r="AC247" s="836">
        <f>Prod.!H138</f>
        <v>0</v>
      </c>
      <c r="AD247" s="282">
        <f>Prod.!AB138</f>
        <v>0</v>
      </c>
      <c r="AE247" s="282">
        <f>AD247-AF247</f>
        <v>0</v>
      </c>
      <c r="AF247" s="282">
        <f>Prod.!AA138</f>
        <v>0</v>
      </c>
    </row>
    <row r="248" spans="1:32" ht="15" customHeight="1">
      <c r="A248" s="1435">
        <v>10</v>
      </c>
      <c r="B248" s="818">
        <f>W249</f>
        <v>0</v>
      </c>
      <c r="C248" s="819" t="s">
        <v>765</v>
      </c>
      <c r="D248" s="822"/>
      <c r="E248" s="822"/>
      <c r="F248" s="821">
        <f ca="1">F249 + (RAND() * 0.02 - 0.01)</f>
        <v>-2.0632555404249079E-3</v>
      </c>
      <c r="G248" s="821">
        <f ca="1">G249 + (RAND() * 0.06 - 0.03)</f>
        <v>0.50879699299341474</v>
      </c>
      <c r="H248" s="822">
        <f ca="1">H249 + (RAND() * 0.006 - 0.003)</f>
        <v>6.7995274843494222E-4</v>
      </c>
      <c r="I248" s="822">
        <f ca="1">I249 + (RAND() * 0.006 - 0.003)</f>
        <v>-1.1766246709069769E-3</v>
      </c>
      <c r="J248" s="821">
        <f ca="1">J249 + (RAND() * 0.02 - 0.01)</f>
        <v>9.2270719961030628E-3</v>
      </c>
      <c r="K248" s="821"/>
      <c r="L248" s="822"/>
      <c r="M248" s="821"/>
      <c r="N248" s="823"/>
      <c r="O248" s="823"/>
      <c r="P248" s="823"/>
      <c r="Q248" s="823"/>
      <c r="R248" s="839"/>
      <c r="S248" s="821"/>
      <c r="T248" s="821"/>
      <c r="U248" s="825"/>
      <c r="V248" s="826"/>
    </row>
    <row r="249" spans="1:32" ht="15" customHeight="1">
      <c r="A249" s="1435"/>
      <c r="B249" s="827">
        <f>B248</f>
        <v>0</v>
      </c>
      <c r="C249" s="828" t="s">
        <v>768</v>
      </c>
      <c r="D249" s="829" t="str">
        <f>IF(AC249=130, "130 × 130", IF(AC249=160, "160 × 160", IF(AC249=110, "110 × 110", "Value not 130, 160, or 110")))</f>
        <v>Value not 130, 160, or 110</v>
      </c>
      <c r="E249" s="830">
        <f>AD249</f>
        <v>0</v>
      </c>
      <c r="F249" s="831">
        <f ca="1">IF(X249 &gt; 0.1, RAND() * (0.1 - 0.06) + 0.06, X249)</f>
        <v>0</v>
      </c>
      <c r="G249" s="831">
        <f ca="1">IF(Y249 &lt; 0.5, 0.5 + RAND() * 0.1, Y249)</f>
        <v>0.50723966248997776</v>
      </c>
      <c r="H249" s="830">
        <f ca="1">IF(AB249&gt;0.04, 0.029 + (0.039-0.029)*RAND(), AB249)</f>
        <v>0</v>
      </c>
      <c r="I249" s="830">
        <f ca="1">IF(AA249&gt;0.04, 0.029 + (0.039-0.029)*RAND(), AA249)</f>
        <v>0</v>
      </c>
      <c r="J249" s="831">
        <f ca="1">IF(Z249&gt;0.15, 0.11 + (0.15-0.11) * RAND(), Z249)</f>
        <v>0</v>
      </c>
      <c r="K249" s="830">
        <f ca="1">0.004 + (RAND() * (0.001 - 0.004))</f>
        <v>1.3859344314269867E-3</v>
      </c>
      <c r="L249" s="830">
        <f ca="1">H249+I249</f>
        <v>0</v>
      </c>
      <c r="M249" s="831">
        <f ca="1">(G249/6)+F249</f>
        <v>8.4539943748329627E-2</v>
      </c>
      <c r="N249" s="831">
        <f ca="1">2 + RAND()</f>
        <v>2.580200389971143</v>
      </c>
      <c r="O249" s="831">
        <f ca="1">1 + RAND()</f>
        <v>1.2997162929117254</v>
      </c>
      <c r="P249" s="831">
        <f ca="1">2.98 + (RAND() * (3.03 - 2.98))</f>
        <v>3.0227221083620579</v>
      </c>
      <c r="Q249" s="832" t="str">
        <f ca="1">IF(D249="130 × 130", (130 + RANDBETWEEN(-1,1)) &amp; " × " &amp; (130 + RANDBETWEEN(-1,1)),
   IF(D249="160 × 160", (160 + RANDBETWEEN(-1,1)) &amp; " × " &amp; (160 + RANDBETWEEN(-1,1)),
   IF(D249="110 × 110", (110 + RANDBETWEEN(-1,1)) &amp; " × " &amp; (110 + RANDBETWEEN(-1,1)),
   "Value not matched")))</f>
        <v>Value not matched</v>
      </c>
      <c r="R249" s="833" t="s">
        <v>213</v>
      </c>
      <c r="S249" s="834" t="str">
        <f ca="1">IF(G249&lt;0.6, "IS 14650 CPS 10748/GR2", "IS 14650 CPS 10748/GR3")</f>
        <v>IS 14650 CPS 10748/GR2</v>
      </c>
      <c r="T249" s="831" t="s">
        <v>769</v>
      </c>
      <c r="U249" s="825"/>
      <c r="V249" s="826"/>
      <c r="W249" s="206">
        <f>Prod.!B139</f>
        <v>0</v>
      </c>
      <c r="X249" s="469">
        <f>Prod.!C139</f>
        <v>0</v>
      </c>
      <c r="Y249" s="469">
        <f>Prod.!D139</f>
        <v>0</v>
      </c>
      <c r="Z249" s="469">
        <f>Prod.!E139</f>
        <v>0</v>
      </c>
      <c r="AA249" s="282">
        <f>Prod.!F139</f>
        <v>0</v>
      </c>
      <c r="AB249" s="282">
        <f>Prod.!G139</f>
        <v>0</v>
      </c>
      <c r="AC249" s="836">
        <f>Prod.!H139</f>
        <v>0</v>
      </c>
      <c r="AD249" s="282">
        <f>Prod.!AB139</f>
        <v>0</v>
      </c>
      <c r="AE249" s="282">
        <f>AD249-AF249</f>
        <v>0</v>
      </c>
      <c r="AF249" s="282">
        <f>Prod.!AA139</f>
        <v>0</v>
      </c>
    </row>
    <row r="250" spans="1:32" ht="15" customHeight="1">
      <c r="A250" s="1435">
        <v>11</v>
      </c>
      <c r="B250" s="818">
        <f>W251</f>
        <v>0</v>
      </c>
      <c r="C250" s="819" t="s">
        <v>765</v>
      </c>
      <c r="D250" s="822"/>
      <c r="E250" s="822"/>
      <c r="F250" s="821">
        <f ca="1">F251 + (RAND() * 0.02 - 0.01)</f>
        <v>-5.3952940028265317E-3</v>
      </c>
      <c r="G250" s="821">
        <f ca="1">G251 + (RAND() * 0.06 - 0.03)</f>
        <v>0.50083688201089194</v>
      </c>
      <c r="H250" s="822">
        <f ca="1">H251 + (RAND() * 0.006 - 0.003)</f>
        <v>-2.6551732851260619E-3</v>
      </c>
      <c r="I250" s="822">
        <f ca="1">I251 + (RAND() * 0.006 - 0.003)</f>
        <v>-1.1942703246291811E-3</v>
      </c>
      <c r="J250" s="821">
        <f ca="1">J251 + (RAND() * 0.02 - 0.01)</f>
        <v>7.4942573398114314E-3</v>
      </c>
      <c r="K250" s="821"/>
      <c r="L250" s="822"/>
      <c r="M250" s="821"/>
      <c r="N250" s="823"/>
      <c r="O250" s="823"/>
      <c r="P250" s="823"/>
      <c r="Q250" s="823"/>
      <c r="R250" s="839"/>
      <c r="S250" s="821"/>
      <c r="T250" s="821"/>
      <c r="U250" s="825"/>
      <c r="V250" s="826"/>
    </row>
    <row r="251" spans="1:32" ht="15" customHeight="1">
      <c r="A251" s="1435"/>
      <c r="B251" s="827">
        <f>B250</f>
        <v>0</v>
      </c>
      <c r="C251" s="828" t="s">
        <v>768</v>
      </c>
      <c r="D251" s="829" t="str">
        <f>IF(AC251=130, "130 × 130", IF(AC251=160, "160 × 160", IF(AC251=110, "110 × 110", "Value not 130, 160, or 110")))</f>
        <v>Value not 130, 160, or 110</v>
      </c>
      <c r="E251" s="830">
        <f>AD251</f>
        <v>0</v>
      </c>
      <c r="F251" s="831">
        <f ca="1">IF(X251 &gt; 0.1, RAND() * (0.1 - 0.06) + 0.06, X251)</f>
        <v>0</v>
      </c>
      <c r="G251" s="831">
        <f ca="1">IF(Y251 &lt; 0.5, 0.5 + RAND() * 0.1, Y251)</f>
        <v>0.50510765423222137</v>
      </c>
      <c r="H251" s="830">
        <f ca="1">IF(AB251&gt;0.04, 0.029 + (0.039-0.029)*RAND(), AB251)</f>
        <v>0</v>
      </c>
      <c r="I251" s="830">
        <f ca="1">IF(AA251&gt;0.04, 0.029 + (0.039-0.029)*RAND(), AA251)</f>
        <v>0</v>
      </c>
      <c r="J251" s="831">
        <f ca="1">IF(Z251&gt;0.15, 0.11 + (0.15-0.11) * RAND(), Z251)</f>
        <v>0</v>
      </c>
      <c r="K251" s="830">
        <f ca="1">0.004 + (RAND() * (0.001 - 0.004))</f>
        <v>2.0199562875065826E-3</v>
      </c>
      <c r="L251" s="830">
        <f ca="1">H251+I251</f>
        <v>0</v>
      </c>
      <c r="M251" s="831">
        <f ca="1">(G251/6)+F251</f>
        <v>8.4184609038703562E-2</v>
      </c>
      <c r="N251" s="831">
        <f ca="1">2 + RAND()</f>
        <v>2.4555401857276795</v>
      </c>
      <c r="O251" s="831">
        <f ca="1">1 + RAND()</f>
        <v>1.2519274585125628</v>
      </c>
      <c r="P251" s="831">
        <f ca="1">2.98 + (RAND() * (3.03 - 2.98))</f>
        <v>2.9966418528987688</v>
      </c>
      <c r="Q251" s="832" t="str">
        <f ca="1">IF(D251="130 × 130", (130 + RANDBETWEEN(-1,1)) &amp; " × " &amp; (130 + RANDBETWEEN(-1,1)),
   IF(D251="160 × 160", (160 + RANDBETWEEN(-1,1)) &amp; " × " &amp; (160 + RANDBETWEEN(-1,1)),
   IF(D251="110 × 110", (110 + RANDBETWEEN(-1,1)) &amp; " × " &amp; (110 + RANDBETWEEN(-1,1)),
   "Value not matched")))</f>
        <v>Value not matched</v>
      </c>
      <c r="R251" s="833" t="s">
        <v>213</v>
      </c>
      <c r="S251" s="834" t="str">
        <f ca="1">IF(G251&lt;0.6, "IS 14650 CPS 10748/GR2", "IS 14650 CPS 10748/GR3")</f>
        <v>IS 14650 CPS 10748/GR2</v>
      </c>
      <c r="T251" s="831" t="s">
        <v>769</v>
      </c>
      <c r="U251" s="825"/>
      <c r="V251" s="826"/>
      <c r="W251" s="206">
        <f>Prod.!B140</f>
        <v>0</v>
      </c>
      <c r="X251" s="469">
        <f>Prod.!C140</f>
        <v>0</v>
      </c>
      <c r="Y251" s="469">
        <f>Prod.!D140</f>
        <v>0</v>
      </c>
      <c r="Z251" s="469">
        <f>Prod.!E140</f>
        <v>0</v>
      </c>
      <c r="AA251" s="282">
        <f>Prod.!F140</f>
        <v>0</v>
      </c>
      <c r="AB251" s="282">
        <f>Prod.!G140</f>
        <v>0</v>
      </c>
      <c r="AC251" s="836">
        <f>Prod.!H140</f>
        <v>0</v>
      </c>
      <c r="AD251" s="282">
        <f>Prod.!AB140</f>
        <v>0</v>
      </c>
      <c r="AE251" s="282">
        <f>AD251-AF251</f>
        <v>0</v>
      </c>
      <c r="AF251" s="282">
        <f>Prod.!AA140</f>
        <v>0</v>
      </c>
    </row>
    <row r="252" spans="1:32" ht="15" customHeight="1">
      <c r="A252" s="1435">
        <v>12</v>
      </c>
      <c r="B252" s="818">
        <f>W253</f>
        <v>0</v>
      </c>
      <c r="C252" s="819" t="s">
        <v>765</v>
      </c>
      <c r="D252" s="822"/>
      <c r="E252" s="822"/>
      <c r="F252" s="821">
        <f ca="1">F253 + (RAND() * 0.02 - 0.01)</f>
        <v>5.9163516205010657E-3</v>
      </c>
      <c r="G252" s="821">
        <f ca="1">G253 + (RAND() * 0.06 - 0.03)</f>
        <v>0.55256856574258306</v>
      </c>
      <c r="H252" s="822">
        <f ca="1">H253 + (RAND() * 0.006 - 0.003)</f>
        <v>-6.6540950061396657E-5</v>
      </c>
      <c r="I252" s="822">
        <f ca="1">I253 + (RAND() * 0.006 - 0.003)</f>
        <v>2.3828446457058597E-3</v>
      </c>
      <c r="J252" s="821">
        <f ca="1">J253 + (RAND() * 0.02 - 0.01)</f>
        <v>-8.0035624862527868E-3</v>
      </c>
      <c r="K252" s="821"/>
      <c r="L252" s="822"/>
      <c r="M252" s="821"/>
      <c r="N252" s="823"/>
      <c r="O252" s="823"/>
      <c r="P252" s="823"/>
      <c r="Q252" s="823"/>
      <c r="R252" s="839"/>
      <c r="S252" s="821"/>
      <c r="T252" s="821"/>
      <c r="U252" s="825"/>
      <c r="V252" s="826"/>
    </row>
    <row r="253" spans="1:32" ht="15" customHeight="1">
      <c r="A253" s="1435"/>
      <c r="B253" s="827">
        <f>B252</f>
        <v>0</v>
      </c>
      <c r="C253" s="828" t="s">
        <v>768</v>
      </c>
      <c r="D253" s="829" t="str">
        <f>IF(AC253=130, "130 × 130", IF(AC253=160, "160 × 160", IF(AC253=110, "110 × 110", "Value not 130, 160, or 110")))</f>
        <v>Value not 130, 160, or 110</v>
      </c>
      <c r="E253" s="830">
        <f>AD253</f>
        <v>0</v>
      </c>
      <c r="F253" s="831">
        <f ca="1">IF(X253 &gt; 0.1, RAND() * (0.1 - 0.06) + 0.06, X253)</f>
        <v>0</v>
      </c>
      <c r="G253" s="831">
        <f ca="1">IF(Y253 &lt; 0.5, 0.5 + RAND() * 0.1, Y253)</f>
        <v>0.54135017207876968</v>
      </c>
      <c r="H253" s="830">
        <f ca="1">IF(AB253&gt;0.04, 0.029 + (0.039-0.029)*RAND(), AB253)</f>
        <v>0</v>
      </c>
      <c r="I253" s="830">
        <f ca="1">IF(AA253&gt;0.04, 0.029 + (0.039-0.029)*RAND(), AA253)</f>
        <v>0</v>
      </c>
      <c r="J253" s="831">
        <f ca="1">IF(Z253&gt;0.15, 0.11 + (0.15-0.11) * RAND(), Z253)</f>
        <v>0</v>
      </c>
      <c r="K253" s="830">
        <f ca="1">0.004 + (RAND() * (0.001 - 0.004))</f>
        <v>3.0231993756786833E-3</v>
      </c>
      <c r="L253" s="830">
        <f ca="1">H253+I253</f>
        <v>0</v>
      </c>
      <c r="M253" s="831">
        <f ca="1">(G253/6)+F253</f>
        <v>9.0225028679794941E-2</v>
      </c>
      <c r="N253" s="831">
        <f ca="1">2 + RAND()</f>
        <v>2.9169024103181442</v>
      </c>
      <c r="O253" s="831">
        <f ca="1">1 + RAND()</f>
        <v>1.2209582161631463</v>
      </c>
      <c r="P253" s="831">
        <f ca="1">2.98 + (RAND() * (3.03 - 2.98))</f>
        <v>2.9950833890952966</v>
      </c>
      <c r="Q253" s="832" t="str">
        <f ca="1">IF(D253="130 × 130", (130 + RANDBETWEEN(-1,1)) &amp; " × " &amp; (130 + RANDBETWEEN(-1,1)),
   IF(D253="160 × 160", (160 + RANDBETWEEN(-1,1)) &amp; " × " &amp; (160 + RANDBETWEEN(-1,1)),
   IF(D253="110 × 110", (110 + RANDBETWEEN(-1,1)) &amp; " × " &amp; (110 + RANDBETWEEN(-1,1)),
   "Value not matched")))</f>
        <v>Value not matched</v>
      </c>
      <c r="R253" s="833" t="s">
        <v>213</v>
      </c>
      <c r="S253" s="834" t="str">
        <f ca="1">IF(G253&lt;0.6, "IS 14650 CPS 10748/GR2", "IS 14650 CPS 10748/GR3")</f>
        <v>IS 14650 CPS 10748/GR2</v>
      </c>
      <c r="T253" s="831" t="s">
        <v>769</v>
      </c>
      <c r="U253" s="825"/>
      <c r="V253" s="826"/>
      <c r="W253" s="206">
        <f>Prod.!B141</f>
        <v>0</v>
      </c>
      <c r="X253" s="469">
        <f>Prod.!C141</f>
        <v>0</v>
      </c>
      <c r="Y253" s="469">
        <f>Prod.!D141</f>
        <v>0</v>
      </c>
      <c r="Z253" s="469">
        <f>Prod.!E141</f>
        <v>0</v>
      </c>
      <c r="AA253" s="282">
        <f>Prod.!F141</f>
        <v>0</v>
      </c>
      <c r="AB253" s="282">
        <f>Prod.!G141</f>
        <v>0</v>
      </c>
      <c r="AC253" s="836">
        <f>Prod.!H141</f>
        <v>0</v>
      </c>
      <c r="AD253" s="282">
        <f>Prod.!AB141</f>
        <v>0</v>
      </c>
      <c r="AE253" s="282">
        <f>AD253-AF253</f>
        <v>0</v>
      </c>
      <c r="AF253" s="282">
        <f>Prod.!AA141</f>
        <v>0</v>
      </c>
    </row>
    <row r="254" spans="1:32" ht="15" customHeight="1">
      <c r="A254" s="1435"/>
      <c r="B254" s="818"/>
      <c r="C254" s="819"/>
      <c r="D254" s="822"/>
      <c r="E254" s="822"/>
      <c r="F254" s="821"/>
      <c r="G254" s="821"/>
      <c r="H254" s="840"/>
      <c r="I254" s="840"/>
      <c r="J254" s="821"/>
      <c r="K254" s="821"/>
      <c r="L254" s="822"/>
      <c r="M254" s="838"/>
      <c r="N254" s="821"/>
      <c r="O254" s="821"/>
      <c r="P254" s="821"/>
      <c r="Q254" s="821"/>
      <c r="R254" s="839"/>
      <c r="S254" s="841"/>
      <c r="T254" s="821"/>
      <c r="U254" s="825"/>
      <c r="V254" s="826"/>
    </row>
    <row r="255" spans="1:32" ht="15" customHeight="1">
      <c r="A255" s="1435"/>
      <c r="B255" s="827"/>
      <c r="C255" s="828"/>
      <c r="D255" s="842"/>
      <c r="E255" s="830"/>
      <c r="F255" s="831"/>
      <c r="G255" s="831"/>
      <c r="H255" s="843"/>
      <c r="I255" s="843"/>
      <c r="J255" s="831"/>
      <c r="K255" s="831"/>
      <c r="L255" s="830"/>
      <c r="M255" s="831"/>
      <c r="N255" s="831"/>
      <c r="O255" s="831"/>
      <c r="P255" s="831"/>
      <c r="Q255" s="831"/>
      <c r="R255" s="833"/>
      <c r="S255" s="834"/>
      <c r="T255" s="831"/>
      <c r="U255" s="825"/>
      <c r="V255" s="826"/>
    </row>
    <row r="256" spans="1:32" ht="15" customHeight="1">
      <c r="A256" s="180"/>
      <c r="B256" s="180"/>
      <c r="C256" s="180" t="s">
        <v>770</v>
      </c>
      <c r="D256" s="395"/>
      <c r="E256" s="844">
        <f>SUM(E230:E253)</f>
        <v>0</v>
      </c>
      <c r="F256" s="180"/>
      <c r="G256" s="180"/>
      <c r="H256" s="844"/>
      <c r="I256" s="180"/>
      <c r="J256" s="845"/>
      <c r="K256" s="845"/>
      <c r="L256" s="180"/>
      <c r="M256" s="845"/>
      <c r="N256" s="180"/>
      <c r="O256" s="180"/>
      <c r="P256" s="180"/>
      <c r="Q256" s="180"/>
      <c r="R256" s="263"/>
      <c r="S256" s="180"/>
      <c r="T256" s="180"/>
    </row>
    <row r="257" spans="1:32" ht="28.5" customHeight="1">
      <c r="A257" s="1436" t="s">
        <v>746</v>
      </c>
      <c r="B257" s="1436"/>
      <c r="C257" s="1436"/>
      <c r="D257" s="1436"/>
      <c r="E257" s="1436"/>
      <c r="F257" s="1436"/>
      <c r="G257" s="1436"/>
      <c r="H257" s="1436"/>
      <c r="I257" s="1436"/>
      <c r="J257" s="1436"/>
      <c r="K257" s="1436"/>
      <c r="L257" s="1436"/>
      <c r="M257" s="1436"/>
      <c r="N257" s="1436"/>
      <c r="O257" s="1436"/>
      <c r="P257" s="1436"/>
      <c r="Q257" s="1436"/>
      <c r="R257" s="1436"/>
      <c r="S257" s="1436"/>
      <c r="T257" s="1436"/>
      <c r="U257" s="515"/>
      <c r="V257" s="846"/>
    </row>
    <row r="258" spans="1:32" ht="15" customHeight="1">
      <c r="A258" s="1437" t="s">
        <v>747</v>
      </c>
      <c r="B258" s="1437"/>
      <c r="C258" s="1437"/>
      <c r="D258" s="1437"/>
      <c r="E258" s="1437"/>
      <c r="F258" s="1437"/>
      <c r="G258" s="1437"/>
      <c r="H258" s="1437"/>
      <c r="I258" s="1437"/>
      <c r="J258" s="1437"/>
      <c r="K258" s="1437"/>
      <c r="L258" s="1437"/>
      <c r="M258" s="1437"/>
      <c r="N258" s="1437"/>
      <c r="O258" s="1437"/>
      <c r="P258" s="1437"/>
      <c r="Q258" s="1437"/>
      <c r="R258" s="1437"/>
      <c r="S258" s="1437"/>
      <c r="T258" s="1437"/>
      <c r="U258" s="806"/>
      <c r="V258" s="807"/>
    </row>
    <row r="259" spans="1:32" ht="15" customHeight="1">
      <c r="A259" s="1438" t="str">
        <f>"DATE OF MANUFACTURING : " &amp; TEXT(V263, "DD-MM-YYYY")</f>
        <v>DATE OF MANUFACTURING : 00-01-1900</v>
      </c>
      <c r="B259" s="1438"/>
      <c r="C259" s="1438"/>
      <c r="D259" s="1438"/>
      <c r="E259" s="1438"/>
      <c r="F259" s="1438"/>
      <c r="G259" s="1438"/>
      <c r="H259" s="1438"/>
      <c r="I259" s="1438"/>
      <c r="J259" s="1438"/>
      <c r="K259" s="1438"/>
      <c r="L259" s="1438"/>
      <c r="M259" s="1438"/>
      <c r="N259" s="1437" t="s">
        <v>748</v>
      </c>
      <c r="O259" s="1437"/>
      <c r="P259" s="1437"/>
      <c r="Q259" s="1437"/>
      <c r="R259" s="1437"/>
      <c r="S259" s="1437"/>
      <c r="T259" s="1437"/>
      <c r="U259" s="808"/>
      <c r="V259" s="809"/>
    </row>
    <row r="260" spans="1:32" ht="29.25" customHeight="1">
      <c r="A260" s="1439" t="s">
        <v>749</v>
      </c>
      <c r="B260" s="1440" t="s">
        <v>750</v>
      </c>
      <c r="C260" s="1440"/>
      <c r="D260" s="1440" t="s">
        <v>751</v>
      </c>
      <c r="E260" s="1441" t="s">
        <v>752</v>
      </c>
      <c r="F260" s="1442" t="s">
        <v>753</v>
      </c>
      <c r="G260" s="1442"/>
      <c r="H260" s="1442"/>
      <c r="I260" s="1442"/>
      <c r="J260" s="1442"/>
      <c r="K260" s="1442"/>
      <c r="L260" s="1442"/>
      <c r="M260" s="1442"/>
      <c r="N260" s="1442" t="s">
        <v>754</v>
      </c>
      <c r="O260" s="1442"/>
      <c r="P260" s="1442"/>
      <c r="Q260" s="1442"/>
      <c r="R260" s="1443" t="s">
        <v>771</v>
      </c>
      <c r="S260" s="1441" t="s">
        <v>756</v>
      </c>
      <c r="T260" s="1440" t="s">
        <v>104</v>
      </c>
      <c r="U260" s="810"/>
      <c r="V260" s="811"/>
    </row>
    <row r="261" spans="1:32" ht="42.75" customHeight="1">
      <c r="A261" s="1439"/>
      <c r="B261" s="1440"/>
      <c r="C261" s="1440"/>
      <c r="D261" s="1440"/>
      <c r="E261" s="1440"/>
      <c r="F261" s="812" t="s">
        <v>40</v>
      </c>
      <c r="G261" s="812" t="s">
        <v>757</v>
      </c>
      <c r="H261" s="813" t="s">
        <v>758</v>
      </c>
      <c r="I261" s="812" t="s">
        <v>43</v>
      </c>
      <c r="J261" s="812" t="s">
        <v>42</v>
      </c>
      <c r="K261" s="812" t="s">
        <v>759</v>
      </c>
      <c r="L261" s="812" t="s">
        <v>760</v>
      </c>
      <c r="M261" s="812" t="s">
        <v>761</v>
      </c>
      <c r="N261" s="814" t="s">
        <v>762</v>
      </c>
      <c r="O261" s="815" t="s">
        <v>772</v>
      </c>
      <c r="P261" s="816" t="s">
        <v>773</v>
      </c>
      <c r="Q261" s="817" t="s">
        <v>764</v>
      </c>
      <c r="R261" s="1443"/>
      <c r="S261" s="1443"/>
      <c r="T261" s="1443"/>
      <c r="U261" s="810"/>
      <c r="V261" s="811"/>
    </row>
    <row r="262" spans="1:32" ht="15" customHeight="1">
      <c r="A262" s="1435">
        <v>1</v>
      </c>
      <c r="B262" s="818">
        <f>W263</f>
        <v>0</v>
      </c>
      <c r="C262" s="819" t="s">
        <v>765</v>
      </c>
      <c r="D262" s="820"/>
      <c r="E262" s="821"/>
      <c r="F262" s="821">
        <f ca="1">F263 + (RAND() * 0.02 - 0.01)</f>
        <v>3.3459776553813256E-3</v>
      </c>
      <c r="G262" s="821">
        <f ca="1">G263 + (RAND() * 0.06 - 0.03)</f>
        <v>0.59931908327777994</v>
      </c>
      <c r="H262" s="822">
        <f ca="1">H263 + (RAND() * 0.006 - 0.003)</f>
        <v>1.8414132094522568E-3</v>
      </c>
      <c r="I262" s="822">
        <f ca="1">I263 + (RAND() * 0.006 - 0.003)</f>
        <v>-2.4094418760749275E-3</v>
      </c>
      <c r="J262" s="821">
        <f ca="1">J263 + (RAND() * 0.02 - 0.01)</f>
        <v>6.6282140420952009E-3</v>
      </c>
      <c r="K262" s="821"/>
      <c r="L262" s="822"/>
      <c r="M262" s="821"/>
      <c r="N262" s="823"/>
      <c r="O262" s="823"/>
      <c r="P262" s="823"/>
      <c r="Q262" s="823"/>
      <c r="R262" s="824"/>
      <c r="S262" s="821"/>
      <c r="T262" s="821"/>
      <c r="U262" s="825"/>
      <c r="V262" s="826"/>
      <c r="AE262" t="s">
        <v>767</v>
      </c>
    </row>
    <row r="263" spans="1:32" ht="15" customHeight="1">
      <c r="A263" s="1435"/>
      <c r="B263" s="827">
        <f>B262</f>
        <v>0</v>
      </c>
      <c r="C263" s="828" t="s">
        <v>768</v>
      </c>
      <c r="D263" s="829" t="str">
        <f>IF(AC263=130, "130 × 130", IF(AC263=160, "160 × 160", IF(AC263=110, "110 × 110", "Value not 130, 160, or 110")))</f>
        <v>Value not 130, 160, or 110</v>
      </c>
      <c r="E263" s="830">
        <f>AD263</f>
        <v>0</v>
      </c>
      <c r="F263" s="831">
        <f ca="1">IF(X263 &gt; 0.1, RAND() * (0.1 - 0.06) + 0.06, X263)</f>
        <v>0</v>
      </c>
      <c r="G263" s="831">
        <f ca="1">IF(Y263 &lt; 0.5, 0.5 + RAND() * 0.1, Y263)</f>
        <v>0.59374239760960246</v>
      </c>
      <c r="H263" s="830">
        <f ca="1">IF(AB263&gt;0.04, 0.029 + (0.039-0.029)*RAND(), AB263)</f>
        <v>0</v>
      </c>
      <c r="I263" s="830">
        <f ca="1">IF(AA263&gt;0.04, 0.029 + (0.039-0.029)*RAND(), AA263)</f>
        <v>0</v>
      </c>
      <c r="J263" s="831">
        <f ca="1">IF(Z263&gt;0.15, 0.11 + (0.15-0.11) * RAND(), Z263)</f>
        <v>0</v>
      </c>
      <c r="K263" s="830">
        <f ca="1">0.004 + (RAND() * (0.001 - 0.004))</f>
        <v>1.7316174524528204E-3</v>
      </c>
      <c r="L263" s="830">
        <f ca="1">H263+I263</f>
        <v>0</v>
      </c>
      <c r="M263" s="831">
        <f ca="1">(G263/6)+F263</f>
        <v>9.8957066268267072E-2</v>
      </c>
      <c r="N263" s="831">
        <f ca="1">2 + RAND()</f>
        <v>2.5319803564070451</v>
      </c>
      <c r="O263" s="831">
        <f ca="1">1 + RAND()</f>
        <v>1.8327778098988861</v>
      </c>
      <c r="P263" s="831">
        <f ca="1">2.98 + (RAND() * (3.03 - 2.98))</f>
        <v>3.0267271263295479</v>
      </c>
      <c r="Q263" s="832" t="str">
        <f ca="1">IF(D263="130 × 130", (130 + RANDBETWEEN(-1,1)) &amp; " × " &amp; (130 + RANDBETWEEN(-1,1)),
   IF(D263="160 × 160", (160 + RANDBETWEEN(-1,1)) &amp; " × " &amp; (160 + RANDBETWEEN(-1,1)),
   IF(D263="110 × 110", (110 + RANDBETWEEN(-1,1)) &amp; " × " &amp; (110 + RANDBETWEEN(-1,1)),
   "Value not matched")))</f>
        <v>Value not matched</v>
      </c>
      <c r="R263" s="833" t="s">
        <v>213</v>
      </c>
      <c r="S263" s="834" t="str">
        <f ca="1">IF(G263&lt;0.6, "IS 14650 CPS 10748/GR2", "IS 14650 CPS 10748/GR3")</f>
        <v>IS 14650 CPS 10748/GR2</v>
      </c>
      <c r="T263" s="831" t="s">
        <v>769</v>
      </c>
      <c r="U263" s="825"/>
      <c r="V263" s="835">
        <f>Prod.!A148</f>
        <v>0</v>
      </c>
      <c r="W263" s="206">
        <f>Prod.!B148</f>
        <v>0</v>
      </c>
      <c r="X263" s="469">
        <f>Prod.!C148</f>
        <v>0</v>
      </c>
      <c r="Y263" s="469">
        <f>Prod.!D148</f>
        <v>0</v>
      </c>
      <c r="Z263" s="469">
        <f>Prod.!E148</f>
        <v>0</v>
      </c>
      <c r="AA263" s="282">
        <f>Prod.!F148</f>
        <v>0</v>
      </c>
      <c r="AB263" s="282">
        <f>Prod.!G148</f>
        <v>0</v>
      </c>
      <c r="AC263" s="836">
        <f>Prod.!H148</f>
        <v>0</v>
      </c>
      <c r="AD263" s="282">
        <f>Prod.!AB148</f>
        <v>0</v>
      </c>
      <c r="AE263" s="282">
        <f>AD263-AF263</f>
        <v>0</v>
      </c>
      <c r="AF263" s="282">
        <f>Prod.!AA148</f>
        <v>0</v>
      </c>
    </row>
    <row r="264" spans="1:32" ht="15" customHeight="1">
      <c r="A264" s="1435">
        <v>2</v>
      </c>
      <c r="B264" s="818">
        <f>W265</f>
        <v>0</v>
      </c>
      <c r="C264" s="819" t="s">
        <v>765</v>
      </c>
      <c r="D264" s="822"/>
      <c r="E264" s="822"/>
      <c r="F264" s="821">
        <f ca="1">F265 + (RAND() * 0.02 - 0.01)</f>
        <v>1.0610974027346672E-3</v>
      </c>
      <c r="G264" s="821">
        <f ca="1">G265 + (RAND() * 0.06 - 0.03)</f>
        <v>0.58265754566357741</v>
      </c>
      <c r="H264" s="822">
        <f ca="1">H265 + (RAND() * 0.006 - 0.003)</f>
        <v>-2.7670273302694381E-3</v>
      </c>
      <c r="I264" s="822">
        <f ca="1">I265 + (RAND() * 0.006 - 0.003)</f>
        <v>1.8087930593394946E-3</v>
      </c>
      <c r="J264" s="821">
        <f ca="1">J265 + (RAND() * 0.02 - 0.01)</f>
        <v>-2.9233027321927387E-3</v>
      </c>
      <c r="K264" s="821"/>
      <c r="L264" s="822"/>
      <c r="M264" s="821"/>
      <c r="N264" s="823"/>
      <c r="O264" s="823"/>
      <c r="P264" s="823"/>
      <c r="Q264" s="823"/>
      <c r="R264" s="837"/>
      <c r="S264" s="821"/>
      <c r="T264" s="838"/>
      <c r="U264" s="825"/>
      <c r="V264" s="826"/>
    </row>
    <row r="265" spans="1:32" ht="15" customHeight="1">
      <c r="A265" s="1435"/>
      <c r="B265" s="827">
        <f>B264</f>
        <v>0</v>
      </c>
      <c r="C265" s="828" t="s">
        <v>768</v>
      </c>
      <c r="D265" s="829" t="str">
        <f>IF(AC265=130, "130 × 130", IF(AC265=160, "160 × 160", IF(AC265=110, "110 × 110", "Value not 130, 160, or 110")))</f>
        <v>Value not 130, 160, or 110</v>
      </c>
      <c r="E265" s="830">
        <f>AD265</f>
        <v>0</v>
      </c>
      <c r="F265" s="831">
        <f ca="1">IF(X265 &gt; 0.1, RAND() * (0.1 - 0.06) + 0.06, X265)</f>
        <v>0</v>
      </c>
      <c r="G265" s="831">
        <f ca="1">IF(Y265 &lt; 0.5, 0.5 + RAND() * 0.1, Y265)</f>
        <v>0.59381253665413725</v>
      </c>
      <c r="H265" s="830">
        <f ca="1">IF(AB265&gt;0.04, 0.029 + (0.039-0.029)*RAND(), AB265)</f>
        <v>0</v>
      </c>
      <c r="I265" s="830">
        <f ca="1">IF(AA265&gt;0.04, 0.029 + (0.039-0.029)*RAND(), AA265)</f>
        <v>0</v>
      </c>
      <c r="J265" s="831">
        <f ca="1">IF(Z265&gt;0.15, 0.11 + (0.15-0.11) * RAND(), Z265)</f>
        <v>0</v>
      </c>
      <c r="K265" s="830">
        <f ca="1">0.004 + (RAND() * (0.001 - 0.004))</f>
        <v>2.2200263733486592E-3</v>
      </c>
      <c r="L265" s="830">
        <f ca="1">H265+I265</f>
        <v>0</v>
      </c>
      <c r="M265" s="831">
        <f ca="1">(G265/6)+F265</f>
        <v>9.8968756109022879E-2</v>
      </c>
      <c r="N265" s="831">
        <f ca="1">2 + RAND()</f>
        <v>2.5850355143037054</v>
      </c>
      <c r="O265" s="831">
        <f ca="1">1 + RAND()</f>
        <v>1.3935139017770939</v>
      </c>
      <c r="P265" s="831">
        <f ca="1">2.98 + (RAND() * (3.03 - 2.98))</f>
        <v>2.98955806595588</v>
      </c>
      <c r="Q265" s="832" t="str">
        <f ca="1">IF(D265="130 × 130", (130 + RANDBETWEEN(-1,1)) &amp; " × " &amp; (130 + RANDBETWEEN(-1,1)),
   IF(D265="160 × 160", (160 + RANDBETWEEN(-1,1)) &amp; " × " &amp; (160 + RANDBETWEEN(-1,1)),
   IF(D265="110 × 110", (110 + RANDBETWEEN(-1,1)) &amp; " × " &amp; (110 + RANDBETWEEN(-1,1)),
   "Value not matched")))</f>
        <v>Value not matched</v>
      </c>
      <c r="R265" s="833" t="s">
        <v>213</v>
      </c>
      <c r="S265" s="834" t="str">
        <f ca="1">IF(G265&lt;0.6, "IS 14650 CPS 10748/GR2", "IS 14650 CPS 10748/GR3")</f>
        <v>IS 14650 CPS 10748/GR2</v>
      </c>
      <c r="T265" s="831" t="s">
        <v>769</v>
      </c>
      <c r="U265" s="825"/>
      <c r="V265" s="826"/>
      <c r="W265" s="206">
        <f>Prod.!B149</f>
        <v>0</v>
      </c>
      <c r="X265" s="469">
        <f>Prod.!C149</f>
        <v>0</v>
      </c>
      <c r="Y265" s="469">
        <f>Prod.!D149</f>
        <v>0</v>
      </c>
      <c r="Z265" s="469">
        <f>Prod.!E149</f>
        <v>0</v>
      </c>
      <c r="AA265" s="282">
        <f>Prod.!F149</f>
        <v>0</v>
      </c>
      <c r="AB265" s="282">
        <f>Prod.!G149</f>
        <v>0</v>
      </c>
      <c r="AC265" s="836">
        <f>Prod.!H149</f>
        <v>0</v>
      </c>
      <c r="AD265" s="282">
        <f>Prod.!AB149</f>
        <v>0</v>
      </c>
      <c r="AE265" s="282">
        <f>AD265-AF265</f>
        <v>0</v>
      </c>
      <c r="AF265" s="282">
        <f>Prod.!AA149</f>
        <v>0</v>
      </c>
    </row>
    <row r="266" spans="1:32" ht="15" customHeight="1">
      <c r="A266" s="1435">
        <v>3</v>
      </c>
      <c r="B266" s="818">
        <f>W267</f>
        <v>0</v>
      </c>
      <c r="C266" s="819" t="s">
        <v>765</v>
      </c>
      <c r="D266" s="822"/>
      <c r="E266" s="822"/>
      <c r="F266" s="821">
        <f ca="1">F267 + (RAND() * 0.02 - 0.01)</f>
        <v>-9.6758747444756661E-3</v>
      </c>
      <c r="G266" s="821">
        <f ca="1">G267 + (RAND() * 0.06 - 0.03)</f>
        <v>0.55024496017252611</v>
      </c>
      <c r="H266" s="822">
        <f ca="1">H267 + (RAND() * 0.006 - 0.003)</f>
        <v>1.3547650533195623E-3</v>
      </c>
      <c r="I266" s="822">
        <f ca="1">I267 + (RAND() * 0.006 - 0.003)</f>
        <v>-3.4330315472511997E-4</v>
      </c>
      <c r="J266" s="821">
        <f ca="1">J267 + (RAND() * 0.02 - 0.01)</f>
        <v>-1.1315915327184123E-3</v>
      </c>
      <c r="K266" s="821"/>
      <c r="L266" s="822"/>
      <c r="M266" s="821"/>
      <c r="N266" s="823"/>
      <c r="O266" s="823"/>
      <c r="P266" s="823"/>
      <c r="Q266" s="823"/>
      <c r="R266" s="839"/>
      <c r="S266" s="821"/>
      <c r="T266" s="821"/>
      <c r="U266" s="825"/>
      <c r="V266" s="826"/>
    </row>
    <row r="267" spans="1:32" ht="15" customHeight="1">
      <c r="A267" s="1435"/>
      <c r="B267" s="827">
        <f>B266</f>
        <v>0</v>
      </c>
      <c r="C267" s="828" t="s">
        <v>768</v>
      </c>
      <c r="D267" s="829" t="str">
        <f>IF(AC267=130, "130 × 130", IF(AC267=160, "160 × 160", IF(AC267=110, "110 × 110", "Value not 130, 160, or 110")))</f>
        <v>Value not 130, 160, or 110</v>
      </c>
      <c r="E267" s="830">
        <f>AD267</f>
        <v>0</v>
      </c>
      <c r="F267" s="831">
        <f ca="1">IF(X267 &gt; 0.1, RAND() * (0.1 - 0.06) + 0.06, X267)</f>
        <v>0</v>
      </c>
      <c r="G267" s="831">
        <f ca="1">IF(Y267 &lt; 0.5, 0.5 + RAND() * 0.1, Y267)</f>
        <v>0.52403912952313914</v>
      </c>
      <c r="H267" s="830">
        <f ca="1">IF(AB267&gt;0.04, 0.029 + (0.039-0.029)*RAND(), AB267)</f>
        <v>0</v>
      </c>
      <c r="I267" s="830">
        <f ca="1">IF(AA267&gt;0.04, 0.029 + (0.039-0.029)*RAND(), AA267)</f>
        <v>0</v>
      </c>
      <c r="J267" s="831">
        <f ca="1">IF(Z267&gt;0.15, 0.11 + (0.15-0.11) * RAND(), Z267)</f>
        <v>0</v>
      </c>
      <c r="K267" s="830">
        <f ca="1">0.004 + (RAND() * (0.001 - 0.004))</f>
        <v>1.831831773828342E-3</v>
      </c>
      <c r="L267" s="830">
        <f ca="1">H267+I267</f>
        <v>0</v>
      </c>
      <c r="M267" s="831">
        <f ca="1">(G267/6)+F267</f>
        <v>8.7339854920523194E-2</v>
      </c>
      <c r="N267" s="831">
        <f ca="1">2 + RAND()</f>
        <v>2.8770090086123554</v>
      </c>
      <c r="O267" s="831">
        <f ca="1">1 + RAND()</f>
        <v>1.8750518094351172</v>
      </c>
      <c r="P267" s="831">
        <f ca="1">2.98 + (RAND() * (3.03 - 2.98))</f>
        <v>3.0100870260394359</v>
      </c>
      <c r="Q267" s="832" t="str">
        <f ca="1">IF(D267="130 × 130", (130 + RANDBETWEEN(-1,1)) &amp; " × " &amp; (130 + RANDBETWEEN(-1,1)),
   IF(D267="160 × 160", (160 + RANDBETWEEN(-1,1)) &amp; " × " &amp; (160 + RANDBETWEEN(-1,1)),
   IF(D267="110 × 110", (110 + RANDBETWEEN(-1,1)) &amp; " × " &amp; (110 + RANDBETWEEN(-1,1)),
   "Value not matched")))</f>
        <v>Value not matched</v>
      </c>
      <c r="R267" s="833" t="s">
        <v>213</v>
      </c>
      <c r="S267" s="834" t="str">
        <f ca="1">IF(G267&lt;0.6, "IS 14650 CPS 10748/GR2", "IS 14650 CPS 10748/GR3")</f>
        <v>IS 14650 CPS 10748/GR2</v>
      </c>
      <c r="T267" s="831" t="s">
        <v>769</v>
      </c>
      <c r="U267" s="825"/>
      <c r="V267" s="826"/>
      <c r="W267" s="206">
        <f>Prod.!B150</f>
        <v>0</v>
      </c>
      <c r="X267" s="469">
        <f>Prod.!C150</f>
        <v>0</v>
      </c>
      <c r="Y267" s="469">
        <f>Prod.!D150</f>
        <v>0</v>
      </c>
      <c r="Z267" s="469">
        <f>Prod.!E150</f>
        <v>0</v>
      </c>
      <c r="AA267" s="282">
        <f>Prod.!F150</f>
        <v>0</v>
      </c>
      <c r="AB267" s="282">
        <f>Prod.!G150</f>
        <v>0</v>
      </c>
      <c r="AC267" s="836">
        <f>Prod.!H150</f>
        <v>0</v>
      </c>
      <c r="AD267" s="282">
        <f>Prod.!AB150</f>
        <v>0</v>
      </c>
      <c r="AE267" s="282">
        <f>AD267-AF267</f>
        <v>0</v>
      </c>
      <c r="AF267" s="282">
        <f>Prod.!AA150</f>
        <v>0</v>
      </c>
    </row>
    <row r="268" spans="1:32" ht="15" customHeight="1">
      <c r="A268" s="1435">
        <v>4</v>
      </c>
      <c r="B268" s="818">
        <f>W269</f>
        <v>0</v>
      </c>
      <c r="C268" s="819" t="s">
        <v>765</v>
      </c>
      <c r="D268" s="822"/>
      <c r="E268" s="822"/>
      <c r="F268" s="821">
        <f ca="1">F269 + (RAND() * 0.02 - 0.01)</f>
        <v>-9.6680680509328275E-3</v>
      </c>
      <c r="G268" s="821">
        <f ca="1">G269 + (RAND() * 0.06 - 0.03)</f>
        <v>0.5369101555536403</v>
      </c>
      <c r="H268" s="822">
        <f ca="1">H269 + (RAND() * 0.006 - 0.003)</f>
        <v>2.8223320258756717E-3</v>
      </c>
      <c r="I268" s="822">
        <f ca="1">I269 + (RAND() * 0.006 - 0.003)</f>
        <v>1.9579292473806322E-3</v>
      </c>
      <c r="J268" s="821">
        <f ca="1">J269 + (RAND() * 0.02 - 0.01)</f>
        <v>4.4006821565738541E-3</v>
      </c>
      <c r="K268" s="821"/>
      <c r="L268" s="822"/>
      <c r="M268" s="821"/>
      <c r="N268" s="823"/>
      <c r="O268" s="823"/>
      <c r="P268" s="823"/>
      <c r="Q268" s="823"/>
      <c r="R268" s="839"/>
      <c r="S268" s="821"/>
      <c r="T268" s="821"/>
      <c r="U268" s="825"/>
      <c r="V268" s="826"/>
    </row>
    <row r="269" spans="1:32" ht="15" customHeight="1">
      <c r="A269" s="1435"/>
      <c r="B269" s="827">
        <f>B268</f>
        <v>0</v>
      </c>
      <c r="C269" s="828" t="s">
        <v>768</v>
      </c>
      <c r="D269" s="829" t="str">
        <f>IF(AC269=130, "130 × 130", IF(AC269=160, "160 × 160", IF(AC269=110, "110 × 110", "Value not 130, 160, or 110")))</f>
        <v>Value not 130, 160, or 110</v>
      </c>
      <c r="E269" s="830">
        <f>AD269</f>
        <v>0</v>
      </c>
      <c r="F269" s="831">
        <f ca="1">IF(X269 &gt; 0.1, RAND() * (0.1 - 0.06) + 0.06, X269)</f>
        <v>0</v>
      </c>
      <c r="G269" s="831">
        <f ca="1">IF(Y269 &lt; 0.5, 0.5 + RAND() * 0.1, Y269)</f>
        <v>0.56355098282903848</v>
      </c>
      <c r="H269" s="830">
        <f ca="1">IF(AB269&gt;0.04, 0.029 + (0.039-0.029)*RAND(), AB269)</f>
        <v>0</v>
      </c>
      <c r="I269" s="830">
        <f ca="1">IF(AA269&gt;0.04, 0.029 + (0.039-0.029)*RAND(), AA269)</f>
        <v>0</v>
      </c>
      <c r="J269" s="831">
        <f ca="1">IF(Z269&gt;0.15, 0.11 + (0.15-0.11) * RAND(), Z269)</f>
        <v>0</v>
      </c>
      <c r="K269" s="830">
        <f ca="1">0.004 + (RAND() * (0.001 - 0.004))</f>
        <v>2.126597351806073E-3</v>
      </c>
      <c r="L269" s="830">
        <f ca="1">H269+I269</f>
        <v>0</v>
      </c>
      <c r="M269" s="831">
        <f ca="1">(G269/6)+F269</f>
        <v>9.3925163804839742E-2</v>
      </c>
      <c r="N269" s="831">
        <f ca="1">2 + RAND()</f>
        <v>2.9951934486487541</v>
      </c>
      <c r="O269" s="831">
        <f ca="1">1 + RAND()</f>
        <v>1.1207115036231952</v>
      </c>
      <c r="P269" s="831">
        <f ca="1">2.98 + (RAND() * (3.03 - 2.98))</f>
        <v>2.995423542167694</v>
      </c>
      <c r="Q269" s="832" t="str">
        <f ca="1">IF(D269="130 × 130", (130 + RANDBETWEEN(-1,1)) &amp; " × " &amp; (130 + RANDBETWEEN(-1,1)),
   IF(D269="160 × 160", (160 + RANDBETWEEN(-1,1)) &amp; " × " &amp; (160 + RANDBETWEEN(-1,1)),
   IF(D269="110 × 110", (110 + RANDBETWEEN(-1,1)) &amp; " × " &amp; (110 + RANDBETWEEN(-1,1)),
   "Value not matched")))</f>
        <v>Value not matched</v>
      </c>
      <c r="R269" s="833" t="s">
        <v>213</v>
      </c>
      <c r="S269" s="834" t="str">
        <f ca="1">IF(G269&lt;0.6, "IS 14650 CPS 10748/GR2", "IS 14650 CPS 10748/GR3")</f>
        <v>IS 14650 CPS 10748/GR2</v>
      </c>
      <c r="T269" s="831" t="s">
        <v>769</v>
      </c>
      <c r="U269" s="825"/>
      <c r="V269" s="826"/>
      <c r="W269" s="206">
        <f>Prod.!B151</f>
        <v>0</v>
      </c>
      <c r="X269" s="469">
        <f>Prod.!C151</f>
        <v>0</v>
      </c>
      <c r="Y269" s="469">
        <f>Prod.!D151</f>
        <v>0</v>
      </c>
      <c r="Z269" s="469">
        <f>Prod.!E151</f>
        <v>0</v>
      </c>
      <c r="AA269" s="282">
        <f>Prod.!F151</f>
        <v>0</v>
      </c>
      <c r="AB269" s="282">
        <f>Prod.!G151</f>
        <v>0</v>
      </c>
      <c r="AC269" s="836">
        <f>Prod.!H151</f>
        <v>0</v>
      </c>
      <c r="AD269" s="282">
        <f>Prod.!AB151</f>
        <v>0</v>
      </c>
      <c r="AE269" s="282">
        <f>AD269-AF269</f>
        <v>0</v>
      </c>
      <c r="AF269" s="282">
        <f>Prod.!AA151</f>
        <v>0</v>
      </c>
    </row>
    <row r="270" spans="1:32" ht="15" customHeight="1">
      <c r="A270" s="1435">
        <v>5</v>
      </c>
      <c r="B270" s="818">
        <f>W271</f>
        <v>0</v>
      </c>
      <c r="C270" s="819" t="s">
        <v>765</v>
      </c>
      <c r="D270" s="822"/>
      <c r="E270" s="822"/>
      <c r="F270" s="821">
        <f ca="1">F271 + (RAND() * 0.02 - 0.01)</f>
        <v>-5.4495749785889863E-4</v>
      </c>
      <c r="G270" s="821">
        <f ca="1">G271 + (RAND() * 0.06 - 0.03)</f>
        <v>0.6193395302677096</v>
      </c>
      <c r="H270" s="822">
        <f ca="1">H271 + (RAND() * 0.006 - 0.003)</f>
        <v>1.5245506422199538E-3</v>
      </c>
      <c r="I270" s="822">
        <f ca="1">I271 + (RAND() * 0.006 - 0.003)</f>
        <v>2.343947393576724E-3</v>
      </c>
      <c r="J270" s="821">
        <f ca="1">J271 + (RAND() * 0.02 - 0.01)</f>
        <v>9.5329963621579479E-4</v>
      </c>
      <c r="K270" s="821"/>
      <c r="L270" s="822"/>
      <c r="M270" s="821"/>
      <c r="N270" s="823"/>
      <c r="O270" s="823"/>
      <c r="P270" s="823"/>
      <c r="Q270" s="823"/>
      <c r="R270" s="839"/>
      <c r="S270" s="821"/>
      <c r="T270" s="821"/>
      <c r="U270" s="825"/>
      <c r="V270" s="826"/>
    </row>
    <row r="271" spans="1:32" ht="15" customHeight="1">
      <c r="A271" s="1435"/>
      <c r="B271" s="827">
        <f>B270</f>
        <v>0</v>
      </c>
      <c r="C271" s="828" t="s">
        <v>768</v>
      </c>
      <c r="D271" s="829" t="str">
        <f>IF(AC271=130, "130 × 130", IF(AC271=160, "160 × 160", IF(AC271=110, "110 × 110", "Value not 130, 160, or 110")))</f>
        <v>Value not 130, 160, or 110</v>
      </c>
      <c r="E271" s="830">
        <f>AD271</f>
        <v>0</v>
      </c>
      <c r="F271" s="831">
        <f ca="1">IF(X271 &gt; 0.1, RAND() * (0.1 - 0.06) + 0.06, X271)</f>
        <v>0</v>
      </c>
      <c r="G271" s="831">
        <f ca="1">IF(Y271 &lt; 0.5, 0.5 + RAND() * 0.1, Y271)</f>
        <v>0.59093632751869896</v>
      </c>
      <c r="H271" s="830">
        <f ca="1">IF(AB271&gt;0.04, 0.029 + (0.039-0.029)*RAND(), AB271)</f>
        <v>0</v>
      </c>
      <c r="I271" s="830">
        <f ca="1">IF(AA271&gt;0.04, 0.029 + (0.039-0.029)*RAND(), AA271)</f>
        <v>0</v>
      </c>
      <c r="J271" s="831">
        <f ca="1">IF(Z271&gt;0.15, 0.11 + (0.15-0.11) * RAND(), Z271)</f>
        <v>0</v>
      </c>
      <c r="K271" s="830">
        <f ca="1">0.004 + (RAND() * (0.001 - 0.004))</f>
        <v>1.5407421398738307E-3</v>
      </c>
      <c r="L271" s="830">
        <f ca="1">H271+I271</f>
        <v>0</v>
      </c>
      <c r="M271" s="831">
        <f ca="1">(G271/6)+F271</f>
        <v>9.8489387919783164E-2</v>
      </c>
      <c r="N271" s="831">
        <f ca="1">2 + RAND()</f>
        <v>2.9031244603042961</v>
      </c>
      <c r="O271" s="831">
        <f ca="1">1 + RAND()</f>
        <v>1.4115827158010299</v>
      </c>
      <c r="P271" s="831">
        <f ca="1">2.98 + (RAND() * (3.03 - 2.98))</f>
        <v>2.997893065986851</v>
      </c>
      <c r="Q271" s="832" t="str">
        <f ca="1">IF(D271="130 × 130", (130 + RANDBETWEEN(-1,1)) &amp; " × " &amp; (130 + RANDBETWEEN(-1,1)),
   IF(D271="160 × 160", (160 + RANDBETWEEN(-1,1)) &amp; " × " &amp; (160 + RANDBETWEEN(-1,1)),
   IF(D271="110 × 110", (110 + RANDBETWEEN(-1,1)) &amp; " × " &amp; (110 + RANDBETWEEN(-1,1)),
   "Value not matched")))</f>
        <v>Value not matched</v>
      </c>
      <c r="R271" s="833" t="s">
        <v>213</v>
      </c>
      <c r="S271" s="834" t="str">
        <f ca="1">IF(G271&lt;0.6, "IS 14650 CPS 10748/GR2", "IS 14650 CPS 10748/GR3")</f>
        <v>IS 14650 CPS 10748/GR2</v>
      </c>
      <c r="T271" s="831" t="s">
        <v>769</v>
      </c>
      <c r="U271" s="825"/>
      <c r="V271" s="826"/>
      <c r="W271" s="206">
        <f>Prod.!B152</f>
        <v>0</v>
      </c>
      <c r="X271" s="469">
        <f>Prod.!C152</f>
        <v>0</v>
      </c>
      <c r="Y271" s="469">
        <f>Prod.!D152</f>
        <v>0</v>
      </c>
      <c r="Z271" s="469">
        <f>Prod.!E152</f>
        <v>0</v>
      </c>
      <c r="AA271" s="282">
        <f>Prod.!F152</f>
        <v>0</v>
      </c>
      <c r="AB271" s="282">
        <f>Prod.!G152</f>
        <v>0</v>
      </c>
      <c r="AC271" s="836">
        <f>Prod.!H152</f>
        <v>0</v>
      </c>
      <c r="AD271" s="282">
        <f>Prod.!AB152</f>
        <v>0</v>
      </c>
      <c r="AE271" s="282">
        <f>AD271-AF271</f>
        <v>0</v>
      </c>
      <c r="AF271" s="282">
        <f>Prod.!AA152</f>
        <v>0</v>
      </c>
    </row>
    <row r="272" spans="1:32" ht="15" customHeight="1">
      <c r="A272" s="1435">
        <v>6</v>
      </c>
      <c r="B272" s="818">
        <f>W273</f>
        <v>0</v>
      </c>
      <c r="C272" s="819" t="s">
        <v>765</v>
      </c>
      <c r="D272" s="822"/>
      <c r="E272" s="822"/>
      <c r="F272" s="821">
        <f ca="1">F273 + (RAND() * 0.02 - 0.01)</f>
        <v>-8.5350014054460972E-3</v>
      </c>
      <c r="G272" s="821">
        <f ca="1">G273 + (RAND() * 0.06 - 0.03)</f>
        <v>0.53253517140652895</v>
      </c>
      <c r="H272" s="822">
        <f ca="1">H273 + (RAND() * 0.006 - 0.003)</f>
        <v>7.1933672384863999E-4</v>
      </c>
      <c r="I272" s="822">
        <f ca="1">I273 + (RAND() * 0.006 - 0.003)</f>
        <v>-2.6188088378484285E-3</v>
      </c>
      <c r="J272" s="821">
        <f ca="1">J273 + (RAND() * 0.02 - 0.01)</f>
        <v>9.6959706830549944E-3</v>
      </c>
      <c r="K272" s="821"/>
      <c r="L272" s="822"/>
      <c r="M272" s="821"/>
      <c r="N272" s="823"/>
      <c r="O272" s="823"/>
      <c r="P272" s="823"/>
      <c r="Q272" s="823"/>
      <c r="R272" s="839"/>
      <c r="S272" s="821"/>
      <c r="T272" s="821"/>
      <c r="U272" s="825"/>
      <c r="V272" s="826"/>
    </row>
    <row r="273" spans="1:32" ht="15" customHeight="1">
      <c r="A273" s="1435"/>
      <c r="B273" s="827">
        <f>B272</f>
        <v>0</v>
      </c>
      <c r="C273" s="828" t="s">
        <v>768</v>
      </c>
      <c r="D273" s="829" t="str">
        <f>IF(AC273=130, "130 × 130", IF(AC273=160, "160 × 160", IF(AC273=110, "110 × 110", "Value not 130, 160, or 110")))</f>
        <v>Value not 130, 160, or 110</v>
      </c>
      <c r="E273" s="830">
        <f>AD273</f>
        <v>0</v>
      </c>
      <c r="F273" s="831">
        <f ca="1">IF(X273 &gt; 0.1, RAND() * (0.1 - 0.06) + 0.06, X273)</f>
        <v>0</v>
      </c>
      <c r="G273" s="831">
        <f ca="1">IF(Y273 &lt; 0.5, 0.5 + RAND() * 0.1, Y273)</f>
        <v>0.55359425921607308</v>
      </c>
      <c r="H273" s="830">
        <f ca="1">IF(AB273&gt;0.04, 0.029 + (0.039-0.029)*RAND(), AB273)</f>
        <v>0</v>
      </c>
      <c r="I273" s="830">
        <f ca="1">IF(AA273&gt;0.04, 0.029 + (0.039-0.029)*RAND(), AA273)</f>
        <v>0</v>
      </c>
      <c r="J273" s="831">
        <f ca="1">IF(Z273&gt;0.15, 0.11 + (0.15-0.11) * RAND(), Z273)</f>
        <v>0</v>
      </c>
      <c r="K273" s="830">
        <f ca="1">0.004 + (RAND() * (0.001 - 0.004))</f>
        <v>1.4421027684132833E-3</v>
      </c>
      <c r="L273" s="830">
        <f ca="1">H273+I273</f>
        <v>0</v>
      </c>
      <c r="M273" s="831">
        <f ca="1">(G273/6)+F273</f>
        <v>9.2265709869345514E-2</v>
      </c>
      <c r="N273" s="831">
        <f ca="1">2 + RAND()</f>
        <v>2.434317723736422</v>
      </c>
      <c r="O273" s="831">
        <f ca="1">1 + RAND()</f>
        <v>1.5869475793191818</v>
      </c>
      <c r="P273" s="831">
        <f ca="1">2.98 + (RAND() * (3.03 - 2.98))</f>
        <v>3.0000129136804232</v>
      </c>
      <c r="Q273" s="832" t="str">
        <f ca="1">IF(D273="130 × 130", (130 + RANDBETWEEN(-1,1)) &amp; " × " &amp; (130 + RANDBETWEEN(-1,1)),
   IF(D273="160 × 160", (160 + RANDBETWEEN(-1,1)) &amp; " × " &amp; (160 + RANDBETWEEN(-1,1)),
   IF(D273="110 × 110", (110 + RANDBETWEEN(-1,1)) &amp; " × " &amp; (110 + RANDBETWEEN(-1,1)),
   "Value not matched")))</f>
        <v>Value not matched</v>
      </c>
      <c r="R273" s="833" t="s">
        <v>213</v>
      </c>
      <c r="S273" s="834" t="str">
        <f ca="1">IF(G273&lt;0.6, "IS 14650 CPS 10748/GR2", "IS 14650 CPS 10748/GR3")</f>
        <v>IS 14650 CPS 10748/GR2</v>
      </c>
      <c r="T273" s="831" t="s">
        <v>769</v>
      </c>
      <c r="U273" s="825"/>
      <c r="V273" s="826"/>
      <c r="W273" s="206">
        <f>Prod.!B153</f>
        <v>0</v>
      </c>
      <c r="X273" s="469">
        <f>Prod.!C153</f>
        <v>0</v>
      </c>
      <c r="Y273" s="469">
        <f>Prod.!D153</f>
        <v>0</v>
      </c>
      <c r="Z273" s="469">
        <f>Prod.!E153</f>
        <v>0</v>
      </c>
      <c r="AA273" s="282">
        <f>Prod.!F153</f>
        <v>0</v>
      </c>
      <c r="AB273" s="282">
        <f>Prod.!G153</f>
        <v>0</v>
      </c>
      <c r="AC273" s="836">
        <f>Prod.!H153</f>
        <v>0</v>
      </c>
      <c r="AD273" s="282">
        <f>Prod.!AB153</f>
        <v>0</v>
      </c>
      <c r="AE273" s="282">
        <f>AD273-AF273</f>
        <v>0</v>
      </c>
      <c r="AF273" s="282">
        <f>Prod.!AA153</f>
        <v>0</v>
      </c>
    </row>
    <row r="274" spans="1:32" ht="15" customHeight="1">
      <c r="A274" s="1435">
        <v>7</v>
      </c>
      <c r="B274" s="818">
        <f>W275</f>
        <v>0</v>
      </c>
      <c r="C274" s="819" t="s">
        <v>765</v>
      </c>
      <c r="D274" s="822"/>
      <c r="E274" s="822"/>
      <c r="F274" s="821">
        <f ca="1">F275 + (RAND() * 0.02 - 0.01)</f>
        <v>4.285587340704217E-3</v>
      </c>
      <c r="G274" s="821">
        <f ca="1">G275 + (RAND() * 0.06 - 0.03)</f>
        <v>0.55720079580527337</v>
      </c>
      <c r="H274" s="822">
        <f ca="1">H275 + (RAND() * 0.006 - 0.003)</f>
        <v>1.4058133631859333E-3</v>
      </c>
      <c r="I274" s="822">
        <f ca="1">I275 + (RAND() * 0.006 - 0.003)</f>
        <v>2.2034181588621833E-3</v>
      </c>
      <c r="J274" s="821">
        <f ca="1">J275 + (RAND() * 0.02 - 0.01)</f>
        <v>-9.7696073379131936E-3</v>
      </c>
      <c r="K274" s="821"/>
      <c r="L274" s="822"/>
      <c r="M274" s="821"/>
      <c r="N274" s="823"/>
      <c r="O274" s="823"/>
      <c r="P274" s="823"/>
      <c r="Q274" s="823"/>
      <c r="R274" s="839"/>
      <c r="S274" s="821"/>
      <c r="T274" s="821"/>
      <c r="U274" s="825"/>
      <c r="V274" s="826"/>
    </row>
    <row r="275" spans="1:32" ht="15" customHeight="1">
      <c r="A275" s="1435"/>
      <c r="B275" s="827">
        <f>B274</f>
        <v>0</v>
      </c>
      <c r="C275" s="828" t="s">
        <v>768</v>
      </c>
      <c r="D275" s="829" t="str">
        <f>IF(AC275=130, "130 × 130", IF(AC275=160, "160 × 160", IF(AC275=110, "110 × 110", "Value not 130, 160, or 110")))</f>
        <v>Value not 130, 160, or 110</v>
      </c>
      <c r="E275" s="830">
        <f>AD275</f>
        <v>0</v>
      </c>
      <c r="F275" s="831">
        <f ca="1">IF(X275 &gt; 0.1, RAND() * (0.1 - 0.06) + 0.06, X275)</f>
        <v>0</v>
      </c>
      <c r="G275" s="831">
        <f ca="1">IF(Y275 &lt; 0.5, 0.5 + RAND() * 0.1, Y275)</f>
        <v>0.53579307096776552</v>
      </c>
      <c r="H275" s="830">
        <f ca="1">IF(AB275&gt;0.04, 0.029 + (0.039-0.029)*RAND(), AB275)</f>
        <v>0</v>
      </c>
      <c r="I275" s="830">
        <f ca="1">IF(AA275&gt;0.04, 0.029 + (0.039-0.029)*RAND(), AA275)</f>
        <v>0</v>
      </c>
      <c r="J275" s="831">
        <f ca="1">IF(Z275&gt;0.15, 0.11 + (0.15-0.11) * RAND(), Z275)</f>
        <v>0</v>
      </c>
      <c r="K275" s="830">
        <f ca="1">0.004 + (RAND() * (0.001 - 0.004))</f>
        <v>3.7645263750475627E-3</v>
      </c>
      <c r="L275" s="830">
        <f ca="1">H275+I275</f>
        <v>0</v>
      </c>
      <c r="M275" s="831">
        <f ca="1">(G275/6)+F275</f>
        <v>8.9298845161294257E-2</v>
      </c>
      <c r="N275" s="831">
        <f ca="1">2 + RAND()</f>
        <v>2.5352217474138419</v>
      </c>
      <c r="O275" s="831">
        <f ca="1">1 + RAND()</f>
        <v>1.7151433595599153</v>
      </c>
      <c r="P275" s="831">
        <f ca="1">2.98 + (RAND() * (3.03 - 2.98))</f>
        <v>3.0247053412159488</v>
      </c>
      <c r="Q275" s="832" t="str">
        <f ca="1">IF(D275="130 × 130", (130 + RANDBETWEEN(-1,1)) &amp; " × " &amp; (130 + RANDBETWEEN(-1,1)),
   IF(D275="160 × 160", (160 + RANDBETWEEN(-1,1)) &amp; " × " &amp; (160 + RANDBETWEEN(-1,1)),
   IF(D275="110 × 110", (110 + RANDBETWEEN(-1,1)) &amp; " × " &amp; (110 + RANDBETWEEN(-1,1)),
   "Value not matched")))</f>
        <v>Value not matched</v>
      </c>
      <c r="R275" s="833" t="s">
        <v>213</v>
      </c>
      <c r="S275" s="834" t="str">
        <f ca="1">IF(G275&lt;0.6, "IS 14650 CPS 10748/GR2", "IS 14650 CPS 10748/GR3")</f>
        <v>IS 14650 CPS 10748/GR2</v>
      </c>
      <c r="T275" s="831" t="s">
        <v>769</v>
      </c>
      <c r="U275" s="825"/>
      <c r="V275" s="826"/>
      <c r="W275" s="206">
        <f>Prod.!B154</f>
        <v>0</v>
      </c>
      <c r="X275" s="469">
        <f>Prod.!C154</f>
        <v>0</v>
      </c>
      <c r="Y275" s="469">
        <f>Prod.!D154</f>
        <v>0</v>
      </c>
      <c r="Z275" s="469">
        <f>Prod.!E154</f>
        <v>0</v>
      </c>
      <c r="AA275" s="282">
        <f>Prod.!F154</f>
        <v>0</v>
      </c>
      <c r="AB275" s="282">
        <f>Prod.!G154</f>
        <v>0</v>
      </c>
      <c r="AC275" s="836">
        <f>Prod.!H154</f>
        <v>0</v>
      </c>
      <c r="AD275" s="282">
        <f>Prod.!AB154</f>
        <v>0</v>
      </c>
      <c r="AE275" s="282">
        <f>AD275-AF275</f>
        <v>0</v>
      </c>
      <c r="AF275" s="282">
        <f>Prod.!AA154</f>
        <v>0</v>
      </c>
    </row>
    <row r="276" spans="1:32" ht="15" customHeight="1">
      <c r="A276" s="1435">
        <v>8</v>
      </c>
      <c r="B276" s="818">
        <f>W277</f>
        <v>0</v>
      </c>
      <c r="C276" s="819" t="s">
        <v>765</v>
      </c>
      <c r="D276" s="822"/>
      <c r="E276" s="822"/>
      <c r="F276" s="821">
        <f ca="1">F277 + (RAND() * 0.02 - 0.01)</f>
        <v>-9.3751344510316012E-4</v>
      </c>
      <c r="G276" s="821">
        <f ca="1">G277 + (RAND() * 0.06 - 0.03)</f>
        <v>0.55851161074552225</v>
      </c>
      <c r="H276" s="822">
        <f ca="1">H277 + (RAND() * 0.006 - 0.003)</f>
        <v>-2.1275129369911737E-3</v>
      </c>
      <c r="I276" s="822">
        <f ca="1">I277 + (RAND() * 0.006 - 0.003)</f>
        <v>1.0522833132296369E-3</v>
      </c>
      <c r="J276" s="821">
        <f ca="1">J277 + (RAND() * 0.02 - 0.01)</f>
        <v>1.5768230617432509E-3</v>
      </c>
      <c r="K276" s="821"/>
      <c r="L276" s="822"/>
      <c r="M276" s="821"/>
      <c r="N276" s="823"/>
      <c r="O276" s="823"/>
      <c r="P276" s="823"/>
      <c r="Q276" s="823"/>
      <c r="R276" s="839"/>
      <c r="S276" s="821"/>
      <c r="T276" s="821"/>
      <c r="U276" s="825"/>
      <c r="V276" s="826"/>
    </row>
    <row r="277" spans="1:32" ht="15" customHeight="1">
      <c r="A277" s="1435"/>
      <c r="B277" s="827">
        <f>B276</f>
        <v>0</v>
      </c>
      <c r="C277" s="828" t="s">
        <v>768</v>
      </c>
      <c r="D277" s="829" t="str">
        <f>IF(AC277=130, "130 × 130", IF(AC277=160, "160 × 160", IF(AC277=110, "110 × 110", "Value not 130, 160, or 110")))</f>
        <v>Value not 130, 160, or 110</v>
      </c>
      <c r="E277" s="830">
        <f>AD277</f>
        <v>0</v>
      </c>
      <c r="F277" s="831">
        <f ca="1">IF(X277 &gt; 0.1, RAND() * (0.1 - 0.06) + 0.06, X277)</f>
        <v>0</v>
      </c>
      <c r="G277" s="831">
        <f ca="1">IF(Y277 &lt; 0.5, 0.5 + RAND() * 0.1, Y277)</f>
        <v>0.57266000372185188</v>
      </c>
      <c r="H277" s="830">
        <f ca="1">IF(AB277&gt;0.04, 0.029 + (0.039-0.029)*RAND(), AB277)</f>
        <v>0</v>
      </c>
      <c r="I277" s="830">
        <f ca="1">IF(AA277&gt;0.04, 0.029 + (0.039-0.029)*RAND(), AA277)</f>
        <v>0</v>
      </c>
      <c r="J277" s="831">
        <f ca="1">IF(Z277&gt;0.15, 0.11 + (0.15-0.11) * RAND(), Z277)</f>
        <v>0</v>
      </c>
      <c r="K277" s="830">
        <f ca="1">0.004 + (RAND() * (0.001 - 0.004))</f>
        <v>2.2440648266515359E-3</v>
      </c>
      <c r="L277" s="830">
        <f ca="1">H277+I277</f>
        <v>0</v>
      </c>
      <c r="M277" s="831">
        <f ca="1">(G277/6)+F277</f>
        <v>9.5443333953641976E-2</v>
      </c>
      <c r="N277" s="831">
        <f ca="1">2 + RAND()</f>
        <v>2.4698719472278832</v>
      </c>
      <c r="O277" s="831">
        <f ca="1">1 + RAND()</f>
        <v>1.6969937307688794</v>
      </c>
      <c r="P277" s="831">
        <f ca="1">2.98 + (RAND() * (3.03 - 2.98))</f>
        <v>2.9910580044984112</v>
      </c>
      <c r="Q277" s="832" t="str">
        <f ca="1">IF(D277="130 × 130", (130 + RANDBETWEEN(-1,1)) &amp; " × " &amp; (130 + RANDBETWEEN(-1,1)),
   IF(D277="160 × 160", (160 + RANDBETWEEN(-1,1)) &amp; " × " &amp; (160 + RANDBETWEEN(-1,1)),
   IF(D277="110 × 110", (110 + RANDBETWEEN(-1,1)) &amp; " × " &amp; (110 + RANDBETWEEN(-1,1)),
   "Value not matched")))</f>
        <v>Value not matched</v>
      </c>
      <c r="R277" s="833" t="s">
        <v>213</v>
      </c>
      <c r="S277" s="834" t="str">
        <f ca="1">IF(G277&lt;0.6, "IS 14650 CPS 10748/GR2", "IS 14650 CPS 10748/GR3")</f>
        <v>IS 14650 CPS 10748/GR2</v>
      </c>
      <c r="T277" s="831" t="s">
        <v>769</v>
      </c>
      <c r="U277" s="825"/>
      <c r="V277" s="826"/>
      <c r="W277" s="206">
        <f>Prod.!B155</f>
        <v>0</v>
      </c>
      <c r="X277" s="469">
        <f>Prod.!C155</f>
        <v>0</v>
      </c>
      <c r="Y277" s="469">
        <f>Prod.!D155</f>
        <v>0</v>
      </c>
      <c r="Z277" s="469">
        <f>Prod.!E155</f>
        <v>0</v>
      </c>
      <c r="AA277" s="282">
        <f>Prod.!F155</f>
        <v>0</v>
      </c>
      <c r="AB277" s="282">
        <f>Prod.!G155</f>
        <v>0</v>
      </c>
      <c r="AC277" s="836">
        <f>Prod.!H155</f>
        <v>0</v>
      </c>
      <c r="AD277" s="282">
        <f>Prod.!AB155</f>
        <v>0</v>
      </c>
      <c r="AE277" s="282">
        <f>AD277-AF277</f>
        <v>0</v>
      </c>
      <c r="AF277" s="282">
        <f>Prod.!AA155</f>
        <v>0</v>
      </c>
    </row>
    <row r="278" spans="1:32" ht="15" customHeight="1">
      <c r="A278" s="1435">
        <v>9</v>
      </c>
      <c r="B278" s="818">
        <f>W279</f>
        <v>0</v>
      </c>
      <c r="C278" s="819" t="s">
        <v>765</v>
      </c>
      <c r="D278" s="822"/>
      <c r="E278" s="822"/>
      <c r="F278" s="821">
        <f ca="1">F279 + (RAND() * 0.02 - 0.01)</f>
        <v>-8.5219338807891662E-3</v>
      </c>
      <c r="G278" s="821">
        <f ca="1">G279 + (RAND() * 0.06 - 0.03)</f>
        <v>0.57519610876294947</v>
      </c>
      <c r="H278" s="822">
        <f ca="1">H279 + (RAND() * 0.006 - 0.003)</f>
        <v>-1.7436225289267707E-3</v>
      </c>
      <c r="I278" s="822">
        <f ca="1">I279 + (RAND() * 0.006 - 0.003)</f>
        <v>-1.6574033758459759E-4</v>
      </c>
      <c r="J278" s="821">
        <f ca="1">J279 + (RAND() * 0.02 - 0.01)</f>
        <v>3.7400540900506575E-3</v>
      </c>
      <c r="K278" s="821"/>
      <c r="L278" s="822"/>
      <c r="M278" s="821"/>
      <c r="N278" s="823"/>
      <c r="O278" s="823"/>
      <c r="P278" s="823"/>
      <c r="Q278" s="823"/>
      <c r="R278" s="839"/>
      <c r="S278" s="821"/>
      <c r="T278" s="821"/>
      <c r="U278" s="825"/>
      <c r="V278" s="826"/>
    </row>
    <row r="279" spans="1:32" ht="15" customHeight="1">
      <c r="A279" s="1435"/>
      <c r="B279" s="827">
        <f>B278</f>
        <v>0</v>
      </c>
      <c r="C279" s="828" t="s">
        <v>768</v>
      </c>
      <c r="D279" s="829" t="str">
        <f>IF(AC279=130, "130 × 130", IF(AC279=160, "160 × 160", IF(AC279=110, "110 × 110", "Value not 130, 160, or 110")))</f>
        <v>Value not 130, 160, or 110</v>
      </c>
      <c r="E279" s="830">
        <f>AD279</f>
        <v>0</v>
      </c>
      <c r="F279" s="831">
        <f ca="1">IF(X279 &gt; 0.1, RAND() * (0.1 - 0.06) + 0.06, X279)</f>
        <v>0</v>
      </c>
      <c r="G279" s="831">
        <f ca="1">IF(Y279 &lt; 0.5, 0.5 + RAND() * 0.1, Y279)</f>
        <v>0.57266492537169578</v>
      </c>
      <c r="H279" s="830">
        <f ca="1">IF(AB279&gt;0.04, 0.029 + (0.039-0.029)*RAND(), AB279)</f>
        <v>0</v>
      </c>
      <c r="I279" s="830">
        <f ca="1">IF(AA279&gt;0.04, 0.029 + (0.039-0.029)*RAND(), AA279)</f>
        <v>0</v>
      </c>
      <c r="J279" s="831">
        <f ca="1">IF(Z279&gt;0.15, 0.11 + (0.15-0.11) * RAND(), Z279)</f>
        <v>0</v>
      </c>
      <c r="K279" s="830">
        <f ca="1">0.004 + (RAND() * (0.001 - 0.004))</f>
        <v>2.1571250533512663E-3</v>
      </c>
      <c r="L279" s="830">
        <f ca="1">H279+I279</f>
        <v>0</v>
      </c>
      <c r="M279" s="831">
        <f ca="1">(G279/6)+F279</f>
        <v>9.5444154228615963E-2</v>
      </c>
      <c r="N279" s="831">
        <f ca="1">2 + RAND()</f>
        <v>2.2780493746331114</v>
      </c>
      <c r="O279" s="831">
        <f ca="1">1 + RAND()</f>
        <v>1.7074428157866808</v>
      </c>
      <c r="P279" s="831">
        <f ca="1">2.98 + (RAND() * (3.03 - 2.98))</f>
        <v>3.0197663411373434</v>
      </c>
      <c r="Q279" s="832" t="str">
        <f ca="1">IF(D279="130 × 130", (130 + RANDBETWEEN(-1,1)) &amp; " × " &amp; (130 + RANDBETWEEN(-1,1)),
   IF(D279="160 × 160", (160 + RANDBETWEEN(-1,1)) &amp; " × " &amp; (160 + RANDBETWEEN(-1,1)),
   IF(D279="110 × 110", (110 + RANDBETWEEN(-1,1)) &amp; " × " &amp; (110 + RANDBETWEEN(-1,1)),
   "Value not matched")))</f>
        <v>Value not matched</v>
      </c>
      <c r="R279" s="833" t="s">
        <v>213</v>
      </c>
      <c r="S279" s="834" t="str">
        <f ca="1">IF(G279&lt;0.6, "IS 14650 CPS 10748/GR2", "IS 14650 CPS 10748/GR3")</f>
        <v>IS 14650 CPS 10748/GR2</v>
      </c>
      <c r="T279" s="831" t="s">
        <v>769</v>
      </c>
      <c r="U279" s="825"/>
      <c r="V279" s="826"/>
      <c r="W279" s="206">
        <f>Prod.!B156</f>
        <v>0</v>
      </c>
      <c r="X279" s="469">
        <f>Prod.!C156</f>
        <v>0</v>
      </c>
      <c r="Y279" s="469">
        <f>Prod.!D156</f>
        <v>0</v>
      </c>
      <c r="Z279" s="469">
        <f>Prod.!E156</f>
        <v>0</v>
      </c>
      <c r="AA279" s="282">
        <f>Prod.!F156</f>
        <v>0</v>
      </c>
      <c r="AB279" s="282">
        <f>Prod.!G156</f>
        <v>0</v>
      </c>
      <c r="AC279" s="836">
        <f>Prod.!H156</f>
        <v>0</v>
      </c>
      <c r="AD279" s="282">
        <f>Prod.!AB156</f>
        <v>0</v>
      </c>
      <c r="AE279" s="282">
        <f>AD279-AF279</f>
        <v>0</v>
      </c>
      <c r="AF279" s="282">
        <f>Prod.!AA156</f>
        <v>0</v>
      </c>
    </row>
    <row r="280" spans="1:32" ht="15" customHeight="1">
      <c r="A280" s="1435">
        <v>10</v>
      </c>
      <c r="B280" s="818">
        <f>W281</f>
        <v>0</v>
      </c>
      <c r="C280" s="819" t="s">
        <v>765</v>
      </c>
      <c r="D280" s="822"/>
      <c r="E280" s="822"/>
      <c r="F280" s="821">
        <f ca="1">F281 + (RAND() * 0.02 - 0.01)</f>
        <v>5.705018490191829E-3</v>
      </c>
      <c r="G280" s="821">
        <f ca="1">G281 + (RAND() * 0.06 - 0.03)</f>
        <v>0.47612456551744009</v>
      </c>
      <c r="H280" s="822">
        <f ca="1">H281 + (RAND() * 0.006 - 0.003)</f>
        <v>-2.196380024603096E-4</v>
      </c>
      <c r="I280" s="822">
        <f ca="1">I281 + (RAND() * 0.006 - 0.003)</f>
        <v>2.5020514171738978E-3</v>
      </c>
      <c r="J280" s="821">
        <f ca="1">J281 + (RAND() * 0.02 - 0.01)</f>
        <v>-1.7971255859012374E-3</v>
      </c>
      <c r="K280" s="821"/>
      <c r="L280" s="822"/>
      <c r="M280" s="821"/>
      <c r="N280" s="823"/>
      <c r="O280" s="823"/>
      <c r="P280" s="823"/>
      <c r="Q280" s="823"/>
      <c r="R280" s="839"/>
      <c r="S280" s="821"/>
      <c r="T280" s="821"/>
      <c r="U280" s="825"/>
      <c r="V280" s="826"/>
    </row>
    <row r="281" spans="1:32" ht="15" customHeight="1">
      <c r="A281" s="1435"/>
      <c r="B281" s="827">
        <f>B280</f>
        <v>0</v>
      </c>
      <c r="C281" s="828" t="s">
        <v>768</v>
      </c>
      <c r="D281" s="829" t="str">
        <f>IF(AC281=130, "130 × 130", IF(AC281=160, "160 × 160", IF(AC281=110, "110 × 110", "Value not 130, 160, or 110")))</f>
        <v>Value not 130, 160, or 110</v>
      </c>
      <c r="E281" s="830">
        <f>AD281</f>
        <v>0</v>
      </c>
      <c r="F281" s="831">
        <f ca="1">IF(X281 &gt; 0.1, RAND() * (0.1 - 0.06) + 0.06, X281)</f>
        <v>0</v>
      </c>
      <c r="G281" s="831">
        <f ca="1">IF(Y281 &lt; 0.5, 0.5 + RAND() * 0.1, Y281)</f>
        <v>0.50225438041558412</v>
      </c>
      <c r="H281" s="830">
        <f ca="1">IF(AB281&gt;0.04, 0.029 + (0.039-0.029)*RAND(), AB281)</f>
        <v>0</v>
      </c>
      <c r="I281" s="830">
        <f ca="1">IF(AA281&gt;0.04, 0.029 + (0.039-0.029)*RAND(), AA281)</f>
        <v>0</v>
      </c>
      <c r="J281" s="831">
        <f ca="1">IF(Z281&gt;0.15, 0.11 + (0.15-0.11) * RAND(), Z281)</f>
        <v>0</v>
      </c>
      <c r="K281" s="830">
        <f ca="1">0.004 + (RAND() * (0.001 - 0.004))</f>
        <v>1.9149147281173032E-3</v>
      </c>
      <c r="L281" s="830">
        <f ca="1">H281+I281</f>
        <v>0</v>
      </c>
      <c r="M281" s="831">
        <f ca="1">(G281/6)+F281</f>
        <v>8.3709063402597358E-2</v>
      </c>
      <c r="N281" s="831">
        <f ca="1">2 + RAND()</f>
        <v>2.2083779203220057</v>
      </c>
      <c r="O281" s="831">
        <f ca="1">1 + RAND()</f>
        <v>1.4845578580171148</v>
      </c>
      <c r="P281" s="831">
        <f ca="1">2.98 + (RAND() * (3.03 - 2.98))</f>
        <v>3.0205232634529215</v>
      </c>
      <c r="Q281" s="832" t="str">
        <f ca="1">IF(D281="130 × 130", (130 + RANDBETWEEN(-1,1)) &amp; " × " &amp; (130 + RANDBETWEEN(-1,1)),
   IF(D281="160 × 160", (160 + RANDBETWEEN(-1,1)) &amp; " × " &amp; (160 + RANDBETWEEN(-1,1)),
   IF(D281="110 × 110", (110 + RANDBETWEEN(-1,1)) &amp; " × " &amp; (110 + RANDBETWEEN(-1,1)),
   "Value not matched")))</f>
        <v>Value not matched</v>
      </c>
      <c r="R281" s="833" t="s">
        <v>213</v>
      </c>
      <c r="S281" s="834" t="str">
        <f ca="1">IF(G281&lt;0.6, "IS 14650 CPS 10748/GR2", "IS 14650 CPS 10748/GR3")</f>
        <v>IS 14650 CPS 10748/GR2</v>
      </c>
      <c r="T281" s="831" t="s">
        <v>769</v>
      </c>
      <c r="U281" s="825"/>
      <c r="V281" s="826"/>
      <c r="W281" s="206">
        <f>Prod.!B157</f>
        <v>0</v>
      </c>
      <c r="X281" s="469">
        <f>Prod.!C157</f>
        <v>0</v>
      </c>
      <c r="Y281" s="469">
        <f>Prod.!D157</f>
        <v>0</v>
      </c>
      <c r="Z281" s="469">
        <f>Prod.!E157</f>
        <v>0</v>
      </c>
      <c r="AA281" s="282">
        <f>Prod.!F157</f>
        <v>0</v>
      </c>
      <c r="AB281" s="282">
        <f>Prod.!G157</f>
        <v>0</v>
      </c>
      <c r="AC281" s="836">
        <f>Prod.!H157</f>
        <v>0</v>
      </c>
      <c r="AD281" s="282">
        <f>Prod.!AB157</f>
        <v>0</v>
      </c>
      <c r="AE281" s="282">
        <f>AD281-AF281</f>
        <v>0</v>
      </c>
      <c r="AF281" s="282">
        <f>Prod.!AA157</f>
        <v>0</v>
      </c>
    </row>
    <row r="282" spans="1:32" ht="15" customHeight="1">
      <c r="A282" s="1435">
        <v>11</v>
      </c>
      <c r="B282" s="818">
        <f>W283</f>
        <v>0</v>
      </c>
      <c r="C282" s="819" t="s">
        <v>765</v>
      </c>
      <c r="D282" s="822"/>
      <c r="E282" s="822"/>
      <c r="F282" s="821">
        <f ca="1">F283 + (RAND() * 0.02 - 0.01)</f>
        <v>4.3202810888027729E-4</v>
      </c>
      <c r="G282" s="821">
        <f ca="1">G283 + (RAND() * 0.06 - 0.03)</f>
        <v>0.54311688571063055</v>
      </c>
      <c r="H282" s="822">
        <f ca="1">H283 + (RAND() * 0.006 - 0.003)</f>
        <v>2.7079107601155217E-3</v>
      </c>
      <c r="I282" s="822">
        <f ca="1">I283 + (RAND() * 0.006 - 0.003)</f>
        <v>-1.9994944036123381E-3</v>
      </c>
      <c r="J282" s="821">
        <f ca="1">J283 + (RAND() * 0.02 - 0.01)</f>
        <v>-7.1109891179907576E-3</v>
      </c>
      <c r="K282" s="821"/>
      <c r="L282" s="822"/>
      <c r="M282" s="821"/>
      <c r="N282" s="823"/>
      <c r="O282" s="823"/>
      <c r="P282" s="823"/>
      <c r="Q282" s="823"/>
      <c r="R282" s="839"/>
      <c r="S282" s="821"/>
      <c r="T282" s="821"/>
      <c r="U282" s="825"/>
      <c r="V282" s="826"/>
    </row>
    <row r="283" spans="1:32" ht="15" customHeight="1">
      <c r="A283" s="1435"/>
      <c r="B283" s="827">
        <f>B282</f>
        <v>0</v>
      </c>
      <c r="C283" s="828" t="s">
        <v>768</v>
      </c>
      <c r="D283" s="829" t="str">
        <f>IF(AC283=130, "130 × 130", IF(AC283=160, "160 × 160", IF(AC283=110, "110 × 110", "Value not 130, 160, or 110")))</f>
        <v>Value not 130, 160, or 110</v>
      </c>
      <c r="E283" s="830">
        <f>AD283</f>
        <v>0</v>
      </c>
      <c r="F283" s="831">
        <f ca="1">IF(X283 &gt; 0.1, RAND() * (0.1 - 0.06) + 0.06, X283)</f>
        <v>0</v>
      </c>
      <c r="G283" s="831">
        <f ca="1">IF(Y283 &lt; 0.5, 0.5 + RAND() * 0.1, Y283)</f>
        <v>0.5473050816052426</v>
      </c>
      <c r="H283" s="830">
        <f ca="1">IF(AB283&gt;0.04, 0.029 + (0.039-0.029)*RAND(), AB283)</f>
        <v>0</v>
      </c>
      <c r="I283" s="830">
        <f ca="1">IF(AA283&gt;0.04, 0.029 + (0.039-0.029)*RAND(), AA283)</f>
        <v>0</v>
      </c>
      <c r="J283" s="831">
        <f ca="1">IF(Z283&gt;0.15, 0.11 + (0.15-0.11) * RAND(), Z283)</f>
        <v>0</v>
      </c>
      <c r="K283" s="830">
        <f ca="1">0.004 + (RAND() * (0.001 - 0.004))</f>
        <v>2.2407392095377425E-3</v>
      </c>
      <c r="L283" s="830">
        <f ca="1">H283+I283</f>
        <v>0</v>
      </c>
      <c r="M283" s="831">
        <f ca="1">(G283/6)+F283</f>
        <v>9.1217513600873767E-2</v>
      </c>
      <c r="N283" s="831">
        <f ca="1">2 + RAND()</f>
        <v>2.9885999556749234</v>
      </c>
      <c r="O283" s="831">
        <f ca="1">1 + RAND()</f>
        <v>1.199367683201765</v>
      </c>
      <c r="P283" s="831">
        <f ca="1">2.98 + (RAND() * (3.03 - 2.98))</f>
        <v>2.9818999133029802</v>
      </c>
      <c r="Q283" s="832" t="str">
        <f ca="1">IF(D283="130 × 130", (130 + RANDBETWEEN(-1,1)) &amp; " × " &amp; (130 + RANDBETWEEN(-1,1)),
   IF(D283="160 × 160", (160 + RANDBETWEEN(-1,1)) &amp; " × " &amp; (160 + RANDBETWEEN(-1,1)),
   IF(D283="110 × 110", (110 + RANDBETWEEN(-1,1)) &amp; " × " &amp; (110 + RANDBETWEEN(-1,1)),
   "Value not matched")))</f>
        <v>Value not matched</v>
      </c>
      <c r="R283" s="833" t="s">
        <v>213</v>
      </c>
      <c r="S283" s="834" t="str">
        <f ca="1">IF(G283&lt;0.6, "IS 14650 CPS 10748/GR2", "IS 14650 CPS 10748/GR3")</f>
        <v>IS 14650 CPS 10748/GR2</v>
      </c>
      <c r="T283" s="831" t="s">
        <v>769</v>
      </c>
      <c r="U283" s="825"/>
      <c r="V283" s="826"/>
      <c r="W283" s="206">
        <f>Prod.!B158</f>
        <v>0</v>
      </c>
      <c r="X283" s="469">
        <f>Prod.!C158</f>
        <v>0</v>
      </c>
      <c r="Y283" s="469">
        <f>Prod.!D158</f>
        <v>0</v>
      </c>
      <c r="Z283" s="469">
        <f>Prod.!E158</f>
        <v>0</v>
      </c>
      <c r="AA283" s="282">
        <f>Prod.!F158</f>
        <v>0</v>
      </c>
      <c r="AB283" s="282">
        <f>Prod.!G158</f>
        <v>0</v>
      </c>
      <c r="AC283" s="836">
        <f>Prod.!H158</f>
        <v>0</v>
      </c>
      <c r="AD283" s="282">
        <f>Prod.!AB158</f>
        <v>0</v>
      </c>
      <c r="AE283" s="282">
        <f>AD283-AF283</f>
        <v>0</v>
      </c>
      <c r="AF283" s="282">
        <f>Prod.!AA158</f>
        <v>0</v>
      </c>
    </row>
    <row r="284" spans="1:32" ht="15" customHeight="1">
      <c r="A284" s="1435">
        <v>12</v>
      </c>
      <c r="B284" s="818">
        <f>W285</f>
        <v>0</v>
      </c>
      <c r="C284" s="819" t="s">
        <v>765</v>
      </c>
      <c r="D284" s="822"/>
      <c r="E284" s="822"/>
      <c r="F284" s="821">
        <f ca="1">F285 + (RAND() * 0.02 - 0.01)</f>
        <v>-3.1360816716634668E-3</v>
      </c>
      <c r="G284" s="821">
        <f ca="1">G285 + (RAND() * 0.06 - 0.03)</f>
        <v>0.58113616527784351</v>
      </c>
      <c r="H284" s="822">
        <f ca="1">H285 + (RAND() * 0.006 - 0.003)</f>
        <v>2.5935397424474722E-3</v>
      </c>
      <c r="I284" s="822">
        <f ca="1">I285 + (RAND() * 0.006 - 0.003)</f>
        <v>2.0017225608963476E-3</v>
      </c>
      <c r="J284" s="821">
        <f ca="1">J285 + (RAND() * 0.02 - 0.01)</f>
        <v>-4.0067633660979965E-3</v>
      </c>
      <c r="K284" s="821"/>
      <c r="L284" s="822"/>
      <c r="M284" s="821"/>
      <c r="N284" s="823"/>
      <c r="O284" s="823"/>
      <c r="P284" s="823"/>
      <c r="Q284" s="823"/>
      <c r="R284" s="839"/>
      <c r="S284" s="821"/>
      <c r="T284" s="821"/>
      <c r="U284" s="825"/>
      <c r="V284" s="826"/>
    </row>
    <row r="285" spans="1:32" ht="15" customHeight="1">
      <c r="A285" s="1435"/>
      <c r="B285" s="827">
        <f>B284</f>
        <v>0</v>
      </c>
      <c r="C285" s="828" t="s">
        <v>768</v>
      </c>
      <c r="D285" s="829" t="str">
        <f>IF(AC285=130, "130 × 130", IF(AC285=160, "160 × 160", IF(AC285=110, "110 × 110", "Value not 130, 160, or 110")))</f>
        <v>Value not 130, 160, or 110</v>
      </c>
      <c r="E285" s="830">
        <f>AD285</f>
        <v>0</v>
      </c>
      <c r="F285" s="831">
        <f ca="1">IF(X285 &gt; 0.1, RAND() * (0.1 - 0.06) + 0.06, X285)</f>
        <v>0</v>
      </c>
      <c r="G285" s="831">
        <f ca="1">IF(Y285 &lt; 0.5, 0.5 + RAND() * 0.1, Y285)</f>
        <v>0.56559510248806211</v>
      </c>
      <c r="H285" s="830">
        <f ca="1">IF(AB285&gt;0.04, 0.029 + (0.039-0.029)*RAND(), AB285)</f>
        <v>0</v>
      </c>
      <c r="I285" s="830">
        <f ca="1">IF(AA285&gt;0.04, 0.029 + (0.039-0.029)*RAND(), AA285)</f>
        <v>0</v>
      </c>
      <c r="J285" s="831">
        <f ca="1">IF(Z285&gt;0.15, 0.11 + (0.15-0.11) * RAND(), Z285)</f>
        <v>0</v>
      </c>
      <c r="K285" s="830">
        <f ca="1">0.004 + (RAND() * (0.001 - 0.004))</f>
        <v>1.8309075550599816E-3</v>
      </c>
      <c r="L285" s="830">
        <f ca="1">H285+I285</f>
        <v>0</v>
      </c>
      <c r="M285" s="831">
        <f ca="1">(G285/6)+F285</f>
        <v>9.4265850414677013E-2</v>
      </c>
      <c r="N285" s="831">
        <f ca="1">2 + RAND()</f>
        <v>2.9123531423159044</v>
      </c>
      <c r="O285" s="831">
        <f ca="1">1 + RAND()</f>
        <v>1.3853462558454397</v>
      </c>
      <c r="P285" s="831">
        <f ca="1">2.98 + (RAND() * (3.03 - 2.98))</f>
        <v>3.0245564697984069</v>
      </c>
      <c r="Q285" s="832" t="str">
        <f ca="1">IF(D285="130 × 130", (130 + RANDBETWEEN(-1,1)) &amp; " × " &amp; (130 + RANDBETWEEN(-1,1)),
   IF(D285="160 × 160", (160 + RANDBETWEEN(-1,1)) &amp; " × " &amp; (160 + RANDBETWEEN(-1,1)),
   IF(D285="110 × 110", (110 + RANDBETWEEN(-1,1)) &amp; " × " &amp; (110 + RANDBETWEEN(-1,1)),
   "Value not matched")))</f>
        <v>Value not matched</v>
      </c>
      <c r="R285" s="833" t="s">
        <v>213</v>
      </c>
      <c r="S285" s="834" t="str">
        <f ca="1">IF(G285&lt;0.6, "IS 14650 CPS 10748/GR2", "IS 14650 CPS 10748/GR3")</f>
        <v>IS 14650 CPS 10748/GR2</v>
      </c>
      <c r="T285" s="831" t="s">
        <v>769</v>
      </c>
      <c r="U285" s="825"/>
      <c r="V285" s="826"/>
      <c r="W285" s="206">
        <f>Prod.!B159</f>
        <v>0</v>
      </c>
      <c r="X285" s="469">
        <f>Prod.!C159</f>
        <v>0</v>
      </c>
      <c r="Y285" s="469">
        <f>Prod.!D159</f>
        <v>0</v>
      </c>
      <c r="Z285" s="469">
        <f>Prod.!E159</f>
        <v>0</v>
      </c>
      <c r="AA285" s="282">
        <f>Prod.!F159</f>
        <v>0</v>
      </c>
      <c r="AB285" s="282">
        <f>Prod.!G159</f>
        <v>0</v>
      </c>
      <c r="AC285" s="836">
        <f>Prod.!H159</f>
        <v>0</v>
      </c>
      <c r="AD285" s="282">
        <f>Prod.!AB159</f>
        <v>0</v>
      </c>
      <c r="AE285" s="282">
        <f>AD285-AF285</f>
        <v>0</v>
      </c>
      <c r="AF285" s="282">
        <f>Prod.!AA159</f>
        <v>0</v>
      </c>
    </row>
    <row r="286" spans="1:32" ht="15" customHeight="1">
      <c r="A286" s="1435"/>
      <c r="B286" s="818"/>
      <c r="C286" s="819"/>
      <c r="D286" s="822"/>
      <c r="E286" s="822"/>
      <c r="F286" s="821"/>
      <c r="G286" s="821"/>
      <c r="H286" s="840"/>
      <c r="I286" s="840"/>
      <c r="J286" s="821"/>
      <c r="K286" s="821"/>
      <c r="L286" s="822"/>
      <c r="M286" s="838"/>
      <c r="N286" s="821"/>
      <c r="O286" s="821"/>
      <c r="P286" s="821"/>
      <c r="Q286" s="821"/>
      <c r="R286" s="839"/>
      <c r="S286" s="841"/>
      <c r="T286" s="821"/>
      <c r="U286" s="825"/>
      <c r="V286" s="826"/>
    </row>
    <row r="287" spans="1:32" ht="15" customHeight="1">
      <c r="A287" s="1435"/>
      <c r="B287" s="827"/>
      <c r="C287" s="828"/>
      <c r="D287" s="842"/>
      <c r="E287" s="830"/>
      <c r="F287" s="831"/>
      <c r="G287" s="831"/>
      <c r="H287" s="843"/>
      <c r="I287" s="843"/>
      <c r="J287" s="831"/>
      <c r="K287" s="831"/>
      <c r="L287" s="830"/>
      <c r="M287" s="831"/>
      <c r="N287" s="831"/>
      <c r="O287" s="831"/>
      <c r="P287" s="831"/>
      <c r="Q287" s="831"/>
      <c r="R287" s="833"/>
      <c r="S287" s="834"/>
      <c r="T287" s="831"/>
      <c r="U287" s="825"/>
      <c r="V287" s="826"/>
    </row>
    <row r="288" spans="1:32" ht="15" customHeight="1">
      <c r="A288" s="180"/>
      <c r="B288" s="180"/>
      <c r="C288" s="180" t="s">
        <v>770</v>
      </c>
      <c r="D288" s="395"/>
      <c r="E288" s="844">
        <f>SUM(E262:E285)</f>
        <v>0</v>
      </c>
      <c r="F288" s="180"/>
      <c r="G288" s="180"/>
      <c r="H288" s="844"/>
      <c r="I288" s="180"/>
      <c r="J288" s="845"/>
      <c r="K288" s="845"/>
      <c r="L288" s="180"/>
      <c r="M288" s="845"/>
      <c r="N288" s="180"/>
      <c r="O288" s="180"/>
      <c r="P288" s="180"/>
      <c r="Q288" s="180"/>
      <c r="R288" s="263"/>
      <c r="S288" s="180"/>
      <c r="T288" s="180"/>
    </row>
    <row r="289" spans="1:32" ht="28.5" customHeight="1">
      <c r="A289" s="1436" t="s">
        <v>66</v>
      </c>
      <c r="B289" s="1436"/>
      <c r="C289" s="1436"/>
      <c r="D289" s="1436"/>
      <c r="E289" s="1436"/>
      <c r="F289" s="1436"/>
      <c r="G289" s="1436"/>
      <c r="H289" s="1436"/>
      <c r="I289" s="1436"/>
      <c r="J289" s="1436"/>
      <c r="K289" s="1436"/>
      <c r="L289" s="1436"/>
      <c r="M289" s="1436"/>
      <c r="N289" s="1436"/>
      <c r="O289" s="1436"/>
      <c r="P289" s="1436"/>
      <c r="Q289" s="1436"/>
      <c r="R289" s="1436"/>
      <c r="S289" s="1436"/>
      <c r="T289" s="1436"/>
      <c r="U289" s="515"/>
      <c r="V289" s="846"/>
    </row>
    <row r="290" spans="1:32" ht="15" customHeight="1">
      <c r="A290" s="1437" t="s">
        <v>747</v>
      </c>
      <c r="B290" s="1437"/>
      <c r="C290" s="1437"/>
      <c r="D290" s="1437"/>
      <c r="E290" s="1437"/>
      <c r="F290" s="1437"/>
      <c r="G290" s="1437"/>
      <c r="H290" s="1437"/>
      <c r="I290" s="1437"/>
      <c r="J290" s="1437"/>
      <c r="K290" s="1437"/>
      <c r="L290" s="1437"/>
      <c r="M290" s="1437"/>
      <c r="N290" s="1437"/>
      <c r="O290" s="1437"/>
      <c r="P290" s="1437"/>
      <c r="Q290" s="1437"/>
      <c r="R290" s="1437"/>
      <c r="S290" s="1437"/>
      <c r="T290" s="1437"/>
      <c r="U290" s="806"/>
      <c r="V290" s="807"/>
    </row>
    <row r="291" spans="1:32" ht="15" customHeight="1">
      <c r="A291" s="1438" t="str">
        <f>"DATE OF MANUFACTURING : " &amp; TEXT(V295, "DD-MM-YYYY")</f>
        <v>DATE OF MANUFACTURING : 00-01-1900</v>
      </c>
      <c r="B291" s="1438"/>
      <c r="C291" s="1438"/>
      <c r="D291" s="1438"/>
      <c r="E291" s="1438"/>
      <c r="F291" s="1438"/>
      <c r="G291" s="1438"/>
      <c r="H291" s="1438"/>
      <c r="I291" s="1438"/>
      <c r="J291" s="1438"/>
      <c r="K291" s="1438"/>
      <c r="L291" s="1438"/>
      <c r="M291" s="1438"/>
      <c r="N291" s="1437" t="s">
        <v>748</v>
      </c>
      <c r="O291" s="1437"/>
      <c r="P291" s="1437"/>
      <c r="Q291" s="1437"/>
      <c r="R291" s="1437"/>
      <c r="S291" s="1437"/>
      <c r="T291" s="1437"/>
      <c r="U291" s="808"/>
      <c r="V291" s="809"/>
    </row>
    <row r="292" spans="1:32" ht="29.25" customHeight="1">
      <c r="A292" s="1439" t="s">
        <v>749</v>
      </c>
      <c r="B292" s="1440" t="s">
        <v>750</v>
      </c>
      <c r="C292" s="1440"/>
      <c r="D292" s="1440" t="s">
        <v>751</v>
      </c>
      <c r="E292" s="1441" t="s">
        <v>752</v>
      </c>
      <c r="F292" s="1442" t="s">
        <v>753</v>
      </c>
      <c r="G292" s="1442"/>
      <c r="H292" s="1442"/>
      <c r="I292" s="1442"/>
      <c r="J292" s="1442"/>
      <c r="K292" s="1442"/>
      <c r="L292" s="1442"/>
      <c r="M292" s="1442"/>
      <c r="N292" s="1442" t="s">
        <v>754</v>
      </c>
      <c r="O292" s="1442"/>
      <c r="P292" s="1442"/>
      <c r="Q292" s="1442"/>
      <c r="R292" s="1443" t="s">
        <v>771</v>
      </c>
      <c r="S292" s="1441" t="s">
        <v>756</v>
      </c>
      <c r="T292" s="1440" t="s">
        <v>104</v>
      </c>
      <c r="U292" s="810"/>
      <c r="V292" s="811"/>
    </row>
    <row r="293" spans="1:32" ht="42.75" customHeight="1">
      <c r="A293" s="1439"/>
      <c r="B293" s="1440"/>
      <c r="C293" s="1440"/>
      <c r="D293" s="1440"/>
      <c r="E293" s="1440"/>
      <c r="F293" s="812" t="s">
        <v>40</v>
      </c>
      <c r="G293" s="812" t="s">
        <v>757</v>
      </c>
      <c r="H293" s="813" t="s">
        <v>758</v>
      </c>
      <c r="I293" s="812" t="s">
        <v>43</v>
      </c>
      <c r="J293" s="812" t="s">
        <v>42</v>
      </c>
      <c r="K293" s="812" t="s">
        <v>759</v>
      </c>
      <c r="L293" s="812" t="s">
        <v>760</v>
      </c>
      <c r="M293" s="812" t="s">
        <v>761</v>
      </c>
      <c r="N293" s="814" t="s">
        <v>762</v>
      </c>
      <c r="O293" s="815" t="s">
        <v>772</v>
      </c>
      <c r="P293" s="816" t="s">
        <v>773</v>
      </c>
      <c r="Q293" s="817" t="s">
        <v>764</v>
      </c>
      <c r="R293" s="1443"/>
      <c r="S293" s="1443"/>
      <c r="T293" s="1443"/>
      <c r="U293" s="810"/>
      <c r="V293" s="811"/>
    </row>
    <row r="294" spans="1:32" ht="15" customHeight="1">
      <c r="A294" s="1435">
        <v>1</v>
      </c>
      <c r="B294" s="818">
        <f>W295</f>
        <v>0</v>
      </c>
      <c r="C294" s="819" t="s">
        <v>765</v>
      </c>
      <c r="D294" s="820"/>
      <c r="E294" s="821"/>
      <c r="F294" s="821">
        <f ca="1">F295 + (RAND() * 0.02 - 0.01)</f>
        <v>3.8209979350948223E-3</v>
      </c>
      <c r="G294" s="821">
        <f ca="1">G295 + (RAND() * 0.06 - 0.03)</f>
        <v>0.58446639623709451</v>
      </c>
      <c r="H294" s="822">
        <f ca="1">H295 + (RAND() * 0.006 - 0.003)</f>
        <v>-2.0237312219864366E-3</v>
      </c>
      <c r="I294" s="822">
        <f ca="1">I295 + (RAND() * 0.006 - 0.003)</f>
        <v>1.5954808400627414E-3</v>
      </c>
      <c r="J294" s="821">
        <f ca="1">J295 + (RAND() * 0.02 - 0.01)</f>
        <v>-6.83668961498686E-3</v>
      </c>
      <c r="K294" s="821"/>
      <c r="L294" s="822"/>
      <c r="M294" s="821"/>
      <c r="N294" s="823"/>
      <c r="O294" s="823"/>
      <c r="P294" s="823"/>
      <c r="Q294" s="823"/>
      <c r="R294" s="824"/>
      <c r="S294" s="821"/>
      <c r="T294" s="821"/>
      <c r="U294" s="825"/>
      <c r="V294" s="826"/>
      <c r="AE294" t="s">
        <v>767</v>
      </c>
    </row>
    <row r="295" spans="1:32" ht="15" customHeight="1">
      <c r="A295" s="1435"/>
      <c r="B295" s="827">
        <f>B294</f>
        <v>0</v>
      </c>
      <c r="C295" s="828" t="s">
        <v>768</v>
      </c>
      <c r="D295" s="829" t="str">
        <f>IF(AC295=130, "130 × 130", IF(AC295=160, "160 × 160", IF(AC295=110, "110 × 110", "Value not 130, 160, or 110")))</f>
        <v>Value not 130, 160, or 110</v>
      </c>
      <c r="E295" s="830">
        <f>AD295</f>
        <v>0</v>
      </c>
      <c r="F295" s="831">
        <f ca="1">IF(X295 &gt; 0.1, RAND() * (0.1 - 0.06) + 0.06, X295)</f>
        <v>0</v>
      </c>
      <c r="G295" s="831">
        <f ca="1">IF(Y295 &lt; 0.5, 0.5 + RAND() * 0.1, Y295)</f>
        <v>0.59922590561954037</v>
      </c>
      <c r="H295" s="830">
        <f ca="1">IF(AB295&gt;0.04, 0.029 + (0.039-0.029)*RAND(), AB295)</f>
        <v>0</v>
      </c>
      <c r="I295" s="830">
        <f ca="1">IF(AA295&gt;0.04, 0.029 + (0.039-0.029)*RAND(), AA295)</f>
        <v>0</v>
      </c>
      <c r="J295" s="831">
        <f ca="1">IF(Z295&gt;0.15, 0.11 + (0.15-0.11) * RAND(), Z295)</f>
        <v>0</v>
      </c>
      <c r="K295" s="830">
        <f ca="1">0.004 + (RAND() * (0.001 - 0.004))</f>
        <v>2.6357609972458293E-3</v>
      </c>
      <c r="L295" s="830">
        <f ca="1">H295+I295</f>
        <v>0</v>
      </c>
      <c r="M295" s="831">
        <f ca="1">(G295/6)+F295</f>
        <v>9.9870984269923399E-2</v>
      </c>
      <c r="N295" s="831">
        <f ca="1">2 + RAND()</f>
        <v>2.5691250769485738</v>
      </c>
      <c r="O295" s="831">
        <f ca="1">1 + RAND()</f>
        <v>1.5441603488918458</v>
      </c>
      <c r="P295" s="831">
        <f ca="1">2.98 + (RAND() * (3.03 - 2.98))</f>
        <v>3.0103930541819675</v>
      </c>
      <c r="Q295" s="832" t="str">
        <f ca="1">IF(D295="130 × 130", (130 + RANDBETWEEN(-1,1)) &amp; " × " &amp; (130 + RANDBETWEEN(-1,1)),
   IF(D295="160 × 160", (160 + RANDBETWEEN(-1,1)) &amp; " × " &amp; (160 + RANDBETWEEN(-1,1)),
   IF(D295="110 × 110", (110 + RANDBETWEEN(-1,1)) &amp; " × " &amp; (110 + RANDBETWEEN(-1,1)),
   "Value not matched")))</f>
        <v>Value not matched</v>
      </c>
      <c r="R295" s="833" t="s">
        <v>213</v>
      </c>
      <c r="S295" s="834" t="str">
        <f ca="1">IF(G295&lt;0.6, "IS 14650 CPS 10748/GR2", "IS 14650 CPS 10748/GR3")</f>
        <v>IS 14650 CPS 10748/GR2</v>
      </c>
      <c r="T295" s="831" t="s">
        <v>769</v>
      </c>
      <c r="U295" s="825"/>
      <c r="V295" s="835">
        <f>Prod.!A166</f>
        <v>0</v>
      </c>
      <c r="W295" s="206">
        <f>Prod.!B166</f>
        <v>0</v>
      </c>
      <c r="X295" s="469">
        <f>Prod.!C166</f>
        <v>0</v>
      </c>
      <c r="Y295" s="469">
        <f>Prod.!D166</f>
        <v>0</v>
      </c>
      <c r="Z295" s="469">
        <f>Prod.!E166</f>
        <v>0</v>
      </c>
      <c r="AA295" s="282">
        <f>Prod.!F166</f>
        <v>0</v>
      </c>
      <c r="AB295" s="282">
        <f>Prod.!G166</f>
        <v>0</v>
      </c>
      <c r="AC295" s="836">
        <f>Prod.!H166</f>
        <v>0</v>
      </c>
      <c r="AD295" s="282">
        <f>Prod.!AB166</f>
        <v>0</v>
      </c>
      <c r="AE295" s="282">
        <f>AD295-AF295</f>
        <v>0</v>
      </c>
      <c r="AF295" s="282">
        <f>Prod.!AA166</f>
        <v>0</v>
      </c>
    </row>
    <row r="296" spans="1:32" ht="15" customHeight="1">
      <c r="A296" s="1435">
        <v>2</v>
      </c>
      <c r="B296" s="818">
        <f>W297</f>
        <v>0</v>
      </c>
      <c r="C296" s="819" t="s">
        <v>765</v>
      </c>
      <c r="D296" s="822"/>
      <c r="E296" s="822"/>
      <c r="F296" s="821">
        <f ca="1">F297 + (RAND() * 0.02 - 0.01)</f>
        <v>3.7451699280246185E-3</v>
      </c>
      <c r="G296" s="821">
        <f ca="1">G297 + (RAND() * 0.06 - 0.03)</f>
        <v>0.53779516751880418</v>
      </c>
      <c r="H296" s="822">
        <f ca="1">H297 + (RAND() * 0.006 - 0.003)</f>
        <v>-1.1051949554271667E-3</v>
      </c>
      <c r="I296" s="822">
        <f ca="1">I297 + (RAND() * 0.006 - 0.003)</f>
        <v>-1.1015580078636024E-3</v>
      </c>
      <c r="J296" s="821">
        <f ca="1">J297 + (RAND() * 0.02 - 0.01)</f>
        <v>9.796291079615797E-3</v>
      </c>
      <c r="K296" s="821"/>
      <c r="L296" s="822"/>
      <c r="M296" s="821"/>
      <c r="N296" s="823"/>
      <c r="O296" s="823"/>
      <c r="P296" s="823"/>
      <c r="Q296" s="823"/>
      <c r="R296" s="837"/>
      <c r="S296" s="821"/>
      <c r="T296" s="838"/>
      <c r="U296" s="825"/>
      <c r="V296" s="826"/>
    </row>
    <row r="297" spans="1:32" ht="15" customHeight="1">
      <c r="A297" s="1435"/>
      <c r="B297" s="827">
        <f>B296</f>
        <v>0</v>
      </c>
      <c r="C297" s="828" t="s">
        <v>768</v>
      </c>
      <c r="D297" s="829" t="str">
        <f>IF(AC297=130, "130 × 130", IF(AC297=160, "160 × 160", IF(AC297=110, "110 × 110", "Value not 130, 160, or 110")))</f>
        <v>Value not 130, 160, or 110</v>
      </c>
      <c r="E297" s="830">
        <f>AD297</f>
        <v>0</v>
      </c>
      <c r="F297" s="831">
        <f ca="1">IF(X297 &gt; 0.1, RAND() * (0.1 - 0.06) + 0.06, X297)</f>
        <v>0</v>
      </c>
      <c r="G297" s="831">
        <f ca="1">IF(Y297 &lt; 0.5, 0.5 + RAND() * 0.1, Y297)</f>
        <v>0.5354647789518191</v>
      </c>
      <c r="H297" s="830">
        <f ca="1">IF(AB297&gt;0.04, 0.029 + (0.039-0.029)*RAND(), AB297)</f>
        <v>0</v>
      </c>
      <c r="I297" s="830">
        <f ca="1">IF(AA297&gt;0.04, 0.029 + (0.039-0.029)*RAND(), AA297)</f>
        <v>0</v>
      </c>
      <c r="J297" s="831">
        <f ca="1">IF(Z297&gt;0.15, 0.11 + (0.15-0.11) * RAND(), Z297)</f>
        <v>0</v>
      </c>
      <c r="K297" s="830">
        <f ca="1">0.004 + (RAND() * (0.001 - 0.004))</f>
        <v>1.0718563881837069E-3</v>
      </c>
      <c r="L297" s="830">
        <f ca="1">H297+I297</f>
        <v>0</v>
      </c>
      <c r="M297" s="831">
        <f ca="1">(G297/6)+F297</f>
        <v>8.9244129825303178E-2</v>
      </c>
      <c r="N297" s="831">
        <f ca="1">2 + RAND()</f>
        <v>2.9571507690792931</v>
      </c>
      <c r="O297" s="831">
        <f ca="1">1 + RAND()</f>
        <v>1.3058107209103329</v>
      </c>
      <c r="P297" s="831">
        <f ca="1">2.98 + (RAND() * (3.03 - 2.98))</f>
        <v>2.9999945392630245</v>
      </c>
      <c r="Q297" s="832" t="str">
        <f ca="1">IF(D297="130 × 130", (130 + RANDBETWEEN(-1,1)) &amp; " × " &amp; (130 + RANDBETWEEN(-1,1)),
   IF(D297="160 × 160", (160 + RANDBETWEEN(-1,1)) &amp; " × " &amp; (160 + RANDBETWEEN(-1,1)),
   IF(D297="110 × 110", (110 + RANDBETWEEN(-1,1)) &amp; " × " &amp; (110 + RANDBETWEEN(-1,1)),
   "Value not matched")))</f>
        <v>Value not matched</v>
      </c>
      <c r="R297" s="833" t="s">
        <v>213</v>
      </c>
      <c r="S297" s="834" t="str">
        <f ca="1">IF(G297&lt;0.6, "IS 14650 CPS 10748/GR2", "IS 14650 CPS 10748/GR3")</f>
        <v>IS 14650 CPS 10748/GR2</v>
      </c>
      <c r="T297" s="831" t="s">
        <v>769</v>
      </c>
      <c r="U297" s="825"/>
      <c r="V297" s="826"/>
      <c r="W297" s="206">
        <f>Prod.!B167</f>
        <v>0</v>
      </c>
      <c r="X297" s="469">
        <f>Prod.!C167</f>
        <v>0</v>
      </c>
      <c r="Y297" s="469">
        <f>Prod.!D167</f>
        <v>0</v>
      </c>
      <c r="Z297" s="469">
        <f>Prod.!E167</f>
        <v>0</v>
      </c>
      <c r="AA297" s="282">
        <f>Prod.!F167</f>
        <v>0</v>
      </c>
      <c r="AB297" s="282">
        <f>Prod.!G167</f>
        <v>0</v>
      </c>
      <c r="AC297" s="836">
        <f>Prod.!H167</f>
        <v>0</v>
      </c>
      <c r="AD297" s="282">
        <f>Prod.!AB167</f>
        <v>0</v>
      </c>
      <c r="AE297" s="282">
        <f>AD297-AF297</f>
        <v>0</v>
      </c>
      <c r="AF297" s="282">
        <f>Prod.!AA167</f>
        <v>0</v>
      </c>
    </row>
    <row r="298" spans="1:32" ht="15" customHeight="1">
      <c r="A298" s="1435">
        <v>3</v>
      </c>
      <c r="B298" s="818">
        <f>W299</f>
        <v>0</v>
      </c>
      <c r="C298" s="819" t="s">
        <v>765</v>
      </c>
      <c r="D298" s="822"/>
      <c r="E298" s="822"/>
      <c r="F298" s="821">
        <f ca="1">F299 + (RAND() * 0.02 - 0.01)</f>
        <v>-2.6931362729199406E-3</v>
      </c>
      <c r="G298" s="821">
        <f ca="1">G299 + (RAND() * 0.06 - 0.03)</f>
        <v>0.55296991265886331</v>
      </c>
      <c r="H298" s="822">
        <f ca="1">H299 + (RAND() * 0.006 - 0.003)</f>
        <v>4.6305480062957833E-4</v>
      </c>
      <c r="I298" s="822">
        <f ca="1">I299 + (RAND() * 0.006 - 0.003)</f>
        <v>2.92887898911523E-3</v>
      </c>
      <c r="J298" s="821">
        <f ca="1">J299 + (RAND() * 0.02 - 0.01)</f>
        <v>-4.2332186454459957E-3</v>
      </c>
      <c r="K298" s="821"/>
      <c r="L298" s="822"/>
      <c r="M298" s="821"/>
      <c r="N298" s="823"/>
      <c r="O298" s="823"/>
      <c r="P298" s="823"/>
      <c r="Q298" s="823"/>
      <c r="R298" s="839"/>
      <c r="S298" s="821"/>
      <c r="T298" s="821"/>
      <c r="U298" s="825"/>
      <c r="V298" s="826"/>
    </row>
    <row r="299" spans="1:32" ht="15" customHeight="1">
      <c r="A299" s="1435"/>
      <c r="B299" s="827">
        <f>B298</f>
        <v>0</v>
      </c>
      <c r="C299" s="828" t="s">
        <v>768</v>
      </c>
      <c r="D299" s="829" t="str">
        <f>IF(AC299=130, "130 × 130", IF(AC299=160, "160 × 160", IF(AC299=110, "110 × 110", "Value not 130, 160, or 110")))</f>
        <v>Value not 130, 160, or 110</v>
      </c>
      <c r="E299" s="830">
        <f>AD299</f>
        <v>0</v>
      </c>
      <c r="F299" s="831">
        <f ca="1">IF(X299 &gt; 0.1, RAND() * (0.1 - 0.06) + 0.06, X299)</f>
        <v>0</v>
      </c>
      <c r="G299" s="831">
        <f ca="1">IF(Y299 &lt; 0.5, 0.5 + RAND() * 0.1, Y299)</f>
        <v>0.5693395263591895</v>
      </c>
      <c r="H299" s="830">
        <f ca="1">IF(AB299&gt;0.04, 0.029 + (0.039-0.029)*RAND(), AB299)</f>
        <v>0</v>
      </c>
      <c r="I299" s="830">
        <f ca="1">IF(AA299&gt;0.04, 0.029 + (0.039-0.029)*RAND(), AA299)</f>
        <v>0</v>
      </c>
      <c r="J299" s="831">
        <f ca="1">IF(Z299&gt;0.15, 0.11 + (0.15-0.11) * RAND(), Z299)</f>
        <v>0</v>
      </c>
      <c r="K299" s="830">
        <f ca="1">0.004 + (RAND() * (0.001 - 0.004))</f>
        <v>3.0062255917140974E-3</v>
      </c>
      <c r="L299" s="830">
        <f ca="1">H299+I299</f>
        <v>0</v>
      </c>
      <c r="M299" s="831">
        <f ca="1">(G299/6)+F299</f>
        <v>9.4889921059864921E-2</v>
      </c>
      <c r="N299" s="831">
        <f ca="1">2 + RAND()</f>
        <v>2.2580675516611985</v>
      </c>
      <c r="O299" s="831">
        <f ca="1">1 + RAND()</f>
        <v>1.4193660466114224</v>
      </c>
      <c r="P299" s="831">
        <f ca="1">2.98 + (RAND() * (3.03 - 2.98))</f>
        <v>2.9840925292336702</v>
      </c>
      <c r="Q299" s="832" t="str">
        <f ca="1">IF(D299="130 × 130", (130 + RANDBETWEEN(-1,1)) &amp; " × " &amp; (130 + RANDBETWEEN(-1,1)),
   IF(D299="160 × 160", (160 + RANDBETWEEN(-1,1)) &amp; " × " &amp; (160 + RANDBETWEEN(-1,1)),
   IF(D299="110 × 110", (110 + RANDBETWEEN(-1,1)) &amp; " × " &amp; (110 + RANDBETWEEN(-1,1)),
   "Value not matched")))</f>
        <v>Value not matched</v>
      </c>
      <c r="R299" s="833" t="s">
        <v>213</v>
      </c>
      <c r="S299" s="834" t="str">
        <f ca="1">IF(G299&lt;0.6, "IS 14650 CPS 10748/GR2", "IS 14650 CPS 10748/GR3")</f>
        <v>IS 14650 CPS 10748/GR2</v>
      </c>
      <c r="T299" s="831" t="s">
        <v>769</v>
      </c>
      <c r="U299" s="825"/>
      <c r="V299" s="826"/>
      <c r="W299" s="206">
        <f>Prod.!B168</f>
        <v>0</v>
      </c>
      <c r="X299" s="469">
        <f>Prod.!C168</f>
        <v>0</v>
      </c>
      <c r="Y299" s="469">
        <f>Prod.!D168</f>
        <v>0</v>
      </c>
      <c r="Z299" s="469">
        <f>Prod.!E168</f>
        <v>0</v>
      </c>
      <c r="AA299" s="282">
        <f>Prod.!F168</f>
        <v>0</v>
      </c>
      <c r="AB299" s="282">
        <f>Prod.!G168</f>
        <v>0</v>
      </c>
      <c r="AC299" s="836">
        <f>Prod.!H168</f>
        <v>0</v>
      </c>
      <c r="AD299" s="282">
        <f>Prod.!AB168</f>
        <v>0</v>
      </c>
      <c r="AE299" s="282">
        <f>AD299-AF299</f>
        <v>0</v>
      </c>
      <c r="AF299" s="282">
        <f>Prod.!AA168</f>
        <v>0</v>
      </c>
    </row>
    <row r="300" spans="1:32" ht="15" customHeight="1">
      <c r="A300" s="1435">
        <v>4</v>
      </c>
      <c r="B300" s="818">
        <f>W301</f>
        <v>0</v>
      </c>
      <c r="C300" s="819" t="s">
        <v>765</v>
      </c>
      <c r="D300" s="822"/>
      <c r="E300" s="822"/>
      <c r="F300" s="821">
        <f ca="1">F301 + (RAND() * 0.02 - 0.01)</f>
        <v>2.3225930858505328E-3</v>
      </c>
      <c r="G300" s="821">
        <f ca="1">G301 + (RAND() * 0.06 - 0.03)</f>
        <v>0.59455636638937581</v>
      </c>
      <c r="H300" s="822">
        <f ca="1">H301 + (RAND() * 0.006 - 0.003)</f>
        <v>-4.6356289259628187E-4</v>
      </c>
      <c r="I300" s="822">
        <f ca="1">I301 + (RAND() * 0.006 - 0.003)</f>
        <v>-1.0515027239191084E-3</v>
      </c>
      <c r="J300" s="821">
        <f ca="1">J301 + (RAND() * 0.02 - 0.01)</f>
        <v>-1.9499233523692511E-3</v>
      </c>
      <c r="K300" s="821"/>
      <c r="L300" s="822"/>
      <c r="M300" s="821"/>
      <c r="N300" s="823"/>
      <c r="O300" s="823"/>
      <c r="P300" s="823"/>
      <c r="Q300" s="823"/>
      <c r="R300" s="839"/>
      <c r="S300" s="821"/>
      <c r="T300" s="821"/>
      <c r="U300" s="825"/>
      <c r="V300" s="826"/>
    </row>
    <row r="301" spans="1:32" ht="15" customHeight="1">
      <c r="A301" s="1435"/>
      <c r="B301" s="827">
        <f>B300</f>
        <v>0</v>
      </c>
      <c r="C301" s="828" t="s">
        <v>768</v>
      </c>
      <c r="D301" s="829" t="str">
        <f>IF(AC301=130, "130 × 130", IF(AC301=160, "160 × 160", IF(AC301=110, "110 × 110", "Value not 130, 160, or 110")))</f>
        <v>Value not 130, 160, or 110</v>
      </c>
      <c r="E301" s="830">
        <f>AD301</f>
        <v>0</v>
      </c>
      <c r="F301" s="831">
        <f ca="1">IF(X301 &gt; 0.1, RAND() * (0.1 - 0.06) + 0.06, X301)</f>
        <v>0</v>
      </c>
      <c r="G301" s="831">
        <f ca="1">IF(Y301 &lt; 0.5, 0.5 + RAND() * 0.1, Y301)</f>
        <v>0.58133686991420985</v>
      </c>
      <c r="H301" s="830">
        <f ca="1">IF(AB301&gt;0.04, 0.029 + (0.039-0.029)*RAND(), AB301)</f>
        <v>0</v>
      </c>
      <c r="I301" s="830">
        <f ca="1">IF(AA301&gt;0.04, 0.029 + (0.039-0.029)*RAND(), AA301)</f>
        <v>0</v>
      </c>
      <c r="J301" s="831">
        <f ca="1">IF(Z301&gt;0.15, 0.11 + (0.15-0.11) * RAND(), Z301)</f>
        <v>0</v>
      </c>
      <c r="K301" s="830">
        <f ca="1">0.004 + (RAND() * (0.001 - 0.004))</f>
        <v>2.9652635969894892E-3</v>
      </c>
      <c r="L301" s="830">
        <f ca="1">H301+I301</f>
        <v>0</v>
      </c>
      <c r="M301" s="831">
        <f ca="1">(G301/6)+F301</f>
        <v>9.688947831903498E-2</v>
      </c>
      <c r="N301" s="831">
        <f ca="1">2 + RAND()</f>
        <v>2.8586752027598896</v>
      </c>
      <c r="O301" s="831">
        <f ca="1">1 + RAND()</f>
        <v>1.4856678225527196</v>
      </c>
      <c r="P301" s="831">
        <f ca="1">2.98 + (RAND() * (3.03 - 2.98))</f>
        <v>3.020831592735119</v>
      </c>
      <c r="Q301" s="832" t="str">
        <f ca="1">IF(D301="130 × 130", (130 + RANDBETWEEN(-1,1)) &amp; " × " &amp; (130 + RANDBETWEEN(-1,1)),
   IF(D301="160 × 160", (160 + RANDBETWEEN(-1,1)) &amp; " × " &amp; (160 + RANDBETWEEN(-1,1)),
   IF(D301="110 × 110", (110 + RANDBETWEEN(-1,1)) &amp; " × " &amp; (110 + RANDBETWEEN(-1,1)),
   "Value not matched")))</f>
        <v>Value not matched</v>
      </c>
      <c r="R301" s="833" t="s">
        <v>213</v>
      </c>
      <c r="S301" s="834" t="str">
        <f ca="1">IF(G301&lt;0.6, "IS 14650 CPS 10748/GR2", "IS 14650 CPS 10748/GR3")</f>
        <v>IS 14650 CPS 10748/GR2</v>
      </c>
      <c r="T301" s="831" t="s">
        <v>769</v>
      </c>
      <c r="U301" s="825"/>
      <c r="V301" s="826"/>
      <c r="W301" s="206">
        <f>Prod.!B169</f>
        <v>0</v>
      </c>
      <c r="X301" s="469">
        <f>Prod.!C169</f>
        <v>0</v>
      </c>
      <c r="Y301" s="469">
        <f>Prod.!D169</f>
        <v>0</v>
      </c>
      <c r="Z301" s="469">
        <f>Prod.!E169</f>
        <v>0</v>
      </c>
      <c r="AA301" s="282">
        <f>Prod.!F169</f>
        <v>0</v>
      </c>
      <c r="AB301" s="282">
        <f>Prod.!G169</f>
        <v>0</v>
      </c>
      <c r="AC301" s="836">
        <f>Prod.!H169</f>
        <v>0</v>
      </c>
      <c r="AD301" s="282">
        <f>Prod.!AB169</f>
        <v>0</v>
      </c>
      <c r="AE301" s="282">
        <f>AD301-AF301</f>
        <v>0</v>
      </c>
      <c r="AF301" s="282">
        <f>Prod.!AA169</f>
        <v>0</v>
      </c>
    </row>
    <row r="302" spans="1:32" ht="15" customHeight="1">
      <c r="A302" s="1435">
        <v>5</v>
      </c>
      <c r="B302" s="818">
        <f>W303</f>
        <v>0</v>
      </c>
      <c r="C302" s="819" t="s">
        <v>765</v>
      </c>
      <c r="D302" s="822"/>
      <c r="E302" s="822"/>
      <c r="F302" s="821">
        <f ca="1">F303 + (RAND() * 0.02 - 0.01)</f>
        <v>1.1987774027616763E-3</v>
      </c>
      <c r="G302" s="821">
        <f ca="1">G303 + (RAND() * 0.06 - 0.03)</f>
        <v>0.56669799093207096</v>
      </c>
      <c r="H302" s="822">
        <f ca="1">H303 + (RAND() * 0.006 - 0.003)</f>
        <v>-1.1747639622701755E-3</v>
      </c>
      <c r="I302" s="822">
        <f ca="1">I303 + (RAND() * 0.006 - 0.003)</f>
        <v>2.2090856134167718E-3</v>
      </c>
      <c r="J302" s="821">
        <f ca="1">J303 + (RAND() * 0.02 - 0.01)</f>
        <v>3.0544821815010701E-3</v>
      </c>
      <c r="K302" s="821"/>
      <c r="L302" s="822"/>
      <c r="M302" s="821"/>
      <c r="N302" s="823"/>
      <c r="O302" s="823"/>
      <c r="P302" s="823"/>
      <c r="Q302" s="823"/>
      <c r="R302" s="839"/>
      <c r="S302" s="821"/>
      <c r="T302" s="821"/>
      <c r="U302" s="825"/>
      <c r="V302" s="826"/>
    </row>
    <row r="303" spans="1:32" ht="15" customHeight="1">
      <c r="A303" s="1435"/>
      <c r="B303" s="827">
        <f>B302</f>
        <v>0</v>
      </c>
      <c r="C303" s="828" t="s">
        <v>768</v>
      </c>
      <c r="D303" s="829" t="str">
        <f>IF(AC303=130, "130 × 130", IF(AC303=160, "160 × 160", IF(AC303=110, "110 × 110", "Value not 130, 160, or 110")))</f>
        <v>Value not 130, 160, or 110</v>
      </c>
      <c r="E303" s="830">
        <f>AD303</f>
        <v>0</v>
      </c>
      <c r="F303" s="831">
        <f ca="1">IF(X303 &gt; 0.1, RAND() * (0.1 - 0.06) + 0.06, X303)</f>
        <v>0</v>
      </c>
      <c r="G303" s="831">
        <f ca="1">IF(Y303 &lt; 0.5, 0.5 + RAND() * 0.1, Y303)</f>
        <v>0.56911553541794602</v>
      </c>
      <c r="H303" s="830">
        <f ca="1">IF(AB303&gt;0.04, 0.029 + (0.039-0.029)*RAND(), AB303)</f>
        <v>0</v>
      </c>
      <c r="I303" s="830">
        <f ca="1">IF(AA303&gt;0.04, 0.029 + (0.039-0.029)*RAND(), AA303)</f>
        <v>0</v>
      </c>
      <c r="J303" s="831">
        <f ca="1">IF(Z303&gt;0.15, 0.11 + (0.15-0.11) * RAND(), Z303)</f>
        <v>0</v>
      </c>
      <c r="K303" s="830">
        <f ca="1">0.004 + (RAND() * (0.001 - 0.004))</f>
        <v>3.0428901694848662E-3</v>
      </c>
      <c r="L303" s="830">
        <f ca="1">H303+I303</f>
        <v>0</v>
      </c>
      <c r="M303" s="831">
        <f ca="1">(G303/6)+F303</f>
        <v>9.4852589236324336E-2</v>
      </c>
      <c r="N303" s="831">
        <f ca="1">2 + RAND()</f>
        <v>2.6828639515666004</v>
      </c>
      <c r="O303" s="831">
        <f ca="1">1 + RAND()</f>
        <v>1.6603551525501803</v>
      </c>
      <c r="P303" s="831">
        <f ca="1">2.98 + (RAND() * (3.03 - 2.98))</f>
        <v>2.9990711680288702</v>
      </c>
      <c r="Q303" s="832" t="str">
        <f ca="1">IF(D303="130 × 130", (130 + RANDBETWEEN(-1,1)) &amp; " × " &amp; (130 + RANDBETWEEN(-1,1)),
   IF(D303="160 × 160", (160 + RANDBETWEEN(-1,1)) &amp; " × " &amp; (160 + RANDBETWEEN(-1,1)),
   IF(D303="110 × 110", (110 + RANDBETWEEN(-1,1)) &amp; " × " &amp; (110 + RANDBETWEEN(-1,1)),
   "Value not matched")))</f>
        <v>Value not matched</v>
      </c>
      <c r="R303" s="833" t="s">
        <v>213</v>
      </c>
      <c r="S303" s="834" t="str">
        <f ca="1">IF(G303&lt;0.6, "IS 14650 CPS 10748/GR2", "IS 14650 CPS 10748/GR3")</f>
        <v>IS 14650 CPS 10748/GR2</v>
      </c>
      <c r="T303" s="831" t="s">
        <v>769</v>
      </c>
      <c r="U303" s="825"/>
      <c r="V303" s="826"/>
      <c r="W303" s="206">
        <f>Prod.!B170</f>
        <v>0</v>
      </c>
      <c r="X303" s="469">
        <f>Prod.!C170</f>
        <v>0</v>
      </c>
      <c r="Y303" s="469">
        <f>Prod.!D170</f>
        <v>0</v>
      </c>
      <c r="Z303" s="469">
        <f>Prod.!E170</f>
        <v>0</v>
      </c>
      <c r="AA303" s="282">
        <f>Prod.!F170</f>
        <v>0</v>
      </c>
      <c r="AB303" s="282">
        <f>Prod.!G170</f>
        <v>0</v>
      </c>
      <c r="AC303" s="836">
        <f>Prod.!H170</f>
        <v>0</v>
      </c>
      <c r="AD303" s="282">
        <f>Prod.!AB170</f>
        <v>0</v>
      </c>
      <c r="AE303" s="282">
        <f>AD303-AF303</f>
        <v>0</v>
      </c>
      <c r="AF303" s="282">
        <f>Prod.!AA170</f>
        <v>0</v>
      </c>
    </row>
    <row r="304" spans="1:32" ht="15" customHeight="1">
      <c r="A304" s="1435">
        <v>6</v>
      </c>
      <c r="B304" s="818">
        <f>W305</f>
        <v>0</v>
      </c>
      <c r="C304" s="819" t="s">
        <v>765</v>
      </c>
      <c r="D304" s="822"/>
      <c r="E304" s="822"/>
      <c r="F304" s="821">
        <f ca="1">F305 + (RAND() * 0.02 - 0.01)</f>
        <v>-8.9070987201867215E-3</v>
      </c>
      <c r="G304" s="821">
        <f ca="1">G305 + (RAND() * 0.06 - 0.03)</f>
        <v>0.5526992596939031</v>
      </c>
      <c r="H304" s="822">
        <f ca="1">H305 + (RAND() * 0.006 - 0.003)</f>
        <v>1.3128117042907929E-3</v>
      </c>
      <c r="I304" s="822">
        <f ca="1">I305 + (RAND() * 0.006 - 0.003)</f>
        <v>2.02328226531414E-3</v>
      </c>
      <c r="J304" s="821">
        <f ca="1">J305 + (RAND() * 0.02 - 0.01)</f>
        <v>-1.3701370355721394E-3</v>
      </c>
      <c r="K304" s="821"/>
      <c r="L304" s="822"/>
      <c r="M304" s="821"/>
      <c r="N304" s="823"/>
      <c r="O304" s="823"/>
      <c r="P304" s="823"/>
      <c r="Q304" s="823"/>
      <c r="R304" s="839"/>
      <c r="S304" s="821"/>
      <c r="T304" s="821"/>
      <c r="U304" s="825"/>
      <c r="V304" s="826"/>
    </row>
    <row r="305" spans="1:32" ht="15" customHeight="1">
      <c r="A305" s="1435"/>
      <c r="B305" s="827">
        <f>B304</f>
        <v>0</v>
      </c>
      <c r="C305" s="828" t="s">
        <v>768</v>
      </c>
      <c r="D305" s="829" t="str">
        <f>IF(AC305=130, "130 × 130", IF(AC305=160, "160 × 160", IF(AC305=110, "110 × 110", "Value not 130, 160, or 110")))</f>
        <v>Value not 130, 160, or 110</v>
      </c>
      <c r="E305" s="830">
        <f>AD305</f>
        <v>0</v>
      </c>
      <c r="F305" s="831">
        <f ca="1">IF(X305 &gt; 0.1, RAND() * (0.1 - 0.06) + 0.06, X305)</f>
        <v>0</v>
      </c>
      <c r="G305" s="831">
        <f ca="1">IF(Y305 &lt; 0.5, 0.5 + RAND() * 0.1, Y305)</f>
        <v>0.55938519969579059</v>
      </c>
      <c r="H305" s="830">
        <f ca="1">IF(AB305&gt;0.04, 0.029 + (0.039-0.029)*RAND(), AB305)</f>
        <v>0</v>
      </c>
      <c r="I305" s="830">
        <f ca="1">IF(AA305&gt;0.04, 0.029 + (0.039-0.029)*RAND(), AA305)</f>
        <v>0</v>
      </c>
      <c r="J305" s="831">
        <f ca="1">IF(Z305&gt;0.15, 0.11 + (0.15-0.11) * RAND(), Z305)</f>
        <v>0</v>
      </c>
      <c r="K305" s="830">
        <f ca="1">0.004 + (RAND() * (0.001 - 0.004))</f>
        <v>3.0320725587979235E-3</v>
      </c>
      <c r="L305" s="830">
        <f ca="1">H305+I305</f>
        <v>0</v>
      </c>
      <c r="M305" s="831">
        <f ca="1">(G305/6)+F305</f>
        <v>9.3230866615965094E-2</v>
      </c>
      <c r="N305" s="831">
        <f ca="1">2 + RAND()</f>
        <v>2.6542399868751647</v>
      </c>
      <c r="O305" s="831">
        <f ca="1">1 + RAND()</f>
        <v>1.3474212473094678</v>
      </c>
      <c r="P305" s="831">
        <f ca="1">2.98 + (RAND() * (3.03 - 2.98))</f>
        <v>3.0214455354152441</v>
      </c>
      <c r="Q305" s="832" t="str">
        <f ca="1">IF(D305="130 × 130", (130 + RANDBETWEEN(-1,1)) &amp; " × " &amp; (130 + RANDBETWEEN(-1,1)),
   IF(D305="160 × 160", (160 + RANDBETWEEN(-1,1)) &amp; " × " &amp; (160 + RANDBETWEEN(-1,1)),
   IF(D305="110 × 110", (110 + RANDBETWEEN(-1,1)) &amp; " × " &amp; (110 + RANDBETWEEN(-1,1)),
   "Value not matched")))</f>
        <v>Value not matched</v>
      </c>
      <c r="R305" s="833" t="s">
        <v>213</v>
      </c>
      <c r="S305" s="834" t="str">
        <f ca="1">IF(G305&lt;0.6, "IS 14650 CPS 10748/GR2", "IS 14650 CPS 10748/GR3")</f>
        <v>IS 14650 CPS 10748/GR2</v>
      </c>
      <c r="T305" s="831" t="s">
        <v>769</v>
      </c>
      <c r="U305" s="825"/>
      <c r="V305" s="826"/>
      <c r="W305" s="206">
        <f>Prod.!B171</f>
        <v>0</v>
      </c>
      <c r="X305" s="469">
        <f>Prod.!C171</f>
        <v>0</v>
      </c>
      <c r="Y305" s="469">
        <f>Prod.!D171</f>
        <v>0</v>
      </c>
      <c r="Z305" s="469">
        <f>Prod.!E171</f>
        <v>0</v>
      </c>
      <c r="AA305" s="282">
        <f>Prod.!F171</f>
        <v>0</v>
      </c>
      <c r="AB305" s="282">
        <f>Prod.!G171</f>
        <v>0</v>
      </c>
      <c r="AC305" s="836">
        <f>Prod.!H171</f>
        <v>0</v>
      </c>
      <c r="AD305" s="282">
        <f>Prod.!AB171</f>
        <v>0</v>
      </c>
      <c r="AE305" s="282">
        <f>AD305-AF305</f>
        <v>0</v>
      </c>
      <c r="AF305" s="282">
        <f>Prod.!AA171</f>
        <v>0</v>
      </c>
    </row>
    <row r="306" spans="1:32" ht="15" customHeight="1">
      <c r="A306" s="1435">
        <v>7</v>
      </c>
      <c r="B306" s="818">
        <f>W307</f>
        <v>0</v>
      </c>
      <c r="C306" s="819" t="s">
        <v>765</v>
      </c>
      <c r="D306" s="822"/>
      <c r="E306" s="822"/>
      <c r="F306" s="821">
        <f ca="1">F307 + (RAND() * 0.02 - 0.01)</f>
        <v>-3.8661850985755716E-3</v>
      </c>
      <c r="G306" s="821">
        <f ca="1">G307 + (RAND() * 0.06 - 0.03)</f>
        <v>0.61055689423451198</v>
      </c>
      <c r="H306" s="822">
        <f ca="1">H307 + (RAND() * 0.006 - 0.003)</f>
        <v>5.5878298093317439E-4</v>
      </c>
      <c r="I306" s="822">
        <f ca="1">I307 + (RAND() * 0.006 - 0.003)</f>
        <v>-1.4001621368034624E-3</v>
      </c>
      <c r="J306" s="821">
        <f ca="1">J307 + (RAND() * 0.02 - 0.01)</f>
        <v>7.6239322786260232E-3</v>
      </c>
      <c r="K306" s="821"/>
      <c r="L306" s="822"/>
      <c r="M306" s="821"/>
      <c r="N306" s="823"/>
      <c r="O306" s="823"/>
      <c r="P306" s="823"/>
      <c r="Q306" s="823"/>
      <c r="R306" s="839"/>
      <c r="S306" s="821"/>
      <c r="T306" s="821"/>
      <c r="U306" s="825"/>
      <c r="V306" s="826"/>
    </row>
    <row r="307" spans="1:32" ht="15" customHeight="1">
      <c r="A307" s="1435"/>
      <c r="B307" s="827">
        <f>B306</f>
        <v>0</v>
      </c>
      <c r="C307" s="828" t="s">
        <v>768</v>
      </c>
      <c r="D307" s="829" t="str">
        <f>IF(AC307=130, "130 × 130", IF(AC307=160, "160 × 160", IF(AC307=110, "110 × 110", "Value not 130, 160, or 110")))</f>
        <v>Value not 130, 160, or 110</v>
      </c>
      <c r="E307" s="830">
        <f>AD307</f>
        <v>0</v>
      </c>
      <c r="F307" s="831">
        <f ca="1">IF(X307 &gt; 0.1, RAND() * (0.1 - 0.06) + 0.06, X307)</f>
        <v>0</v>
      </c>
      <c r="G307" s="831">
        <f ca="1">IF(Y307 &lt; 0.5, 0.5 + RAND() * 0.1, Y307)</f>
        <v>0.5955624377068075</v>
      </c>
      <c r="H307" s="830">
        <f ca="1">IF(AB307&gt;0.04, 0.029 + (0.039-0.029)*RAND(), AB307)</f>
        <v>0</v>
      </c>
      <c r="I307" s="830">
        <f ca="1">IF(AA307&gt;0.04, 0.029 + (0.039-0.029)*RAND(), AA307)</f>
        <v>0</v>
      </c>
      <c r="J307" s="831">
        <f ca="1">IF(Z307&gt;0.15, 0.11 + (0.15-0.11) * RAND(), Z307)</f>
        <v>0</v>
      </c>
      <c r="K307" s="830">
        <f ca="1">0.004 + (RAND() * (0.001 - 0.004))</f>
        <v>2.5697784518350399E-3</v>
      </c>
      <c r="L307" s="830">
        <f ca="1">H307+I307</f>
        <v>0</v>
      </c>
      <c r="M307" s="831">
        <f ca="1">(G307/6)+F307</f>
        <v>9.9260406284467917E-2</v>
      </c>
      <c r="N307" s="831">
        <f ca="1">2 + RAND()</f>
        <v>2.8161139939110971</v>
      </c>
      <c r="O307" s="831">
        <f ca="1">1 + RAND()</f>
        <v>1.4951778585251017</v>
      </c>
      <c r="P307" s="831">
        <f ca="1">2.98 + (RAND() * (3.03 - 2.98))</f>
        <v>3.0213954193255081</v>
      </c>
      <c r="Q307" s="832" t="str">
        <f ca="1">IF(D307="130 × 130", (130 + RANDBETWEEN(-1,1)) &amp; " × " &amp; (130 + RANDBETWEEN(-1,1)),
   IF(D307="160 × 160", (160 + RANDBETWEEN(-1,1)) &amp; " × " &amp; (160 + RANDBETWEEN(-1,1)),
   IF(D307="110 × 110", (110 + RANDBETWEEN(-1,1)) &amp; " × " &amp; (110 + RANDBETWEEN(-1,1)),
   "Value not matched")))</f>
        <v>Value not matched</v>
      </c>
      <c r="R307" s="833" t="s">
        <v>213</v>
      </c>
      <c r="S307" s="834" t="str">
        <f ca="1">IF(G307&lt;0.6, "IS 14650 CPS 10748/GR2", "IS 14650 CPS 10748/GR3")</f>
        <v>IS 14650 CPS 10748/GR2</v>
      </c>
      <c r="T307" s="831" t="s">
        <v>769</v>
      </c>
      <c r="U307" s="825"/>
      <c r="V307" s="826"/>
      <c r="W307" s="206">
        <f>Prod.!B172</f>
        <v>0</v>
      </c>
      <c r="X307" s="469">
        <f>Prod.!C172</f>
        <v>0</v>
      </c>
      <c r="Y307" s="469">
        <f>Prod.!D172</f>
        <v>0</v>
      </c>
      <c r="Z307" s="469">
        <f>Prod.!E172</f>
        <v>0</v>
      </c>
      <c r="AA307" s="282">
        <f>Prod.!F172</f>
        <v>0</v>
      </c>
      <c r="AB307" s="282">
        <f>Prod.!G172</f>
        <v>0</v>
      </c>
      <c r="AC307" s="836">
        <f>Prod.!H172</f>
        <v>0</v>
      </c>
      <c r="AD307" s="282">
        <f>Prod.!AB172</f>
        <v>0</v>
      </c>
      <c r="AE307" s="282">
        <f>AD307-AF307</f>
        <v>0</v>
      </c>
      <c r="AF307" s="282">
        <f>Prod.!AA172</f>
        <v>0</v>
      </c>
    </row>
    <row r="308" spans="1:32" ht="15" customHeight="1">
      <c r="A308" s="1435">
        <v>8</v>
      </c>
      <c r="B308" s="818">
        <f>W309</f>
        <v>0</v>
      </c>
      <c r="C308" s="819" t="s">
        <v>765</v>
      </c>
      <c r="D308" s="822"/>
      <c r="E308" s="822"/>
      <c r="F308" s="821">
        <f ca="1">F309 + (RAND() * 0.02 - 0.01)</f>
        <v>2.579866239427504E-3</v>
      </c>
      <c r="G308" s="821">
        <f ca="1">G309 + (RAND() * 0.06 - 0.03)</f>
        <v>0.55455923446693778</v>
      </c>
      <c r="H308" s="822">
        <f ca="1">H309 + (RAND() * 0.006 - 0.003)</f>
        <v>-1.8094541608896372E-3</v>
      </c>
      <c r="I308" s="822">
        <f ca="1">I309 + (RAND() * 0.006 - 0.003)</f>
        <v>-2.5146758176702948E-3</v>
      </c>
      <c r="J308" s="821">
        <f ca="1">J309 + (RAND() * 0.02 - 0.01)</f>
        <v>-3.8006523963406407E-3</v>
      </c>
      <c r="K308" s="821"/>
      <c r="L308" s="822"/>
      <c r="M308" s="821"/>
      <c r="N308" s="823"/>
      <c r="O308" s="823"/>
      <c r="P308" s="823"/>
      <c r="Q308" s="823"/>
      <c r="R308" s="839"/>
      <c r="S308" s="821"/>
      <c r="T308" s="821"/>
      <c r="U308" s="825"/>
      <c r="V308" s="826"/>
    </row>
    <row r="309" spans="1:32" ht="15" customHeight="1">
      <c r="A309" s="1435"/>
      <c r="B309" s="827">
        <f>B308</f>
        <v>0</v>
      </c>
      <c r="C309" s="828" t="s">
        <v>768</v>
      </c>
      <c r="D309" s="829" t="str">
        <f>IF(AC309=130, "130 × 130", IF(AC309=160, "160 × 160", IF(AC309=110, "110 × 110", "Value not 130, 160, or 110")))</f>
        <v>Value not 130, 160, or 110</v>
      </c>
      <c r="E309" s="830">
        <f>AD309</f>
        <v>0</v>
      </c>
      <c r="F309" s="831">
        <f ca="1">IF(X309 &gt; 0.1, RAND() * (0.1 - 0.06) + 0.06, X309)</f>
        <v>0</v>
      </c>
      <c r="G309" s="831">
        <f ca="1">IF(Y309 &lt; 0.5, 0.5 + RAND() * 0.1, Y309)</f>
        <v>0.56881380274478244</v>
      </c>
      <c r="H309" s="830">
        <f ca="1">IF(AB309&gt;0.04, 0.029 + (0.039-0.029)*RAND(), AB309)</f>
        <v>0</v>
      </c>
      <c r="I309" s="830">
        <f ca="1">IF(AA309&gt;0.04, 0.029 + (0.039-0.029)*RAND(), AA309)</f>
        <v>0</v>
      </c>
      <c r="J309" s="831">
        <f ca="1">IF(Z309&gt;0.15, 0.11 + (0.15-0.11) * RAND(), Z309)</f>
        <v>0</v>
      </c>
      <c r="K309" s="830">
        <f ca="1">0.004 + (RAND() * (0.001 - 0.004))</f>
        <v>2.8295736347771399E-3</v>
      </c>
      <c r="L309" s="830">
        <f ca="1">H309+I309</f>
        <v>0</v>
      </c>
      <c r="M309" s="831">
        <f ca="1">(G309/6)+F309</f>
        <v>9.480230045746374E-2</v>
      </c>
      <c r="N309" s="831">
        <f ca="1">2 + RAND()</f>
        <v>2.6083842184626396</v>
      </c>
      <c r="O309" s="831">
        <f ca="1">1 + RAND()</f>
        <v>1.7766240947360501</v>
      </c>
      <c r="P309" s="831">
        <f ca="1">2.98 + (RAND() * (3.03 - 2.98))</f>
        <v>2.9950591690533717</v>
      </c>
      <c r="Q309" s="832" t="str">
        <f ca="1">IF(D309="130 × 130", (130 + RANDBETWEEN(-1,1)) &amp; " × " &amp; (130 + RANDBETWEEN(-1,1)),
   IF(D309="160 × 160", (160 + RANDBETWEEN(-1,1)) &amp; " × " &amp; (160 + RANDBETWEEN(-1,1)),
   IF(D309="110 × 110", (110 + RANDBETWEEN(-1,1)) &amp; " × " &amp; (110 + RANDBETWEEN(-1,1)),
   "Value not matched")))</f>
        <v>Value not matched</v>
      </c>
      <c r="R309" s="833" t="s">
        <v>213</v>
      </c>
      <c r="S309" s="834" t="str">
        <f ca="1">IF(G309&lt;0.6, "IS 14650 CPS 10748/GR2", "IS 14650 CPS 10748/GR3")</f>
        <v>IS 14650 CPS 10748/GR2</v>
      </c>
      <c r="T309" s="831" t="s">
        <v>769</v>
      </c>
      <c r="U309" s="825"/>
      <c r="V309" s="826"/>
      <c r="W309" s="206">
        <f>Prod.!B173</f>
        <v>0</v>
      </c>
      <c r="X309" s="469">
        <f>Prod.!C173</f>
        <v>0</v>
      </c>
      <c r="Y309" s="469">
        <f>Prod.!D173</f>
        <v>0</v>
      </c>
      <c r="Z309" s="469">
        <f>Prod.!E173</f>
        <v>0</v>
      </c>
      <c r="AA309" s="282">
        <f>Prod.!F173</f>
        <v>0</v>
      </c>
      <c r="AB309" s="282">
        <f>Prod.!G173</f>
        <v>0</v>
      </c>
      <c r="AC309" s="836">
        <f>Prod.!H173</f>
        <v>0</v>
      </c>
      <c r="AD309" s="282">
        <f>Prod.!AB173</f>
        <v>0</v>
      </c>
      <c r="AE309" s="282">
        <f>AD309-AF309</f>
        <v>0</v>
      </c>
      <c r="AF309" s="282">
        <f>Prod.!AA173</f>
        <v>0</v>
      </c>
    </row>
    <row r="310" spans="1:32" ht="15" customHeight="1">
      <c r="A310" s="1435">
        <v>9</v>
      </c>
      <c r="B310" s="818">
        <f>W311</f>
        <v>0</v>
      </c>
      <c r="C310" s="819" t="s">
        <v>765</v>
      </c>
      <c r="D310" s="822"/>
      <c r="E310" s="822"/>
      <c r="F310" s="821">
        <f ca="1">F311 + (RAND() * 0.02 - 0.01)</f>
        <v>2.4287462790054636E-4</v>
      </c>
      <c r="G310" s="821">
        <f ca="1">G311 + (RAND() * 0.06 - 0.03)</f>
        <v>0.54682913447762993</v>
      </c>
      <c r="H310" s="822">
        <f ca="1">H311 + (RAND() * 0.006 - 0.003)</f>
        <v>-2.2565784934354492E-3</v>
      </c>
      <c r="I310" s="822">
        <f ca="1">I311 + (RAND() * 0.006 - 0.003)</f>
        <v>-9.2230890051759077E-4</v>
      </c>
      <c r="J310" s="821">
        <f ca="1">J311 + (RAND() * 0.02 - 0.01)</f>
        <v>-1.1662100028264101E-4</v>
      </c>
      <c r="K310" s="821"/>
      <c r="L310" s="822"/>
      <c r="M310" s="821"/>
      <c r="N310" s="823"/>
      <c r="O310" s="823"/>
      <c r="P310" s="823"/>
      <c r="Q310" s="823"/>
      <c r="R310" s="839"/>
      <c r="S310" s="821"/>
      <c r="T310" s="821"/>
      <c r="U310" s="825"/>
      <c r="V310" s="826"/>
    </row>
    <row r="311" spans="1:32" ht="15" customHeight="1">
      <c r="A311" s="1435"/>
      <c r="B311" s="827">
        <f>B310</f>
        <v>0</v>
      </c>
      <c r="C311" s="828" t="s">
        <v>768</v>
      </c>
      <c r="D311" s="829" t="str">
        <f>IF(AC311=130, "130 × 130", IF(AC311=160, "160 × 160", IF(AC311=110, "110 × 110", "Value not 130, 160, or 110")))</f>
        <v>Value not 130, 160, or 110</v>
      </c>
      <c r="E311" s="830">
        <f>AD311</f>
        <v>0</v>
      </c>
      <c r="F311" s="831">
        <f ca="1">IF(X311 &gt; 0.1, RAND() * (0.1 - 0.06) + 0.06, X311)</f>
        <v>0</v>
      </c>
      <c r="G311" s="831">
        <f ca="1">IF(Y311 &lt; 0.5, 0.5 + RAND() * 0.1, Y311)</f>
        <v>0.53017209387104869</v>
      </c>
      <c r="H311" s="830">
        <f ca="1">IF(AB311&gt;0.04, 0.029 + (0.039-0.029)*RAND(), AB311)</f>
        <v>0</v>
      </c>
      <c r="I311" s="830">
        <f ca="1">IF(AA311&gt;0.04, 0.029 + (0.039-0.029)*RAND(), AA311)</f>
        <v>0</v>
      </c>
      <c r="J311" s="831">
        <f ca="1">IF(Z311&gt;0.15, 0.11 + (0.15-0.11) * RAND(), Z311)</f>
        <v>0</v>
      </c>
      <c r="K311" s="830">
        <f ca="1">0.004 + (RAND() * (0.001 - 0.004))</f>
        <v>1.4395077188271281E-3</v>
      </c>
      <c r="L311" s="830">
        <f ca="1">H311+I311</f>
        <v>0</v>
      </c>
      <c r="M311" s="831">
        <f ca="1">(G311/6)+F311</f>
        <v>8.8362015645174777E-2</v>
      </c>
      <c r="N311" s="831">
        <f ca="1">2 + RAND()</f>
        <v>2.8527057115737446</v>
      </c>
      <c r="O311" s="831">
        <f ca="1">1 + RAND()</f>
        <v>1.0310504697978795</v>
      </c>
      <c r="P311" s="831">
        <f ca="1">2.98 + (RAND() * (3.03 - 2.98))</f>
        <v>3.0148549317255902</v>
      </c>
      <c r="Q311" s="832" t="str">
        <f ca="1">IF(D311="130 × 130", (130 + RANDBETWEEN(-1,1)) &amp; " × " &amp; (130 + RANDBETWEEN(-1,1)),
   IF(D311="160 × 160", (160 + RANDBETWEEN(-1,1)) &amp; " × " &amp; (160 + RANDBETWEEN(-1,1)),
   IF(D311="110 × 110", (110 + RANDBETWEEN(-1,1)) &amp; " × " &amp; (110 + RANDBETWEEN(-1,1)),
   "Value not matched")))</f>
        <v>Value not matched</v>
      </c>
      <c r="R311" s="833" t="s">
        <v>213</v>
      </c>
      <c r="S311" s="834" t="str">
        <f ca="1">IF(G311&lt;0.6, "IS 14650 CPS 10748/GR2", "IS 14650 CPS 10748/GR3")</f>
        <v>IS 14650 CPS 10748/GR2</v>
      </c>
      <c r="T311" s="831" t="s">
        <v>769</v>
      </c>
      <c r="U311" s="825"/>
      <c r="V311" s="826"/>
      <c r="W311" s="206">
        <f>Prod.!B174</f>
        <v>0</v>
      </c>
      <c r="X311" s="469">
        <f>Prod.!C174</f>
        <v>0</v>
      </c>
      <c r="Y311" s="469">
        <f>Prod.!D174</f>
        <v>0</v>
      </c>
      <c r="Z311" s="469">
        <f>Prod.!E174</f>
        <v>0</v>
      </c>
      <c r="AA311" s="282">
        <f>Prod.!F174</f>
        <v>0</v>
      </c>
      <c r="AB311" s="282">
        <f>Prod.!G174</f>
        <v>0</v>
      </c>
      <c r="AC311" s="836">
        <f>Prod.!H174</f>
        <v>0</v>
      </c>
      <c r="AD311" s="282">
        <f>Prod.!AB174</f>
        <v>0</v>
      </c>
      <c r="AE311" s="282">
        <f>AD311-AF311</f>
        <v>0</v>
      </c>
      <c r="AF311" s="282">
        <f>Prod.!AA174</f>
        <v>0</v>
      </c>
    </row>
    <row r="312" spans="1:32" ht="15" customHeight="1">
      <c r="A312" s="1435">
        <v>10</v>
      </c>
      <c r="B312" s="818">
        <f>W313</f>
        <v>0</v>
      </c>
      <c r="C312" s="819" t="s">
        <v>765</v>
      </c>
      <c r="D312" s="822"/>
      <c r="E312" s="822"/>
      <c r="F312" s="821">
        <f ca="1">F313 + (RAND() * 0.02 - 0.01)</f>
        <v>4.8029362084218395E-3</v>
      </c>
      <c r="G312" s="821">
        <f ca="1">G313 + (RAND() * 0.06 - 0.03)</f>
        <v>0.60218163839269667</v>
      </c>
      <c r="H312" s="822">
        <f ca="1">H313 + (RAND() * 0.006 - 0.003)</f>
        <v>1.7054479492066392E-3</v>
      </c>
      <c r="I312" s="822">
        <f ca="1">I313 + (RAND() * 0.006 - 0.003)</f>
        <v>2.4831984178445704E-3</v>
      </c>
      <c r="J312" s="821">
        <f ca="1">J313 + (RAND() * 0.02 - 0.01)</f>
        <v>-5.1764538588833413E-3</v>
      </c>
      <c r="K312" s="821"/>
      <c r="L312" s="822"/>
      <c r="M312" s="821"/>
      <c r="N312" s="823"/>
      <c r="O312" s="823"/>
      <c r="P312" s="823"/>
      <c r="Q312" s="823"/>
      <c r="R312" s="839"/>
      <c r="S312" s="821"/>
      <c r="T312" s="821"/>
      <c r="U312" s="825"/>
      <c r="V312" s="826"/>
    </row>
    <row r="313" spans="1:32" ht="15" customHeight="1">
      <c r="A313" s="1435"/>
      <c r="B313" s="827">
        <f>B312</f>
        <v>0</v>
      </c>
      <c r="C313" s="828" t="s">
        <v>768</v>
      </c>
      <c r="D313" s="829" t="str">
        <f>IF(AC313=130, "130 × 130", IF(AC313=160, "160 × 160", IF(AC313=110, "110 × 110", "Value not 130, 160, or 110")))</f>
        <v>Value not 130, 160, or 110</v>
      </c>
      <c r="E313" s="830">
        <f>AD313</f>
        <v>0</v>
      </c>
      <c r="F313" s="831">
        <f ca="1">IF(X313 &gt; 0.1, RAND() * (0.1 - 0.06) + 0.06, X313)</f>
        <v>0</v>
      </c>
      <c r="G313" s="831">
        <f ca="1">IF(Y313 &lt; 0.5, 0.5 + RAND() * 0.1, Y313)</f>
        <v>0.58497181143456012</v>
      </c>
      <c r="H313" s="830">
        <f ca="1">IF(AB313&gt;0.04, 0.029 + (0.039-0.029)*RAND(), AB313)</f>
        <v>0</v>
      </c>
      <c r="I313" s="830">
        <f ca="1">IF(AA313&gt;0.04, 0.029 + (0.039-0.029)*RAND(), AA313)</f>
        <v>0</v>
      </c>
      <c r="J313" s="831">
        <f ca="1">IF(Z313&gt;0.15, 0.11 + (0.15-0.11) * RAND(), Z313)</f>
        <v>0</v>
      </c>
      <c r="K313" s="830">
        <f ca="1">0.004 + (RAND() * (0.001 - 0.004))</f>
        <v>1.2492676102805306E-3</v>
      </c>
      <c r="L313" s="830">
        <f ca="1">H313+I313</f>
        <v>0</v>
      </c>
      <c r="M313" s="831">
        <f ca="1">(G313/6)+F313</f>
        <v>9.7495301905760015E-2</v>
      </c>
      <c r="N313" s="831">
        <f ca="1">2 + RAND()</f>
        <v>2.2379089789297302</v>
      </c>
      <c r="O313" s="831">
        <f ca="1">1 + RAND()</f>
        <v>1.9857238394614152</v>
      </c>
      <c r="P313" s="831">
        <f ca="1">2.98 + (RAND() * (3.03 - 2.98))</f>
        <v>3.0003408466858312</v>
      </c>
      <c r="Q313" s="832" t="str">
        <f ca="1">IF(D313="130 × 130", (130 + RANDBETWEEN(-1,1)) &amp; " × " &amp; (130 + RANDBETWEEN(-1,1)),
   IF(D313="160 × 160", (160 + RANDBETWEEN(-1,1)) &amp; " × " &amp; (160 + RANDBETWEEN(-1,1)),
   IF(D313="110 × 110", (110 + RANDBETWEEN(-1,1)) &amp; " × " &amp; (110 + RANDBETWEEN(-1,1)),
   "Value not matched")))</f>
        <v>Value not matched</v>
      </c>
      <c r="R313" s="833" t="s">
        <v>213</v>
      </c>
      <c r="S313" s="834" t="str">
        <f ca="1">IF(G313&lt;0.6, "IS 14650 CPS 10748/GR2", "IS 14650 CPS 10748/GR3")</f>
        <v>IS 14650 CPS 10748/GR2</v>
      </c>
      <c r="T313" s="831" t="s">
        <v>769</v>
      </c>
      <c r="U313" s="825"/>
      <c r="V313" s="826"/>
      <c r="W313" s="206">
        <f>Prod.!B175</f>
        <v>0</v>
      </c>
      <c r="X313" s="469">
        <f>Prod.!C175</f>
        <v>0</v>
      </c>
      <c r="Y313" s="469">
        <f>Prod.!D175</f>
        <v>0</v>
      </c>
      <c r="Z313" s="469">
        <f>Prod.!E175</f>
        <v>0</v>
      </c>
      <c r="AA313" s="282">
        <f>Prod.!F175</f>
        <v>0</v>
      </c>
      <c r="AB313" s="282">
        <f>Prod.!G175</f>
        <v>0</v>
      </c>
      <c r="AC313" s="836">
        <f>Prod.!H175</f>
        <v>0</v>
      </c>
      <c r="AD313" s="282">
        <f>Prod.!AB175</f>
        <v>0</v>
      </c>
      <c r="AE313" s="282">
        <f>AD313-AF313</f>
        <v>0</v>
      </c>
      <c r="AF313" s="282">
        <f>Prod.!AA175</f>
        <v>0</v>
      </c>
    </row>
    <row r="314" spans="1:32" ht="15" customHeight="1">
      <c r="A314" s="1435">
        <v>11</v>
      </c>
      <c r="B314" s="818">
        <f>W315</f>
        <v>0</v>
      </c>
      <c r="C314" s="819" t="s">
        <v>765</v>
      </c>
      <c r="D314" s="822"/>
      <c r="E314" s="822"/>
      <c r="F314" s="821">
        <f ca="1">F315 + (RAND() * 0.02 - 0.01)</f>
        <v>1.0754267654050076E-3</v>
      </c>
      <c r="G314" s="821">
        <f ca="1">G315 + (RAND() * 0.06 - 0.03)</f>
        <v>0.55651456176633918</v>
      </c>
      <c r="H314" s="822">
        <f ca="1">H315 + (RAND() * 0.006 - 0.003)</f>
        <v>-5.2298961665578E-4</v>
      </c>
      <c r="I314" s="822">
        <f ca="1">I315 + (RAND() * 0.006 - 0.003)</f>
        <v>-2.6084644190164977E-3</v>
      </c>
      <c r="J314" s="821">
        <f ca="1">J315 + (RAND() * 0.02 - 0.01)</f>
        <v>-2.3884793020831638E-3</v>
      </c>
      <c r="K314" s="821"/>
      <c r="L314" s="822"/>
      <c r="M314" s="821"/>
      <c r="N314" s="823"/>
      <c r="O314" s="823"/>
      <c r="P314" s="823"/>
      <c r="Q314" s="823"/>
      <c r="R314" s="839"/>
      <c r="S314" s="821"/>
      <c r="T314" s="821"/>
      <c r="U314" s="825"/>
      <c r="V314" s="826"/>
    </row>
    <row r="315" spans="1:32" ht="15" customHeight="1">
      <c r="A315" s="1435"/>
      <c r="B315" s="827">
        <f>B314</f>
        <v>0</v>
      </c>
      <c r="C315" s="828" t="s">
        <v>768</v>
      </c>
      <c r="D315" s="829" t="str">
        <f>IF(AC315=130, "130 × 130", IF(AC315=160, "160 × 160", IF(AC315=110, "110 × 110", "Value not 130, 160, or 110")))</f>
        <v>Value not 130, 160, or 110</v>
      </c>
      <c r="E315" s="830">
        <f>AD315</f>
        <v>0</v>
      </c>
      <c r="F315" s="831">
        <f ca="1">IF(X315 &gt; 0.1, RAND() * (0.1 - 0.06) + 0.06, X315)</f>
        <v>0</v>
      </c>
      <c r="G315" s="831">
        <f ca="1">IF(Y315 &lt; 0.5, 0.5 + RAND() * 0.1, Y315)</f>
        <v>0.52734488391239875</v>
      </c>
      <c r="H315" s="830">
        <f ca="1">IF(AB315&gt;0.04, 0.029 + (0.039-0.029)*RAND(), AB315)</f>
        <v>0</v>
      </c>
      <c r="I315" s="830">
        <f ca="1">IF(AA315&gt;0.04, 0.029 + (0.039-0.029)*RAND(), AA315)</f>
        <v>0</v>
      </c>
      <c r="J315" s="831">
        <f ca="1">IF(Z315&gt;0.15, 0.11 + (0.15-0.11) * RAND(), Z315)</f>
        <v>0</v>
      </c>
      <c r="K315" s="830">
        <f ca="1">0.004 + (RAND() * (0.001 - 0.004))</f>
        <v>3.4879781330333336E-3</v>
      </c>
      <c r="L315" s="830">
        <f ca="1">H315+I315</f>
        <v>0</v>
      </c>
      <c r="M315" s="831">
        <f ca="1">(G315/6)+F315</f>
        <v>8.7890813985399788E-2</v>
      </c>
      <c r="N315" s="831">
        <f ca="1">2 + RAND()</f>
        <v>2.6166865849840955</v>
      </c>
      <c r="O315" s="831">
        <f ca="1">1 + RAND()</f>
        <v>1.6763294326576279</v>
      </c>
      <c r="P315" s="831">
        <f ca="1">2.98 + (RAND() * (3.03 - 2.98))</f>
        <v>2.9907860944905589</v>
      </c>
      <c r="Q315" s="832" t="str">
        <f ca="1">IF(D315="130 × 130", (130 + RANDBETWEEN(-1,1)) &amp; " × " &amp; (130 + RANDBETWEEN(-1,1)),
   IF(D315="160 × 160", (160 + RANDBETWEEN(-1,1)) &amp; " × " &amp; (160 + RANDBETWEEN(-1,1)),
   IF(D315="110 × 110", (110 + RANDBETWEEN(-1,1)) &amp; " × " &amp; (110 + RANDBETWEEN(-1,1)),
   "Value not matched")))</f>
        <v>Value not matched</v>
      </c>
      <c r="R315" s="833" t="s">
        <v>213</v>
      </c>
      <c r="S315" s="834" t="str">
        <f ca="1">IF(G315&lt;0.6, "IS 14650 CPS 10748/GR2", "IS 14650 CPS 10748/GR3")</f>
        <v>IS 14650 CPS 10748/GR2</v>
      </c>
      <c r="T315" s="831" t="s">
        <v>769</v>
      </c>
      <c r="U315" s="825"/>
      <c r="V315" s="826"/>
      <c r="W315" s="206">
        <f>Prod.!B176</f>
        <v>0</v>
      </c>
      <c r="X315" s="469">
        <f>Prod.!C176</f>
        <v>0</v>
      </c>
      <c r="Y315" s="469">
        <f>Prod.!D176</f>
        <v>0</v>
      </c>
      <c r="Z315" s="469">
        <f>Prod.!E176</f>
        <v>0</v>
      </c>
      <c r="AA315" s="282">
        <f>Prod.!F176</f>
        <v>0</v>
      </c>
      <c r="AB315" s="282">
        <f>Prod.!G176</f>
        <v>0</v>
      </c>
      <c r="AC315" s="836">
        <f>Prod.!H176</f>
        <v>0</v>
      </c>
      <c r="AD315" s="282">
        <f>Prod.!AB176</f>
        <v>0</v>
      </c>
      <c r="AE315" s="282">
        <f>AD315-AF315</f>
        <v>0</v>
      </c>
      <c r="AF315" s="282">
        <f>Prod.!AA176</f>
        <v>0</v>
      </c>
    </row>
    <row r="316" spans="1:32" ht="15" customHeight="1">
      <c r="A316" s="1435">
        <v>12</v>
      </c>
      <c r="B316" s="818">
        <f>W317</f>
        <v>0</v>
      </c>
      <c r="C316" s="819" t="s">
        <v>765</v>
      </c>
      <c r="D316" s="822"/>
      <c r="E316" s="822"/>
      <c r="F316" s="821">
        <f ca="1">F317 + (RAND() * 0.02 - 0.01)</f>
        <v>-5.9104344667366181E-3</v>
      </c>
      <c r="G316" s="821">
        <f ca="1">G317 + (RAND() * 0.06 - 0.03)</f>
        <v>0.50940533478755234</v>
      </c>
      <c r="H316" s="822">
        <f ca="1">H317 + (RAND() * 0.006 - 0.003)</f>
        <v>4.966813612368808E-4</v>
      </c>
      <c r="I316" s="822">
        <f ca="1">I317 + (RAND() * 0.006 - 0.003)</f>
        <v>1.8122780092080272E-3</v>
      </c>
      <c r="J316" s="821">
        <f ca="1">J317 + (RAND() * 0.02 - 0.01)</f>
        <v>-6.1148095444366404E-4</v>
      </c>
      <c r="K316" s="821"/>
      <c r="L316" s="822"/>
      <c r="M316" s="821"/>
      <c r="N316" s="823"/>
      <c r="O316" s="823"/>
      <c r="P316" s="823"/>
      <c r="Q316" s="823"/>
      <c r="R316" s="839"/>
      <c r="S316" s="821"/>
      <c r="T316" s="821"/>
      <c r="U316" s="825"/>
      <c r="V316" s="826"/>
    </row>
    <row r="317" spans="1:32" ht="15" customHeight="1">
      <c r="A317" s="1435"/>
      <c r="B317" s="827">
        <f>B316</f>
        <v>0</v>
      </c>
      <c r="C317" s="828" t="s">
        <v>768</v>
      </c>
      <c r="D317" s="829" t="str">
        <f>IF(AC317=130, "130 × 130", IF(AC317=160, "160 × 160", IF(AC317=110, "110 × 110", "Value not 130, 160, or 110")))</f>
        <v>Value not 130, 160, or 110</v>
      </c>
      <c r="E317" s="830">
        <f>AD317</f>
        <v>0</v>
      </c>
      <c r="F317" s="831">
        <f ca="1">IF(X317 &gt; 0.1, RAND() * (0.1 - 0.06) + 0.06, X317)</f>
        <v>0</v>
      </c>
      <c r="G317" s="831">
        <f ca="1">IF(Y317 &lt; 0.5, 0.5 + RAND() * 0.1, Y317)</f>
        <v>0.52657240723880294</v>
      </c>
      <c r="H317" s="830">
        <f ca="1">IF(AB317&gt;0.04, 0.029 + (0.039-0.029)*RAND(), AB317)</f>
        <v>0</v>
      </c>
      <c r="I317" s="830">
        <f ca="1">IF(AA317&gt;0.04, 0.029 + (0.039-0.029)*RAND(), AA317)</f>
        <v>0</v>
      </c>
      <c r="J317" s="831">
        <f ca="1">IF(Z317&gt;0.15, 0.11 + (0.15-0.11) * RAND(), Z317)</f>
        <v>0</v>
      </c>
      <c r="K317" s="830">
        <f ca="1">0.004 + (RAND() * (0.001 - 0.004))</f>
        <v>3.6144691368444355E-3</v>
      </c>
      <c r="L317" s="830">
        <f ca="1">H317+I317</f>
        <v>0</v>
      </c>
      <c r="M317" s="831">
        <f ca="1">(G317/6)+F317</f>
        <v>8.7762067873133828E-2</v>
      </c>
      <c r="N317" s="831">
        <f ca="1">2 + RAND()</f>
        <v>2.8508310050785157</v>
      </c>
      <c r="O317" s="831">
        <f ca="1">1 + RAND()</f>
        <v>1.2605616972510238</v>
      </c>
      <c r="P317" s="831">
        <f ca="1">2.98 + (RAND() * (3.03 - 2.98))</f>
        <v>2.9993783201292801</v>
      </c>
      <c r="Q317" s="832" t="str">
        <f ca="1">IF(D317="130 × 130", (130 + RANDBETWEEN(-1,1)) &amp; " × " &amp; (130 + RANDBETWEEN(-1,1)),
   IF(D317="160 × 160", (160 + RANDBETWEEN(-1,1)) &amp; " × " &amp; (160 + RANDBETWEEN(-1,1)),
   IF(D317="110 × 110", (110 + RANDBETWEEN(-1,1)) &amp; " × " &amp; (110 + RANDBETWEEN(-1,1)),
   "Value not matched")))</f>
        <v>Value not matched</v>
      </c>
      <c r="R317" s="833" t="s">
        <v>213</v>
      </c>
      <c r="S317" s="834" t="str">
        <f ca="1">IF(G317&lt;0.6, "IS 14650 CPS 10748/GR2", "IS 14650 CPS 10748/GR3")</f>
        <v>IS 14650 CPS 10748/GR2</v>
      </c>
      <c r="T317" s="831" t="s">
        <v>769</v>
      </c>
      <c r="U317" s="825"/>
      <c r="V317" s="826"/>
      <c r="W317" s="206">
        <f>Prod.!B177</f>
        <v>0</v>
      </c>
      <c r="X317" s="469">
        <f>Prod.!C177</f>
        <v>0</v>
      </c>
      <c r="Y317" s="469">
        <f>Prod.!D177</f>
        <v>0</v>
      </c>
      <c r="Z317" s="469">
        <f>Prod.!E177</f>
        <v>0</v>
      </c>
      <c r="AA317" s="282">
        <f>Prod.!F177</f>
        <v>0</v>
      </c>
      <c r="AB317" s="282">
        <f>Prod.!G177</f>
        <v>0</v>
      </c>
      <c r="AC317" s="836">
        <f>Prod.!H177</f>
        <v>0</v>
      </c>
      <c r="AD317" s="282">
        <f>Prod.!AB177</f>
        <v>0</v>
      </c>
      <c r="AE317" s="282">
        <f>AD317-AF317</f>
        <v>0</v>
      </c>
      <c r="AF317" s="282">
        <f>Prod.!AA177</f>
        <v>0</v>
      </c>
    </row>
    <row r="318" spans="1:32" ht="15" customHeight="1">
      <c r="A318" s="1435"/>
      <c r="B318" s="818"/>
      <c r="C318" s="819"/>
      <c r="D318" s="822"/>
      <c r="E318" s="822"/>
      <c r="F318" s="821"/>
      <c r="G318" s="821"/>
      <c r="H318" s="840"/>
      <c r="I318" s="840"/>
      <c r="J318" s="821"/>
      <c r="K318" s="821"/>
      <c r="L318" s="822"/>
      <c r="M318" s="838"/>
      <c r="N318" s="821"/>
      <c r="O318" s="821"/>
      <c r="P318" s="821"/>
      <c r="Q318" s="821"/>
      <c r="R318" s="839"/>
      <c r="S318" s="841"/>
      <c r="T318" s="821"/>
      <c r="U318" s="825"/>
      <c r="V318" s="826"/>
    </row>
    <row r="319" spans="1:32" ht="15" customHeight="1">
      <c r="A319" s="1435"/>
      <c r="B319" s="827"/>
      <c r="C319" s="828"/>
      <c r="D319" s="842"/>
      <c r="E319" s="830"/>
      <c r="F319" s="831"/>
      <c r="G319" s="831"/>
      <c r="H319" s="843"/>
      <c r="I319" s="843"/>
      <c r="J319" s="831"/>
      <c r="K319" s="831"/>
      <c r="L319" s="830"/>
      <c r="M319" s="831"/>
      <c r="N319" s="831"/>
      <c r="O319" s="831"/>
      <c r="P319" s="831"/>
      <c r="Q319" s="831"/>
      <c r="R319" s="833"/>
      <c r="S319" s="834"/>
      <c r="T319" s="831"/>
      <c r="U319" s="825"/>
      <c r="V319" s="826"/>
    </row>
    <row r="320" spans="1:32" ht="15" customHeight="1">
      <c r="A320" s="180"/>
      <c r="B320" s="180"/>
      <c r="C320" s="180" t="s">
        <v>770</v>
      </c>
      <c r="D320" s="395"/>
      <c r="E320" s="844">
        <f>SUM(E294:E317)</f>
        <v>0</v>
      </c>
      <c r="F320" s="180"/>
      <c r="G320" s="180"/>
      <c r="H320" s="844"/>
      <c r="I320" s="180"/>
      <c r="J320" s="845"/>
      <c r="K320" s="845"/>
      <c r="L320" s="180"/>
      <c r="M320" s="845"/>
      <c r="N320" s="180"/>
      <c r="O320" s="180"/>
      <c r="P320" s="180"/>
      <c r="Q320" s="180"/>
      <c r="R320" s="263"/>
      <c r="S320" s="180"/>
      <c r="T320" s="180"/>
    </row>
    <row r="321" spans="1:32" ht="28.5" customHeight="1">
      <c r="A321" s="1436" t="s">
        <v>746</v>
      </c>
      <c r="B321" s="1436"/>
      <c r="C321" s="1436"/>
      <c r="D321" s="1436"/>
      <c r="E321" s="1436"/>
      <c r="F321" s="1436"/>
      <c r="G321" s="1436"/>
      <c r="H321" s="1436"/>
      <c r="I321" s="1436"/>
      <c r="J321" s="1436"/>
      <c r="K321" s="1436"/>
      <c r="L321" s="1436"/>
      <c r="M321" s="1436"/>
      <c r="N321" s="1436"/>
      <c r="O321" s="1436"/>
      <c r="P321" s="1436"/>
      <c r="Q321" s="1436"/>
      <c r="R321" s="1436"/>
      <c r="S321" s="1436"/>
      <c r="T321" s="1436"/>
      <c r="U321" s="515"/>
      <c r="V321" s="846"/>
    </row>
    <row r="322" spans="1:32" ht="15" customHeight="1">
      <c r="A322" s="1437" t="s">
        <v>747</v>
      </c>
      <c r="B322" s="1437"/>
      <c r="C322" s="1437"/>
      <c r="D322" s="1437"/>
      <c r="E322" s="1437"/>
      <c r="F322" s="1437"/>
      <c r="G322" s="1437"/>
      <c r="H322" s="1437"/>
      <c r="I322" s="1437"/>
      <c r="J322" s="1437"/>
      <c r="K322" s="1437"/>
      <c r="L322" s="1437"/>
      <c r="M322" s="1437"/>
      <c r="N322" s="1437"/>
      <c r="O322" s="1437"/>
      <c r="P322" s="1437"/>
      <c r="Q322" s="1437"/>
      <c r="R322" s="1437"/>
      <c r="S322" s="1437"/>
      <c r="T322" s="1437"/>
      <c r="U322" s="806"/>
      <c r="V322" s="807"/>
    </row>
    <row r="323" spans="1:32" ht="15" customHeight="1">
      <c r="A323" s="1438" t="str">
        <f>"DATE OF MANUFACTURING : " &amp; TEXT(V327, "DD-MM-YYYY")</f>
        <v>DATE OF MANUFACTURING : 00-01-1900</v>
      </c>
      <c r="B323" s="1438"/>
      <c r="C323" s="1438"/>
      <c r="D323" s="1438"/>
      <c r="E323" s="1438"/>
      <c r="F323" s="1438"/>
      <c r="G323" s="1438"/>
      <c r="H323" s="1438"/>
      <c r="I323" s="1438"/>
      <c r="J323" s="1438"/>
      <c r="K323" s="1438"/>
      <c r="L323" s="1438"/>
      <c r="M323" s="1438"/>
      <c r="N323" s="1437" t="s">
        <v>748</v>
      </c>
      <c r="O323" s="1437"/>
      <c r="P323" s="1437"/>
      <c r="Q323" s="1437"/>
      <c r="R323" s="1437"/>
      <c r="S323" s="1437"/>
      <c r="T323" s="1437"/>
      <c r="U323" s="808"/>
      <c r="V323" s="809"/>
    </row>
    <row r="324" spans="1:32" ht="29.25" customHeight="1">
      <c r="A324" s="1439" t="s">
        <v>749</v>
      </c>
      <c r="B324" s="1440" t="s">
        <v>750</v>
      </c>
      <c r="C324" s="1440"/>
      <c r="D324" s="1440" t="s">
        <v>751</v>
      </c>
      <c r="E324" s="1441" t="s">
        <v>752</v>
      </c>
      <c r="F324" s="1442" t="s">
        <v>753</v>
      </c>
      <c r="G324" s="1442"/>
      <c r="H324" s="1442"/>
      <c r="I324" s="1442"/>
      <c r="J324" s="1442"/>
      <c r="K324" s="1442"/>
      <c r="L324" s="1442"/>
      <c r="M324" s="1442"/>
      <c r="N324" s="1442" t="s">
        <v>754</v>
      </c>
      <c r="O324" s="1442"/>
      <c r="P324" s="1442"/>
      <c r="Q324" s="1442"/>
      <c r="R324" s="1443" t="s">
        <v>771</v>
      </c>
      <c r="S324" s="1441" t="s">
        <v>756</v>
      </c>
      <c r="T324" s="1440" t="s">
        <v>104</v>
      </c>
      <c r="U324" s="810"/>
      <c r="V324" s="811"/>
    </row>
    <row r="325" spans="1:32" ht="42.75" customHeight="1">
      <c r="A325" s="1439"/>
      <c r="B325" s="1440"/>
      <c r="C325" s="1440"/>
      <c r="D325" s="1440"/>
      <c r="E325" s="1440"/>
      <c r="F325" s="812" t="s">
        <v>40</v>
      </c>
      <c r="G325" s="812" t="s">
        <v>757</v>
      </c>
      <c r="H325" s="813" t="s">
        <v>758</v>
      </c>
      <c r="I325" s="812" t="s">
        <v>43</v>
      </c>
      <c r="J325" s="812" t="s">
        <v>42</v>
      </c>
      <c r="K325" s="812" t="s">
        <v>759</v>
      </c>
      <c r="L325" s="812" t="s">
        <v>760</v>
      </c>
      <c r="M325" s="812" t="s">
        <v>761</v>
      </c>
      <c r="N325" s="814" t="s">
        <v>762</v>
      </c>
      <c r="O325" s="815" t="s">
        <v>772</v>
      </c>
      <c r="P325" s="816" t="s">
        <v>773</v>
      </c>
      <c r="Q325" s="817" t="s">
        <v>764</v>
      </c>
      <c r="R325" s="1443"/>
      <c r="S325" s="1443"/>
      <c r="T325" s="1443"/>
      <c r="U325" s="810"/>
      <c r="V325" s="811"/>
    </row>
    <row r="326" spans="1:32" ht="15" customHeight="1">
      <c r="A326" s="1435">
        <v>1</v>
      </c>
      <c r="B326" s="818">
        <f>W327</f>
        <v>0</v>
      </c>
      <c r="C326" s="819" t="s">
        <v>765</v>
      </c>
      <c r="D326" s="820"/>
      <c r="E326" s="821"/>
      <c r="F326" s="821">
        <f ca="1">F327 + (RAND() * 0.02 - 0.01)</f>
        <v>5.7409362102485446E-3</v>
      </c>
      <c r="G326" s="821">
        <f ca="1">G327 + (RAND() * 0.06 - 0.03)</f>
        <v>0.52112462693368644</v>
      </c>
      <c r="H326" s="822">
        <f ca="1">H327 + (RAND() * 0.006 - 0.003)</f>
        <v>-1.7471421986629467E-3</v>
      </c>
      <c r="I326" s="822">
        <f ca="1">I327 + (RAND() * 0.006 - 0.003)</f>
        <v>-2.193953859715889E-3</v>
      </c>
      <c r="J326" s="821">
        <f ca="1">J327 + (RAND() * 0.02 - 0.01)</f>
        <v>-9.1581847765302912E-3</v>
      </c>
      <c r="K326" s="821"/>
      <c r="L326" s="822"/>
      <c r="M326" s="821"/>
      <c r="N326" s="823"/>
      <c r="O326" s="823"/>
      <c r="P326" s="823"/>
      <c r="Q326" s="823"/>
      <c r="R326" s="824"/>
      <c r="S326" s="821"/>
      <c r="T326" s="821"/>
      <c r="U326" s="825"/>
      <c r="V326" s="826"/>
      <c r="AE326" t="s">
        <v>767</v>
      </c>
    </row>
    <row r="327" spans="1:32" ht="15" customHeight="1">
      <c r="A327" s="1435"/>
      <c r="B327" s="827">
        <f>B326</f>
        <v>0</v>
      </c>
      <c r="C327" s="828" t="s">
        <v>768</v>
      </c>
      <c r="D327" s="829" t="str">
        <f>IF(AC327=130, "130 × 130", IF(AC327=160, "160 × 160", IF(AC327=110, "110 × 110", "Value not 130, 160, or 110")))</f>
        <v>Value not 130, 160, or 110</v>
      </c>
      <c r="E327" s="830">
        <f>AD327</f>
        <v>0</v>
      </c>
      <c r="F327" s="831">
        <f ca="1">IF(X327 &gt; 0.1, RAND() * (0.1 - 0.06) + 0.06, X327)</f>
        <v>0</v>
      </c>
      <c r="G327" s="831">
        <f ca="1">IF(Y327 &lt; 0.5, 0.5 + RAND() * 0.1, Y327)</f>
        <v>0.54920983944753321</v>
      </c>
      <c r="H327" s="830">
        <f ca="1">IF(AB327&gt;0.04, 0.029 + (0.039-0.029)*RAND(), AB327)</f>
        <v>0</v>
      </c>
      <c r="I327" s="830">
        <f ca="1">IF(AA327&gt;0.04, 0.029 + (0.039-0.029)*RAND(), AA327)</f>
        <v>0</v>
      </c>
      <c r="J327" s="831">
        <f ca="1">IF(Z327&gt;0.15, 0.11 + (0.15-0.11) * RAND(), Z327)</f>
        <v>0</v>
      </c>
      <c r="K327" s="830">
        <f ca="1">0.004 + (RAND() * (0.001 - 0.004))</f>
        <v>2.6679951508715057E-3</v>
      </c>
      <c r="L327" s="830">
        <f ca="1">H327+I327</f>
        <v>0</v>
      </c>
      <c r="M327" s="831">
        <f ca="1">(G327/6)+F327</f>
        <v>9.1534973241255535E-2</v>
      </c>
      <c r="N327" s="831">
        <f ca="1">2 + RAND()</f>
        <v>2.959059413000328</v>
      </c>
      <c r="O327" s="831">
        <f ca="1">1 + RAND()</f>
        <v>1.5122648393268578</v>
      </c>
      <c r="P327" s="831">
        <f ca="1">2.98 + (RAND() * (3.03 - 2.98))</f>
        <v>3.0200907136148865</v>
      </c>
      <c r="Q327" s="832" t="str">
        <f ca="1">IF(D327="130 × 130", (130 + RANDBETWEEN(-1,1)) &amp; " × " &amp; (130 + RANDBETWEEN(-1,1)),
   IF(D327="160 × 160", (160 + RANDBETWEEN(-1,1)) &amp; " × " &amp; (160 + RANDBETWEEN(-1,1)),
   IF(D327="110 × 110", (110 + RANDBETWEEN(-1,1)) &amp; " × " &amp; (110 + RANDBETWEEN(-1,1)),
   "Value not matched")))</f>
        <v>Value not matched</v>
      </c>
      <c r="R327" s="833" t="s">
        <v>213</v>
      </c>
      <c r="S327" s="834" t="str">
        <f ca="1">IF(G327&lt;0.6, "IS 14650 CPS 10748/GR2", "IS 14650 CPS 10748/GR3")</f>
        <v>IS 14650 CPS 10748/GR2</v>
      </c>
      <c r="T327" s="831" t="s">
        <v>769</v>
      </c>
      <c r="U327" s="825"/>
      <c r="V327" s="835">
        <f>Prod.!A184</f>
        <v>0</v>
      </c>
      <c r="W327" s="206">
        <f>Prod.!B184</f>
        <v>0</v>
      </c>
      <c r="X327" s="469">
        <f>Prod.!C184</f>
        <v>0</v>
      </c>
      <c r="Y327" s="469">
        <f>Prod.!D184</f>
        <v>0</v>
      </c>
      <c r="Z327" s="469">
        <f>Prod.!E184</f>
        <v>0</v>
      </c>
      <c r="AA327" s="282">
        <f>Prod.!F184</f>
        <v>0</v>
      </c>
      <c r="AB327" s="282">
        <f>Prod.!G184</f>
        <v>0</v>
      </c>
      <c r="AC327" s="836">
        <f>Prod.!H184</f>
        <v>0</v>
      </c>
      <c r="AD327" s="282">
        <f>Prod.!AB184</f>
        <v>0</v>
      </c>
      <c r="AE327" s="282">
        <f>AD327-AF327</f>
        <v>0</v>
      </c>
      <c r="AF327" s="282">
        <f>Prod.!AA184</f>
        <v>0</v>
      </c>
    </row>
    <row r="328" spans="1:32" ht="15" customHeight="1">
      <c r="A328" s="1435">
        <v>2</v>
      </c>
      <c r="B328" s="818">
        <f>W329</f>
        <v>0</v>
      </c>
      <c r="C328" s="819" t="s">
        <v>765</v>
      </c>
      <c r="D328" s="822"/>
      <c r="E328" s="822"/>
      <c r="F328" s="821">
        <f ca="1">F329 + (RAND() * 0.02 - 0.01)</f>
        <v>2.7433871813962087E-3</v>
      </c>
      <c r="G328" s="821">
        <f ca="1">G329 + (RAND() * 0.06 - 0.03)</f>
        <v>0.55054969561370559</v>
      </c>
      <c r="H328" s="822">
        <f ca="1">H329 + (RAND() * 0.006 - 0.003)</f>
        <v>1.3156298218044721E-5</v>
      </c>
      <c r="I328" s="822">
        <f ca="1">I329 + (RAND() * 0.006 - 0.003)</f>
        <v>-1.0668238262998375E-3</v>
      </c>
      <c r="J328" s="821">
        <f ca="1">J329 + (RAND() * 0.02 - 0.01)</f>
        <v>-5.8361446157414992E-3</v>
      </c>
      <c r="K328" s="821"/>
      <c r="L328" s="822"/>
      <c r="M328" s="821"/>
      <c r="N328" s="823"/>
      <c r="O328" s="823"/>
      <c r="P328" s="823"/>
      <c r="Q328" s="823"/>
      <c r="R328" s="837"/>
      <c r="S328" s="821"/>
      <c r="T328" s="838"/>
      <c r="U328" s="825"/>
      <c r="V328" s="826"/>
    </row>
    <row r="329" spans="1:32" ht="15" customHeight="1">
      <c r="A329" s="1435"/>
      <c r="B329" s="827">
        <f>B328</f>
        <v>0</v>
      </c>
      <c r="C329" s="828" t="s">
        <v>768</v>
      </c>
      <c r="D329" s="829" t="str">
        <f>IF(AC329=130, "130 × 130", IF(AC329=160, "160 × 160", IF(AC329=110, "110 × 110", "Value not 130, 160, or 110")))</f>
        <v>Value not 130, 160, or 110</v>
      </c>
      <c r="E329" s="830">
        <f>AD329</f>
        <v>0</v>
      </c>
      <c r="F329" s="831">
        <f ca="1">IF(X329 &gt; 0.1, RAND() * (0.1 - 0.06) + 0.06, X329)</f>
        <v>0</v>
      </c>
      <c r="G329" s="831">
        <f ca="1">IF(Y329 &lt; 0.5, 0.5 + RAND() * 0.1, Y329)</f>
        <v>0.52121070898839872</v>
      </c>
      <c r="H329" s="830">
        <f ca="1">IF(AB329&gt;0.04, 0.029 + (0.039-0.029)*RAND(), AB329)</f>
        <v>0</v>
      </c>
      <c r="I329" s="830">
        <f ca="1">IF(AA329&gt;0.04, 0.029 + (0.039-0.029)*RAND(), AA329)</f>
        <v>0</v>
      </c>
      <c r="J329" s="831">
        <f ca="1">IF(Z329&gt;0.15, 0.11 + (0.15-0.11) * RAND(), Z329)</f>
        <v>0</v>
      </c>
      <c r="K329" s="830">
        <f ca="1">0.004 + (RAND() * (0.001 - 0.004))</f>
        <v>2.3819990023747637E-3</v>
      </c>
      <c r="L329" s="830">
        <f ca="1">H329+I329</f>
        <v>0</v>
      </c>
      <c r="M329" s="831">
        <f ca="1">(G329/6)+F329</f>
        <v>8.6868451498066449E-2</v>
      </c>
      <c r="N329" s="831">
        <f ca="1">2 + RAND()</f>
        <v>2.2545378320275229</v>
      </c>
      <c r="O329" s="831">
        <f ca="1">1 + RAND()</f>
        <v>1.157701633255956</v>
      </c>
      <c r="P329" s="831">
        <f ca="1">2.98 + (RAND() * (3.03 - 2.98))</f>
        <v>3.0022536484351723</v>
      </c>
      <c r="Q329" s="832" t="str">
        <f ca="1">IF(D329="130 × 130", (130 + RANDBETWEEN(-1,1)) &amp; " × " &amp; (130 + RANDBETWEEN(-1,1)),
   IF(D329="160 × 160", (160 + RANDBETWEEN(-1,1)) &amp; " × " &amp; (160 + RANDBETWEEN(-1,1)),
   IF(D329="110 × 110", (110 + RANDBETWEEN(-1,1)) &amp; " × " &amp; (110 + RANDBETWEEN(-1,1)),
   "Value not matched")))</f>
        <v>Value not matched</v>
      </c>
      <c r="R329" s="833" t="s">
        <v>213</v>
      </c>
      <c r="S329" s="834" t="str">
        <f ca="1">IF(G329&lt;0.6, "IS 14650 CPS 10748/GR2", "IS 14650 CPS 10748/GR3")</f>
        <v>IS 14650 CPS 10748/GR2</v>
      </c>
      <c r="T329" s="831" t="s">
        <v>769</v>
      </c>
      <c r="U329" s="825"/>
      <c r="V329" s="826"/>
      <c r="W329" s="206">
        <f>Prod.!B185</f>
        <v>0</v>
      </c>
      <c r="X329" s="469">
        <f>Prod.!C185</f>
        <v>0</v>
      </c>
      <c r="Y329" s="469">
        <f>Prod.!D185</f>
        <v>0</v>
      </c>
      <c r="Z329" s="469">
        <f>Prod.!E185</f>
        <v>0</v>
      </c>
      <c r="AA329" s="282">
        <f>Prod.!F185</f>
        <v>0</v>
      </c>
      <c r="AB329" s="282">
        <f>Prod.!G185</f>
        <v>0</v>
      </c>
      <c r="AC329" s="836">
        <f>Prod.!H185</f>
        <v>0</v>
      </c>
      <c r="AD329" s="282">
        <f>Prod.!AB185</f>
        <v>0</v>
      </c>
      <c r="AE329" s="282">
        <f>AD329-AF329</f>
        <v>0</v>
      </c>
      <c r="AF329" s="282">
        <f>Prod.!AA185</f>
        <v>0</v>
      </c>
    </row>
    <row r="330" spans="1:32" ht="15" customHeight="1">
      <c r="A330" s="1435">
        <v>3</v>
      </c>
      <c r="B330" s="818">
        <f>W331</f>
        <v>0</v>
      </c>
      <c r="C330" s="819" t="s">
        <v>765</v>
      </c>
      <c r="D330" s="822"/>
      <c r="E330" s="822"/>
      <c r="F330" s="821">
        <f ca="1">F331 + (RAND() * 0.02 - 0.01)</f>
        <v>5.0079239928267107E-3</v>
      </c>
      <c r="G330" s="821">
        <f ca="1">G331 + (RAND() * 0.06 - 0.03)</f>
        <v>0.50248652148095907</v>
      </c>
      <c r="H330" s="822">
        <f ca="1">H331 + (RAND() * 0.006 - 0.003)</f>
        <v>1.8632462608868501E-3</v>
      </c>
      <c r="I330" s="822">
        <f ca="1">I331 + (RAND() * 0.006 - 0.003)</f>
        <v>-1.7705508340949616E-3</v>
      </c>
      <c r="J330" s="821">
        <f ca="1">J331 + (RAND() * 0.02 - 0.01)</f>
        <v>5.1425008624238783E-3</v>
      </c>
      <c r="K330" s="821"/>
      <c r="L330" s="822"/>
      <c r="M330" s="821"/>
      <c r="N330" s="823"/>
      <c r="O330" s="823"/>
      <c r="P330" s="823"/>
      <c r="Q330" s="823"/>
      <c r="R330" s="839"/>
      <c r="S330" s="821"/>
      <c r="T330" s="821"/>
      <c r="U330" s="825"/>
      <c r="V330" s="826"/>
    </row>
    <row r="331" spans="1:32" ht="15" customHeight="1">
      <c r="A331" s="1435"/>
      <c r="B331" s="827">
        <f>B330</f>
        <v>0</v>
      </c>
      <c r="C331" s="828" t="s">
        <v>768</v>
      </c>
      <c r="D331" s="829" t="str">
        <f>IF(AC331=130, "130 × 130", IF(AC331=160, "160 × 160", IF(AC331=110, "110 × 110", "Value not 130, 160, or 110")))</f>
        <v>Value not 130, 160, or 110</v>
      </c>
      <c r="E331" s="830">
        <f>AD331</f>
        <v>0</v>
      </c>
      <c r="F331" s="831">
        <f ca="1">IF(X331 &gt; 0.1, RAND() * (0.1 - 0.06) + 0.06, X331)</f>
        <v>0</v>
      </c>
      <c r="G331" s="831">
        <f ca="1">IF(Y331 &lt; 0.5, 0.5 + RAND() * 0.1, Y331)</f>
        <v>0.52239601452584206</v>
      </c>
      <c r="H331" s="830">
        <f ca="1">IF(AB331&gt;0.04, 0.029 + (0.039-0.029)*RAND(), AB331)</f>
        <v>0</v>
      </c>
      <c r="I331" s="830">
        <f ca="1">IF(AA331&gt;0.04, 0.029 + (0.039-0.029)*RAND(), AA331)</f>
        <v>0</v>
      </c>
      <c r="J331" s="831">
        <f ca="1">IF(Z331&gt;0.15, 0.11 + (0.15-0.11) * RAND(), Z331)</f>
        <v>0</v>
      </c>
      <c r="K331" s="830">
        <f ca="1">0.004 + (RAND() * (0.001 - 0.004))</f>
        <v>3.0434787532194803E-3</v>
      </c>
      <c r="L331" s="830">
        <f ca="1">H331+I331</f>
        <v>0</v>
      </c>
      <c r="M331" s="831">
        <f ca="1">(G331/6)+F331</f>
        <v>8.7066002420973676E-2</v>
      </c>
      <c r="N331" s="831">
        <f ca="1">2 + RAND()</f>
        <v>2.3807267226631392</v>
      </c>
      <c r="O331" s="831">
        <f ca="1">1 + RAND()</f>
        <v>1.4049082832023334</v>
      </c>
      <c r="P331" s="831">
        <f ca="1">2.98 + (RAND() * (3.03 - 2.98))</f>
        <v>3.005541711974888</v>
      </c>
      <c r="Q331" s="832" t="str">
        <f ca="1">IF(D331="130 × 130", (130 + RANDBETWEEN(-1,1)) &amp; " × " &amp; (130 + RANDBETWEEN(-1,1)),
   IF(D331="160 × 160", (160 + RANDBETWEEN(-1,1)) &amp; " × " &amp; (160 + RANDBETWEEN(-1,1)),
   IF(D331="110 × 110", (110 + RANDBETWEEN(-1,1)) &amp; " × " &amp; (110 + RANDBETWEEN(-1,1)),
   "Value not matched")))</f>
        <v>Value not matched</v>
      </c>
      <c r="R331" s="833" t="s">
        <v>213</v>
      </c>
      <c r="S331" s="834" t="str">
        <f ca="1">IF(G331&lt;0.6, "IS 14650 CPS 10748/GR2", "IS 14650 CPS 10748/GR3")</f>
        <v>IS 14650 CPS 10748/GR2</v>
      </c>
      <c r="T331" s="831" t="s">
        <v>769</v>
      </c>
      <c r="U331" s="825"/>
      <c r="V331" s="826"/>
      <c r="W331" s="206">
        <f>Prod.!B186</f>
        <v>0</v>
      </c>
      <c r="X331" s="469">
        <f>Prod.!C186</f>
        <v>0</v>
      </c>
      <c r="Y331" s="469">
        <f>Prod.!D186</f>
        <v>0</v>
      </c>
      <c r="Z331" s="469">
        <f>Prod.!E186</f>
        <v>0</v>
      </c>
      <c r="AA331" s="282">
        <f>Prod.!F186</f>
        <v>0</v>
      </c>
      <c r="AB331" s="282">
        <f>Prod.!G186</f>
        <v>0</v>
      </c>
      <c r="AC331" s="836">
        <f>Prod.!H186</f>
        <v>0</v>
      </c>
      <c r="AD331" s="282">
        <f>Prod.!AB186</f>
        <v>0</v>
      </c>
      <c r="AE331" s="282">
        <f>AD331-AF331</f>
        <v>0</v>
      </c>
      <c r="AF331" s="282">
        <f>Prod.!AA186</f>
        <v>0</v>
      </c>
    </row>
    <row r="332" spans="1:32" ht="15" customHeight="1">
      <c r="A332" s="1435">
        <v>4</v>
      </c>
      <c r="B332" s="818">
        <f>W333</f>
        <v>0</v>
      </c>
      <c r="C332" s="819" t="s">
        <v>765</v>
      </c>
      <c r="D332" s="822"/>
      <c r="E332" s="822"/>
      <c r="F332" s="821">
        <f ca="1">F333 + (RAND() * 0.02 - 0.01)</f>
        <v>1.5207295659356405E-3</v>
      </c>
      <c r="G332" s="821">
        <f ca="1">G333 + (RAND() * 0.06 - 0.03)</f>
        <v>0.53911137326378356</v>
      </c>
      <c r="H332" s="822">
        <f ca="1">H333 + (RAND() * 0.006 - 0.003)</f>
        <v>1.6275546172342453E-3</v>
      </c>
      <c r="I332" s="822">
        <f ca="1">I333 + (RAND() * 0.006 - 0.003)</f>
        <v>2.6316724582616975E-3</v>
      </c>
      <c r="J332" s="821">
        <f ca="1">J333 + (RAND() * 0.02 - 0.01)</f>
        <v>7.8763671683222038E-3</v>
      </c>
      <c r="K332" s="821"/>
      <c r="L332" s="822"/>
      <c r="M332" s="821"/>
      <c r="N332" s="823"/>
      <c r="O332" s="823"/>
      <c r="P332" s="823"/>
      <c r="Q332" s="823"/>
      <c r="R332" s="839"/>
      <c r="S332" s="821"/>
      <c r="T332" s="821"/>
      <c r="U332" s="825"/>
      <c r="V332" s="826"/>
    </row>
    <row r="333" spans="1:32" ht="15" customHeight="1">
      <c r="A333" s="1435"/>
      <c r="B333" s="827">
        <f>B332</f>
        <v>0</v>
      </c>
      <c r="C333" s="828" t="s">
        <v>768</v>
      </c>
      <c r="D333" s="829" t="str">
        <f>IF(AC333=130, "130 × 130", IF(AC333=160, "160 × 160", IF(AC333=110, "110 × 110", "Value not 130, 160, or 110")))</f>
        <v>Value not 130, 160, or 110</v>
      </c>
      <c r="E333" s="830">
        <f>AD333</f>
        <v>0</v>
      </c>
      <c r="F333" s="831">
        <f ca="1">IF(X333 &gt; 0.1, RAND() * (0.1 - 0.06) + 0.06, X333)</f>
        <v>0</v>
      </c>
      <c r="G333" s="831">
        <f ca="1">IF(Y333 &lt; 0.5, 0.5 + RAND() * 0.1, Y333)</f>
        <v>0.55192161322367339</v>
      </c>
      <c r="H333" s="830">
        <f ca="1">IF(AB333&gt;0.04, 0.029 + (0.039-0.029)*RAND(), AB333)</f>
        <v>0</v>
      </c>
      <c r="I333" s="830">
        <f ca="1">IF(AA333&gt;0.04, 0.029 + (0.039-0.029)*RAND(), AA333)</f>
        <v>0</v>
      </c>
      <c r="J333" s="831">
        <f ca="1">IF(Z333&gt;0.15, 0.11 + (0.15-0.11) * RAND(), Z333)</f>
        <v>0</v>
      </c>
      <c r="K333" s="830">
        <f ca="1">0.004 + (RAND() * (0.001 - 0.004))</f>
        <v>3.5108206230131923E-3</v>
      </c>
      <c r="L333" s="830">
        <f ca="1">H333+I333</f>
        <v>0</v>
      </c>
      <c r="M333" s="831">
        <f ca="1">(G333/6)+F333</f>
        <v>9.1986935537278894E-2</v>
      </c>
      <c r="N333" s="831">
        <f ca="1">2 + RAND()</f>
        <v>2.6849626836470919</v>
      </c>
      <c r="O333" s="831">
        <f ca="1">1 + RAND()</f>
        <v>1.2127145479969372</v>
      </c>
      <c r="P333" s="831">
        <f ca="1">2.98 + (RAND() * (3.03 - 2.98))</f>
        <v>2.9921602298781091</v>
      </c>
      <c r="Q333" s="832" t="str">
        <f ca="1">IF(D333="130 × 130", (130 + RANDBETWEEN(-1,1)) &amp; " × " &amp; (130 + RANDBETWEEN(-1,1)),
   IF(D333="160 × 160", (160 + RANDBETWEEN(-1,1)) &amp; " × " &amp; (160 + RANDBETWEEN(-1,1)),
   IF(D333="110 × 110", (110 + RANDBETWEEN(-1,1)) &amp; " × " &amp; (110 + RANDBETWEEN(-1,1)),
   "Value not matched")))</f>
        <v>Value not matched</v>
      </c>
      <c r="R333" s="833" t="s">
        <v>213</v>
      </c>
      <c r="S333" s="834" t="str">
        <f ca="1">IF(G333&lt;0.6, "IS 14650 CPS 10748/GR2", "IS 14650 CPS 10748/GR3")</f>
        <v>IS 14650 CPS 10748/GR2</v>
      </c>
      <c r="T333" s="831" t="s">
        <v>769</v>
      </c>
      <c r="U333" s="825"/>
      <c r="V333" s="826"/>
      <c r="W333" s="206">
        <f>Prod.!B187</f>
        <v>0</v>
      </c>
      <c r="X333" s="469">
        <f>Prod.!C187</f>
        <v>0</v>
      </c>
      <c r="Y333" s="469">
        <f>Prod.!D187</f>
        <v>0</v>
      </c>
      <c r="Z333" s="469">
        <f>Prod.!E187</f>
        <v>0</v>
      </c>
      <c r="AA333" s="282">
        <f>Prod.!F187</f>
        <v>0</v>
      </c>
      <c r="AB333" s="282">
        <f>Prod.!G187</f>
        <v>0</v>
      </c>
      <c r="AC333" s="836">
        <f>Prod.!H187</f>
        <v>0</v>
      </c>
      <c r="AD333" s="282">
        <f>Prod.!AB187</f>
        <v>0</v>
      </c>
      <c r="AE333" s="282">
        <f>AD333-AF333</f>
        <v>0</v>
      </c>
      <c r="AF333" s="282">
        <f>Prod.!AA187</f>
        <v>0</v>
      </c>
    </row>
    <row r="334" spans="1:32" ht="15" customHeight="1">
      <c r="A334" s="1435">
        <v>5</v>
      </c>
      <c r="B334" s="818">
        <f>W335</f>
        <v>0</v>
      </c>
      <c r="C334" s="819" t="s">
        <v>765</v>
      </c>
      <c r="D334" s="822"/>
      <c r="E334" s="822"/>
      <c r="F334" s="821">
        <f ca="1">F335 + (RAND() * 0.02 - 0.01)</f>
        <v>3.6474205746295958E-3</v>
      </c>
      <c r="G334" s="821">
        <f ca="1">G335 + (RAND() * 0.06 - 0.03)</f>
        <v>0.5388513087110367</v>
      </c>
      <c r="H334" s="822">
        <f ca="1">H335 + (RAND() * 0.006 - 0.003)</f>
        <v>-1.3261433367218068E-4</v>
      </c>
      <c r="I334" s="822">
        <f ca="1">I335 + (RAND() * 0.006 - 0.003)</f>
        <v>-2.8428481948571263E-3</v>
      </c>
      <c r="J334" s="821">
        <f ca="1">J335 + (RAND() * 0.02 - 0.01)</f>
        <v>9.1417414122675362E-3</v>
      </c>
      <c r="K334" s="821"/>
      <c r="L334" s="822"/>
      <c r="M334" s="821"/>
      <c r="N334" s="823"/>
      <c r="O334" s="823"/>
      <c r="P334" s="823"/>
      <c r="Q334" s="823"/>
      <c r="R334" s="839"/>
      <c r="S334" s="821"/>
      <c r="T334" s="821"/>
      <c r="U334" s="825"/>
      <c r="V334" s="826"/>
    </row>
    <row r="335" spans="1:32" ht="15" customHeight="1">
      <c r="A335" s="1435"/>
      <c r="B335" s="827">
        <f>B334</f>
        <v>0</v>
      </c>
      <c r="C335" s="828" t="s">
        <v>768</v>
      </c>
      <c r="D335" s="829" t="str">
        <f>IF(AC335=130, "130 × 130", IF(AC335=160, "160 × 160", IF(AC335=110, "110 × 110", "Value not 130, 160, or 110")))</f>
        <v>Value not 130, 160, or 110</v>
      </c>
      <c r="E335" s="830">
        <f>AD335</f>
        <v>0</v>
      </c>
      <c r="F335" s="831">
        <f ca="1">IF(X335 &gt; 0.1, RAND() * (0.1 - 0.06) + 0.06, X335)</f>
        <v>0</v>
      </c>
      <c r="G335" s="831">
        <f ca="1">IF(Y335 &lt; 0.5, 0.5 + RAND() * 0.1, Y335)</f>
        <v>0.52854179628031872</v>
      </c>
      <c r="H335" s="830">
        <f ca="1">IF(AB335&gt;0.04, 0.029 + (0.039-0.029)*RAND(), AB335)</f>
        <v>0</v>
      </c>
      <c r="I335" s="830">
        <f ca="1">IF(AA335&gt;0.04, 0.029 + (0.039-0.029)*RAND(), AA335)</f>
        <v>0</v>
      </c>
      <c r="J335" s="831">
        <f ca="1">IF(Z335&gt;0.15, 0.11 + (0.15-0.11) * RAND(), Z335)</f>
        <v>0</v>
      </c>
      <c r="K335" s="830">
        <f ca="1">0.004 + (RAND() * (0.001 - 0.004))</f>
        <v>1.8967885335815383E-3</v>
      </c>
      <c r="L335" s="830">
        <f ca="1">H335+I335</f>
        <v>0</v>
      </c>
      <c r="M335" s="831">
        <f ca="1">(G335/6)+F335</f>
        <v>8.8090299380053125E-2</v>
      </c>
      <c r="N335" s="831">
        <f ca="1">2 + RAND()</f>
        <v>2.8978218360160475</v>
      </c>
      <c r="O335" s="831">
        <f ca="1">1 + RAND()</f>
        <v>1.1066180746594738</v>
      </c>
      <c r="P335" s="831">
        <f ca="1">2.98 + (RAND() * (3.03 - 2.98))</f>
        <v>2.9962916916521802</v>
      </c>
      <c r="Q335" s="832" t="str">
        <f ca="1">IF(D335="130 × 130", (130 + RANDBETWEEN(-1,1)) &amp; " × " &amp; (130 + RANDBETWEEN(-1,1)),
   IF(D335="160 × 160", (160 + RANDBETWEEN(-1,1)) &amp; " × " &amp; (160 + RANDBETWEEN(-1,1)),
   IF(D335="110 × 110", (110 + RANDBETWEEN(-1,1)) &amp; " × " &amp; (110 + RANDBETWEEN(-1,1)),
   "Value not matched")))</f>
        <v>Value not matched</v>
      </c>
      <c r="R335" s="833" t="s">
        <v>213</v>
      </c>
      <c r="S335" s="834" t="str">
        <f ca="1">IF(G335&lt;0.6, "IS 14650 CPS 10748/GR2", "IS 14650 CPS 10748/GR3")</f>
        <v>IS 14650 CPS 10748/GR2</v>
      </c>
      <c r="T335" s="831" t="s">
        <v>769</v>
      </c>
      <c r="U335" s="825"/>
      <c r="V335" s="826"/>
      <c r="W335" s="206">
        <f>Prod.!B188</f>
        <v>0</v>
      </c>
      <c r="X335" s="469">
        <f>Prod.!C188</f>
        <v>0</v>
      </c>
      <c r="Y335" s="469">
        <f>Prod.!D188</f>
        <v>0</v>
      </c>
      <c r="Z335" s="469">
        <f>Prod.!E188</f>
        <v>0</v>
      </c>
      <c r="AA335" s="282">
        <f>Prod.!F188</f>
        <v>0</v>
      </c>
      <c r="AB335" s="282">
        <f>Prod.!G188</f>
        <v>0</v>
      </c>
      <c r="AC335" s="836">
        <f>Prod.!H188</f>
        <v>0</v>
      </c>
      <c r="AD335" s="282">
        <f>Prod.!AB188</f>
        <v>0</v>
      </c>
      <c r="AE335" s="282">
        <f>AD335-AF335</f>
        <v>0</v>
      </c>
      <c r="AF335" s="282">
        <f>Prod.!AA188</f>
        <v>0</v>
      </c>
    </row>
    <row r="336" spans="1:32" ht="15" customHeight="1">
      <c r="A336" s="1435">
        <v>6</v>
      </c>
      <c r="B336" s="818">
        <f>W337</f>
        <v>0</v>
      </c>
      <c r="C336" s="819" t="s">
        <v>765</v>
      </c>
      <c r="D336" s="822"/>
      <c r="E336" s="822"/>
      <c r="F336" s="821">
        <f ca="1">F337 + (RAND() * 0.02 - 0.01)</f>
        <v>-3.8953449967063626E-3</v>
      </c>
      <c r="G336" s="821">
        <f ca="1">G337 + (RAND() * 0.06 - 0.03)</f>
        <v>0.5109838475738242</v>
      </c>
      <c r="H336" s="822">
        <f ca="1">H337 + (RAND() * 0.006 - 0.003)</f>
        <v>1.689538901635537E-3</v>
      </c>
      <c r="I336" s="822">
        <f ca="1">I337 + (RAND() * 0.006 - 0.003)</f>
        <v>-2.8358902211664686E-3</v>
      </c>
      <c r="J336" s="821">
        <f ca="1">J337 + (RAND() * 0.02 - 0.01)</f>
        <v>-1.9116937272207288E-3</v>
      </c>
      <c r="K336" s="821"/>
      <c r="L336" s="822"/>
      <c r="M336" s="821"/>
      <c r="N336" s="823"/>
      <c r="O336" s="823"/>
      <c r="P336" s="823"/>
      <c r="Q336" s="823"/>
      <c r="R336" s="839"/>
      <c r="S336" s="821"/>
      <c r="T336" s="821"/>
      <c r="U336" s="825"/>
      <c r="V336" s="826"/>
    </row>
    <row r="337" spans="1:32" ht="15" customHeight="1">
      <c r="A337" s="1435"/>
      <c r="B337" s="827">
        <f>B336</f>
        <v>0</v>
      </c>
      <c r="C337" s="828" t="s">
        <v>768</v>
      </c>
      <c r="D337" s="829" t="str">
        <f>IF(AC337=130, "130 × 130", IF(AC337=160, "160 × 160", IF(AC337=110, "110 × 110", "Value not 130, 160, or 110")))</f>
        <v>Value not 130, 160, or 110</v>
      </c>
      <c r="E337" s="830">
        <f>AD337</f>
        <v>0</v>
      </c>
      <c r="F337" s="831">
        <f ca="1">IF(X337 &gt; 0.1, RAND() * (0.1 - 0.06) + 0.06, X337)</f>
        <v>0</v>
      </c>
      <c r="G337" s="831">
        <f ca="1">IF(Y337 &lt; 0.5, 0.5 + RAND() * 0.1, Y337)</f>
        <v>0.50404133005669605</v>
      </c>
      <c r="H337" s="830">
        <f ca="1">IF(AB337&gt;0.04, 0.029 + (0.039-0.029)*RAND(), AB337)</f>
        <v>0</v>
      </c>
      <c r="I337" s="830">
        <f ca="1">IF(AA337&gt;0.04, 0.029 + (0.039-0.029)*RAND(), AA337)</f>
        <v>0</v>
      </c>
      <c r="J337" s="831">
        <f ca="1">IF(Z337&gt;0.15, 0.11 + (0.15-0.11) * RAND(), Z337)</f>
        <v>0</v>
      </c>
      <c r="K337" s="830">
        <f ca="1">0.004 + (RAND() * (0.001 - 0.004))</f>
        <v>3.4177161628377137E-3</v>
      </c>
      <c r="L337" s="830">
        <f ca="1">H337+I337</f>
        <v>0</v>
      </c>
      <c r="M337" s="831">
        <f ca="1">(G337/6)+F337</f>
        <v>8.4006888342782679E-2</v>
      </c>
      <c r="N337" s="831">
        <f ca="1">2 + RAND()</f>
        <v>2.3275846946287198</v>
      </c>
      <c r="O337" s="831">
        <f ca="1">1 + RAND()</f>
        <v>1.8103536147780295</v>
      </c>
      <c r="P337" s="831">
        <f ca="1">2.98 + (RAND() * (3.03 - 2.98))</f>
        <v>3.0229176090834766</v>
      </c>
      <c r="Q337" s="832" t="str">
        <f ca="1">IF(D337="130 × 130", (130 + RANDBETWEEN(-1,1)) &amp; " × " &amp; (130 + RANDBETWEEN(-1,1)),
   IF(D337="160 × 160", (160 + RANDBETWEEN(-1,1)) &amp; " × " &amp; (160 + RANDBETWEEN(-1,1)),
   IF(D337="110 × 110", (110 + RANDBETWEEN(-1,1)) &amp; " × " &amp; (110 + RANDBETWEEN(-1,1)),
   "Value not matched")))</f>
        <v>Value not matched</v>
      </c>
      <c r="R337" s="833" t="s">
        <v>213</v>
      </c>
      <c r="S337" s="834" t="str">
        <f ca="1">IF(G337&lt;0.6, "IS 14650 CPS 10748/GR2", "IS 14650 CPS 10748/GR3")</f>
        <v>IS 14650 CPS 10748/GR2</v>
      </c>
      <c r="T337" s="831" t="s">
        <v>769</v>
      </c>
      <c r="U337" s="825"/>
      <c r="V337" s="826"/>
      <c r="W337" s="206">
        <f>Prod.!B189</f>
        <v>0</v>
      </c>
      <c r="X337" s="469">
        <f>Prod.!C189</f>
        <v>0</v>
      </c>
      <c r="Y337" s="469">
        <f>Prod.!D189</f>
        <v>0</v>
      </c>
      <c r="Z337" s="469">
        <f>Prod.!E189</f>
        <v>0</v>
      </c>
      <c r="AA337" s="282">
        <f>Prod.!F189</f>
        <v>0</v>
      </c>
      <c r="AB337" s="282">
        <f>Prod.!G189</f>
        <v>0</v>
      </c>
      <c r="AC337" s="836">
        <f>Prod.!H189</f>
        <v>0</v>
      </c>
      <c r="AD337" s="282">
        <f>Prod.!AB189</f>
        <v>0</v>
      </c>
      <c r="AE337" s="282">
        <f>AD337-AF337</f>
        <v>0</v>
      </c>
      <c r="AF337" s="282">
        <f>Prod.!AA189</f>
        <v>0</v>
      </c>
    </row>
    <row r="338" spans="1:32" ht="15" customHeight="1">
      <c r="A338" s="1435">
        <v>7</v>
      </c>
      <c r="B338" s="818">
        <f>W339</f>
        <v>0</v>
      </c>
      <c r="C338" s="819" t="s">
        <v>765</v>
      </c>
      <c r="D338" s="822"/>
      <c r="E338" s="822"/>
      <c r="F338" s="821">
        <f ca="1">F339 + (RAND() * 0.02 - 0.01)</f>
        <v>3.3923417369826885E-3</v>
      </c>
      <c r="G338" s="821">
        <f ca="1">G339 + (RAND() * 0.06 - 0.03)</f>
        <v>0.56438731077541116</v>
      </c>
      <c r="H338" s="822">
        <f ca="1">H339 + (RAND() * 0.006 - 0.003)</f>
        <v>-1.4555458473113816E-3</v>
      </c>
      <c r="I338" s="822">
        <f ca="1">I339 + (RAND() * 0.006 - 0.003)</f>
        <v>2.833597949432407E-3</v>
      </c>
      <c r="J338" s="821">
        <f ca="1">J339 + (RAND() * 0.02 - 0.01)</f>
        <v>-4.0421871083525639E-3</v>
      </c>
      <c r="K338" s="821"/>
      <c r="L338" s="822"/>
      <c r="M338" s="821"/>
      <c r="N338" s="823"/>
      <c r="O338" s="823"/>
      <c r="P338" s="823"/>
      <c r="Q338" s="823"/>
      <c r="R338" s="839"/>
      <c r="S338" s="821"/>
      <c r="T338" s="821"/>
      <c r="U338" s="825"/>
      <c r="V338" s="826"/>
    </row>
    <row r="339" spans="1:32" ht="15" customHeight="1">
      <c r="A339" s="1435"/>
      <c r="B339" s="827">
        <f>B338</f>
        <v>0</v>
      </c>
      <c r="C339" s="828" t="s">
        <v>768</v>
      </c>
      <c r="D339" s="829" t="str">
        <f>IF(AC339=130, "130 × 130", IF(AC339=160, "160 × 160", IF(AC339=110, "110 × 110", "Value not 130, 160, or 110")))</f>
        <v>Value not 130, 160, or 110</v>
      </c>
      <c r="E339" s="830">
        <f>AD339</f>
        <v>0</v>
      </c>
      <c r="F339" s="831">
        <f ca="1">IF(X339 &gt; 0.1, RAND() * (0.1 - 0.06) + 0.06, X339)</f>
        <v>0</v>
      </c>
      <c r="G339" s="831">
        <f ca="1">IF(Y339 &lt; 0.5, 0.5 + RAND() * 0.1, Y339)</f>
        <v>0.56018502511268431</v>
      </c>
      <c r="H339" s="830">
        <f ca="1">IF(AB339&gt;0.04, 0.029 + (0.039-0.029)*RAND(), AB339)</f>
        <v>0</v>
      </c>
      <c r="I339" s="830">
        <f ca="1">IF(AA339&gt;0.04, 0.029 + (0.039-0.029)*RAND(), AA339)</f>
        <v>0</v>
      </c>
      <c r="J339" s="831">
        <f ca="1">IF(Z339&gt;0.15, 0.11 + (0.15-0.11) * RAND(), Z339)</f>
        <v>0</v>
      </c>
      <c r="K339" s="830">
        <f ca="1">0.004 + (RAND() * (0.001 - 0.004))</f>
        <v>1.0098273805132789E-3</v>
      </c>
      <c r="L339" s="830">
        <f ca="1">H339+I339</f>
        <v>0</v>
      </c>
      <c r="M339" s="831">
        <f ca="1">(G339/6)+F339</f>
        <v>9.3364170852114056E-2</v>
      </c>
      <c r="N339" s="831">
        <f ca="1">2 + RAND()</f>
        <v>2.9324652360612857</v>
      </c>
      <c r="O339" s="831">
        <f ca="1">1 + RAND()</f>
        <v>1.3045256730223875</v>
      </c>
      <c r="P339" s="831">
        <f ca="1">2.98 + (RAND() * (3.03 - 2.98))</f>
        <v>3.019488167021291</v>
      </c>
      <c r="Q339" s="832" t="str">
        <f ca="1">IF(D339="130 × 130", (130 + RANDBETWEEN(-1,1)) &amp; " × " &amp; (130 + RANDBETWEEN(-1,1)),
   IF(D339="160 × 160", (160 + RANDBETWEEN(-1,1)) &amp; " × " &amp; (160 + RANDBETWEEN(-1,1)),
   IF(D339="110 × 110", (110 + RANDBETWEEN(-1,1)) &amp; " × " &amp; (110 + RANDBETWEEN(-1,1)),
   "Value not matched")))</f>
        <v>Value not matched</v>
      </c>
      <c r="R339" s="833" t="s">
        <v>213</v>
      </c>
      <c r="S339" s="834" t="str">
        <f ca="1">IF(G339&lt;0.6, "IS 14650 CPS 10748/GR2", "IS 14650 CPS 10748/GR3")</f>
        <v>IS 14650 CPS 10748/GR2</v>
      </c>
      <c r="T339" s="831" t="s">
        <v>769</v>
      </c>
      <c r="U339" s="825"/>
      <c r="V339" s="826"/>
      <c r="W339" s="206">
        <f>Prod.!B190</f>
        <v>0</v>
      </c>
      <c r="X339" s="469">
        <f>Prod.!C190</f>
        <v>0</v>
      </c>
      <c r="Y339" s="469">
        <f>Prod.!D190</f>
        <v>0</v>
      </c>
      <c r="Z339" s="469">
        <f>Prod.!E190</f>
        <v>0</v>
      </c>
      <c r="AA339" s="282">
        <f>Prod.!F190</f>
        <v>0</v>
      </c>
      <c r="AB339" s="282">
        <f>Prod.!G190</f>
        <v>0</v>
      </c>
      <c r="AC339" s="836">
        <f>Prod.!H190</f>
        <v>0</v>
      </c>
      <c r="AD339" s="282">
        <f>Prod.!AB190</f>
        <v>0</v>
      </c>
      <c r="AE339" s="282">
        <f>AD339-AF339</f>
        <v>0</v>
      </c>
      <c r="AF339" s="282">
        <f>Prod.!AA190</f>
        <v>0</v>
      </c>
    </row>
    <row r="340" spans="1:32" ht="15" customHeight="1">
      <c r="A340" s="1435">
        <v>8</v>
      </c>
      <c r="B340" s="818">
        <f>W341</f>
        <v>0</v>
      </c>
      <c r="C340" s="819" t="s">
        <v>765</v>
      </c>
      <c r="D340" s="822"/>
      <c r="E340" s="822"/>
      <c r="F340" s="821">
        <f ca="1">F341 + (RAND() * 0.02 - 0.01)</f>
        <v>-5.4535541980687153E-3</v>
      </c>
      <c r="G340" s="821">
        <f ca="1">G341 + (RAND() * 0.06 - 0.03)</f>
        <v>0.55557754612565846</v>
      </c>
      <c r="H340" s="822">
        <f ca="1">H341 + (RAND() * 0.006 - 0.003)</f>
        <v>2.4479869398850943E-3</v>
      </c>
      <c r="I340" s="822">
        <f ca="1">I341 + (RAND() * 0.006 - 0.003)</f>
        <v>-1.3739529037203565E-3</v>
      </c>
      <c r="J340" s="821">
        <f ca="1">J341 + (RAND() * 0.02 - 0.01)</f>
        <v>-7.5679559493545259E-3</v>
      </c>
      <c r="K340" s="821"/>
      <c r="L340" s="822"/>
      <c r="M340" s="821"/>
      <c r="N340" s="823"/>
      <c r="O340" s="823"/>
      <c r="P340" s="823"/>
      <c r="Q340" s="823"/>
      <c r="R340" s="839"/>
      <c r="S340" s="821"/>
      <c r="T340" s="821"/>
      <c r="U340" s="825"/>
      <c r="V340" s="826"/>
    </row>
    <row r="341" spans="1:32" ht="15" customHeight="1">
      <c r="A341" s="1435"/>
      <c r="B341" s="827">
        <f>B340</f>
        <v>0</v>
      </c>
      <c r="C341" s="828" t="s">
        <v>768</v>
      </c>
      <c r="D341" s="829" t="str">
        <f>IF(AC341=130, "130 × 130", IF(AC341=160, "160 × 160", IF(AC341=110, "110 × 110", "Value not 130, 160, or 110")))</f>
        <v>Value not 130, 160, or 110</v>
      </c>
      <c r="E341" s="830">
        <f>AD341</f>
        <v>0</v>
      </c>
      <c r="F341" s="831">
        <f ca="1">IF(X341 &gt; 0.1, RAND() * (0.1 - 0.06) + 0.06, X341)</f>
        <v>0</v>
      </c>
      <c r="G341" s="831">
        <f ca="1">IF(Y341 &lt; 0.5, 0.5 + RAND() * 0.1, Y341)</f>
        <v>0.57016122512855771</v>
      </c>
      <c r="H341" s="830">
        <f ca="1">IF(AB341&gt;0.04, 0.029 + (0.039-0.029)*RAND(), AB341)</f>
        <v>0</v>
      </c>
      <c r="I341" s="830">
        <f ca="1">IF(AA341&gt;0.04, 0.029 + (0.039-0.029)*RAND(), AA341)</f>
        <v>0</v>
      </c>
      <c r="J341" s="831">
        <f ca="1">IF(Z341&gt;0.15, 0.11 + (0.15-0.11) * RAND(), Z341)</f>
        <v>0</v>
      </c>
      <c r="K341" s="830">
        <f ca="1">0.004 + (RAND() * (0.001 - 0.004))</f>
        <v>3.7876116339141258E-3</v>
      </c>
      <c r="L341" s="830">
        <f ca="1">H341+I341</f>
        <v>0</v>
      </c>
      <c r="M341" s="831">
        <f ca="1">(G341/6)+F341</f>
        <v>9.5026870854759624E-2</v>
      </c>
      <c r="N341" s="831">
        <f ca="1">2 + RAND()</f>
        <v>2.8976492850016999</v>
      </c>
      <c r="O341" s="831">
        <f ca="1">1 + RAND()</f>
        <v>1.0508221455663014</v>
      </c>
      <c r="P341" s="831">
        <f ca="1">2.98 + (RAND() * (3.03 - 2.98))</f>
        <v>3.0016555138038536</v>
      </c>
      <c r="Q341" s="832" t="str">
        <f ca="1">IF(D341="130 × 130", (130 + RANDBETWEEN(-1,1)) &amp; " × " &amp; (130 + RANDBETWEEN(-1,1)),
   IF(D341="160 × 160", (160 + RANDBETWEEN(-1,1)) &amp; " × " &amp; (160 + RANDBETWEEN(-1,1)),
   IF(D341="110 × 110", (110 + RANDBETWEEN(-1,1)) &amp; " × " &amp; (110 + RANDBETWEEN(-1,1)),
   "Value not matched")))</f>
        <v>Value not matched</v>
      </c>
      <c r="R341" s="833" t="s">
        <v>213</v>
      </c>
      <c r="S341" s="834" t="str">
        <f ca="1">IF(G341&lt;0.6, "IS 14650 CPS 10748/GR2", "IS 14650 CPS 10748/GR3")</f>
        <v>IS 14650 CPS 10748/GR2</v>
      </c>
      <c r="T341" s="831" t="s">
        <v>769</v>
      </c>
      <c r="U341" s="825"/>
      <c r="V341" s="826"/>
      <c r="W341" s="206">
        <f>Prod.!B191</f>
        <v>0</v>
      </c>
      <c r="X341" s="469">
        <f>Prod.!C191</f>
        <v>0</v>
      </c>
      <c r="Y341" s="469">
        <f>Prod.!D191</f>
        <v>0</v>
      </c>
      <c r="Z341" s="469">
        <f>Prod.!E191</f>
        <v>0</v>
      </c>
      <c r="AA341" s="282">
        <f>Prod.!F191</f>
        <v>0</v>
      </c>
      <c r="AB341" s="282">
        <f>Prod.!G191</f>
        <v>0</v>
      </c>
      <c r="AC341" s="836">
        <f>Prod.!H191</f>
        <v>0</v>
      </c>
      <c r="AD341" s="282">
        <f>Prod.!AB191</f>
        <v>0</v>
      </c>
      <c r="AE341" s="282">
        <f>AD341-AF341</f>
        <v>0</v>
      </c>
      <c r="AF341" s="282">
        <f>Prod.!AA191</f>
        <v>0</v>
      </c>
    </row>
    <row r="342" spans="1:32" ht="15" customHeight="1">
      <c r="A342" s="1435">
        <v>9</v>
      </c>
      <c r="B342" s="818">
        <f>W343</f>
        <v>0</v>
      </c>
      <c r="C342" s="819" t="s">
        <v>765</v>
      </c>
      <c r="D342" s="822"/>
      <c r="E342" s="822"/>
      <c r="F342" s="821">
        <f ca="1">F343 + (RAND() * 0.02 - 0.01)</f>
        <v>-2.7809677794497778E-5</v>
      </c>
      <c r="G342" s="821">
        <f ca="1">G343 + (RAND() * 0.06 - 0.03)</f>
        <v>0.54187211613804098</v>
      </c>
      <c r="H342" s="822">
        <f ca="1">H343 + (RAND() * 0.006 - 0.003)</f>
        <v>1.6884261457798541E-3</v>
      </c>
      <c r="I342" s="822">
        <f ca="1">I343 + (RAND() * 0.006 - 0.003)</f>
        <v>-1.9273700311020303E-3</v>
      </c>
      <c r="J342" s="821">
        <f ca="1">J343 + (RAND() * 0.02 - 0.01)</f>
        <v>-7.9121222620634098E-3</v>
      </c>
      <c r="K342" s="821"/>
      <c r="L342" s="822"/>
      <c r="M342" s="821"/>
      <c r="N342" s="823"/>
      <c r="O342" s="823"/>
      <c r="P342" s="823"/>
      <c r="Q342" s="823"/>
      <c r="R342" s="839"/>
      <c r="S342" s="821"/>
      <c r="T342" s="821"/>
      <c r="U342" s="825"/>
      <c r="V342" s="826"/>
    </row>
    <row r="343" spans="1:32" ht="15" customHeight="1">
      <c r="A343" s="1435"/>
      <c r="B343" s="827">
        <f>B342</f>
        <v>0</v>
      </c>
      <c r="C343" s="828" t="s">
        <v>768</v>
      </c>
      <c r="D343" s="829" t="str">
        <f>IF(AC343=130, "130 × 130", IF(AC343=160, "160 × 160", IF(AC343=110, "110 × 110", "Value not 130, 160, or 110")))</f>
        <v>Value not 130, 160, or 110</v>
      </c>
      <c r="E343" s="830">
        <f>AD343</f>
        <v>0</v>
      </c>
      <c r="F343" s="831">
        <f ca="1">IF(X343 &gt; 0.1, RAND() * (0.1 - 0.06) + 0.06, X343)</f>
        <v>0</v>
      </c>
      <c r="G343" s="831">
        <f ca="1">IF(Y343 &lt; 0.5, 0.5 + RAND() * 0.1, Y343)</f>
        <v>0.54700038630419667</v>
      </c>
      <c r="H343" s="830">
        <f ca="1">IF(AB343&gt;0.04, 0.029 + (0.039-0.029)*RAND(), AB343)</f>
        <v>0</v>
      </c>
      <c r="I343" s="830">
        <f ca="1">IF(AA343&gt;0.04, 0.029 + (0.039-0.029)*RAND(), AA343)</f>
        <v>0</v>
      </c>
      <c r="J343" s="831">
        <f ca="1">IF(Z343&gt;0.15, 0.11 + (0.15-0.11) * RAND(), Z343)</f>
        <v>0</v>
      </c>
      <c r="K343" s="830">
        <f ca="1">0.004 + (RAND() * (0.001 - 0.004))</f>
        <v>1.5876582748512317E-3</v>
      </c>
      <c r="L343" s="830">
        <f ca="1">H343+I343</f>
        <v>0</v>
      </c>
      <c r="M343" s="831">
        <f ca="1">(G343/6)+F343</f>
        <v>9.1166731050699445E-2</v>
      </c>
      <c r="N343" s="831">
        <f ca="1">2 + RAND()</f>
        <v>2.2654001064248961</v>
      </c>
      <c r="O343" s="831">
        <f ca="1">1 + RAND()</f>
        <v>1.9579293616886457</v>
      </c>
      <c r="P343" s="831">
        <f ca="1">2.98 + (RAND() * (3.03 - 2.98))</f>
        <v>3.0271657621766943</v>
      </c>
      <c r="Q343" s="832" t="str">
        <f ca="1">IF(D343="130 × 130", (130 + RANDBETWEEN(-1,1)) &amp; " × " &amp; (130 + RANDBETWEEN(-1,1)),
   IF(D343="160 × 160", (160 + RANDBETWEEN(-1,1)) &amp; " × " &amp; (160 + RANDBETWEEN(-1,1)),
   IF(D343="110 × 110", (110 + RANDBETWEEN(-1,1)) &amp; " × " &amp; (110 + RANDBETWEEN(-1,1)),
   "Value not matched")))</f>
        <v>Value not matched</v>
      </c>
      <c r="R343" s="833" t="s">
        <v>213</v>
      </c>
      <c r="S343" s="834" t="str">
        <f ca="1">IF(G343&lt;0.6, "IS 14650 CPS 10748/GR2", "IS 14650 CPS 10748/GR3")</f>
        <v>IS 14650 CPS 10748/GR2</v>
      </c>
      <c r="T343" s="831" t="s">
        <v>769</v>
      </c>
      <c r="U343" s="825"/>
      <c r="V343" s="826"/>
      <c r="W343" s="206">
        <f>Prod.!B192</f>
        <v>0</v>
      </c>
      <c r="X343" s="469">
        <f>Prod.!C192</f>
        <v>0</v>
      </c>
      <c r="Y343" s="469">
        <f>Prod.!D192</f>
        <v>0</v>
      </c>
      <c r="Z343" s="469">
        <f>Prod.!E192</f>
        <v>0</v>
      </c>
      <c r="AA343" s="282">
        <f>Prod.!F192</f>
        <v>0</v>
      </c>
      <c r="AB343" s="282">
        <f>Prod.!G192</f>
        <v>0</v>
      </c>
      <c r="AC343" s="836">
        <f>Prod.!H192</f>
        <v>0</v>
      </c>
      <c r="AD343" s="282">
        <f>Prod.!AB192</f>
        <v>0</v>
      </c>
      <c r="AE343" s="282">
        <f>AD343-AF343</f>
        <v>0</v>
      </c>
      <c r="AF343" s="282">
        <f>Prod.!AA192</f>
        <v>0</v>
      </c>
    </row>
    <row r="344" spans="1:32" ht="15" customHeight="1">
      <c r="A344" s="1435">
        <v>10</v>
      </c>
      <c r="B344" s="818">
        <f>W345</f>
        <v>0</v>
      </c>
      <c r="C344" s="819" t="s">
        <v>765</v>
      </c>
      <c r="D344" s="822"/>
      <c r="E344" s="822"/>
      <c r="F344" s="821">
        <f ca="1">F345 + (RAND() * 0.02 - 0.01)</f>
        <v>-7.1275624641153447E-3</v>
      </c>
      <c r="G344" s="821">
        <f ca="1">G345 + (RAND() * 0.06 - 0.03)</f>
        <v>0.52461980829680155</v>
      </c>
      <c r="H344" s="822">
        <f ca="1">H345 + (RAND() * 0.006 - 0.003)</f>
        <v>-1.2573373780964247E-3</v>
      </c>
      <c r="I344" s="822">
        <f ca="1">I345 + (RAND() * 0.006 - 0.003)</f>
        <v>4.0092573619986225E-4</v>
      </c>
      <c r="J344" s="821">
        <f ca="1">J345 + (RAND() * 0.02 - 0.01)</f>
        <v>8.2403654940915432E-3</v>
      </c>
      <c r="K344" s="821"/>
      <c r="L344" s="822"/>
      <c r="M344" s="821"/>
      <c r="N344" s="823"/>
      <c r="O344" s="823"/>
      <c r="P344" s="823"/>
      <c r="Q344" s="823"/>
      <c r="R344" s="839"/>
      <c r="S344" s="821"/>
      <c r="T344" s="821"/>
      <c r="U344" s="825"/>
      <c r="V344" s="826"/>
    </row>
    <row r="345" spans="1:32" ht="15" customHeight="1">
      <c r="A345" s="1435"/>
      <c r="B345" s="827">
        <f>B344</f>
        <v>0</v>
      </c>
      <c r="C345" s="828" t="s">
        <v>768</v>
      </c>
      <c r="D345" s="829" t="str">
        <f>IF(AC345=130, "130 × 130", IF(AC345=160, "160 × 160", IF(AC345=110, "110 × 110", "Value not 130, 160, or 110")))</f>
        <v>Value not 130, 160, or 110</v>
      </c>
      <c r="E345" s="830">
        <f>AD345</f>
        <v>0</v>
      </c>
      <c r="F345" s="831">
        <f ca="1">IF(X345 &gt; 0.1, RAND() * (0.1 - 0.06) + 0.06, X345)</f>
        <v>0</v>
      </c>
      <c r="G345" s="831">
        <f ca="1">IF(Y345 &lt; 0.5, 0.5 + RAND() * 0.1, Y345)</f>
        <v>0.52697431758536251</v>
      </c>
      <c r="H345" s="830">
        <f ca="1">IF(AB345&gt;0.04, 0.029 + (0.039-0.029)*RAND(), AB345)</f>
        <v>0</v>
      </c>
      <c r="I345" s="830">
        <f ca="1">IF(AA345&gt;0.04, 0.029 + (0.039-0.029)*RAND(), AA345)</f>
        <v>0</v>
      </c>
      <c r="J345" s="831">
        <f ca="1">IF(Z345&gt;0.15, 0.11 + (0.15-0.11) * RAND(), Z345)</f>
        <v>0</v>
      </c>
      <c r="K345" s="830">
        <f ca="1">0.004 + (RAND() * (0.001 - 0.004))</f>
        <v>3.6184589754951701E-3</v>
      </c>
      <c r="L345" s="830">
        <f ca="1">H345+I345</f>
        <v>0</v>
      </c>
      <c r="M345" s="831">
        <f ca="1">(G345/6)+F345</f>
        <v>8.7829052930893756E-2</v>
      </c>
      <c r="N345" s="831">
        <f ca="1">2 + RAND()</f>
        <v>2.380780676701681</v>
      </c>
      <c r="O345" s="831">
        <f ca="1">1 + RAND()</f>
        <v>1.6100773336268377</v>
      </c>
      <c r="P345" s="831">
        <f ca="1">2.98 + (RAND() * (3.03 - 2.98))</f>
        <v>3.0057748500331822</v>
      </c>
      <c r="Q345" s="832" t="str">
        <f ca="1">IF(D345="130 × 130", (130 + RANDBETWEEN(-1,1)) &amp; " × " &amp; (130 + RANDBETWEEN(-1,1)),
   IF(D345="160 × 160", (160 + RANDBETWEEN(-1,1)) &amp; " × " &amp; (160 + RANDBETWEEN(-1,1)),
   IF(D345="110 × 110", (110 + RANDBETWEEN(-1,1)) &amp; " × " &amp; (110 + RANDBETWEEN(-1,1)),
   "Value not matched")))</f>
        <v>Value not matched</v>
      </c>
      <c r="R345" s="833" t="s">
        <v>213</v>
      </c>
      <c r="S345" s="834" t="str">
        <f ca="1">IF(G345&lt;0.6, "IS 14650 CPS 10748/GR2", "IS 14650 CPS 10748/GR3")</f>
        <v>IS 14650 CPS 10748/GR2</v>
      </c>
      <c r="T345" s="831" t="s">
        <v>769</v>
      </c>
      <c r="U345" s="825"/>
      <c r="V345" s="826"/>
      <c r="W345" s="206">
        <f>Prod.!B193</f>
        <v>0</v>
      </c>
      <c r="X345" s="469">
        <f>Prod.!C193</f>
        <v>0</v>
      </c>
      <c r="Y345" s="469">
        <f>Prod.!D193</f>
        <v>0</v>
      </c>
      <c r="Z345" s="469">
        <f>Prod.!E193</f>
        <v>0</v>
      </c>
      <c r="AA345" s="282">
        <f>Prod.!F193</f>
        <v>0</v>
      </c>
      <c r="AB345" s="282">
        <f>Prod.!G193</f>
        <v>0</v>
      </c>
      <c r="AC345" s="836">
        <f>Prod.!H193</f>
        <v>0</v>
      </c>
      <c r="AD345" s="282">
        <f>Prod.!AB193</f>
        <v>0</v>
      </c>
      <c r="AE345" s="282">
        <f>AD345-AF345</f>
        <v>0</v>
      </c>
      <c r="AF345" s="282">
        <f>Prod.!AA193</f>
        <v>0</v>
      </c>
    </row>
    <row r="346" spans="1:32" ht="15" customHeight="1">
      <c r="A346" s="1435">
        <v>11</v>
      </c>
      <c r="B346" s="818">
        <f>W347</f>
        <v>0</v>
      </c>
      <c r="C346" s="819" t="s">
        <v>765</v>
      </c>
      <c r="D346" s="822"/>
      <c r="E346" s="822"/>
      <c r="F346" s="821">
        <f ca="1">F347 + (RAND() * 0.02 - 0.01)</f>
        <v>2.2186438818396197E-3</v>
      </c>
      <c r="G346" s="821">
        <f ca="1">G347 + (RAND() * 0.06 - 0.03)</f>
        <v>0.56810538258798593</v>
      </c>
      <c r="H346" s="822">
        <f ca="1">H347 + (RAND() * 0.006 - 0.003)</f>
        <v>-2.0989577214566429E-3</v>
      </c>
      <c r="I346" s="822">
        <f ca="1">I347 + (RAND() * 0.006 - 0.003)</f>
        <v>1.551149569547096E-3</v>
      </c>
      <c r="J346" s="821">
        <f ca="1">J347 + (RAND() * 0.02 - 0.01)</f>
        <v>9.263221286889339E-3</v>
      </c>
      <c r="K346" s="821"/>
      <c r="L346" s="822"/>
      <c r="M346" s="821"/>
      <c r="N346" s="823"/>
      <c r="O346" s="823"/>
      <c r="P346" s="823"/>
      <c r="Q346" s="823"/>
      <c r="R346" s="839"/>
      <c r="S346" s="821"/>
      <c r="T346" s="821"/>
      <c r="U346" s="825"/>
      <c r="V346" s="826"/>
    </row>
    <row r="347" spans="1:32" ht="15" customHeight="1">
      <c r="A347" s="1435"/>
      <c r="B347" s="827">
        <f>B346</f>
        <v>0</v>
      </c>
      <c r="C347" s="828" t="s">
        <v>768</v>
      </c>
      <c r="D347" s="829" t="str">
        <f>IF(AC347=130, "130 × 130", IF(AC347=160, "160 × 160", IF(AC347=110, "110 × 110", "Value not 130, 160, or 110")))</f>
        <v>Value not 130, 160, or 110</v>
      </c>
      <c r="E347" s="830">
        <f>AD347</f>
        <v>0</v>
      </c>
      <c r="F347" s="831">
        <f ca="1">IF(X347 &gt; 0.1, RAND() * (0.1 - 0.06) + 0.06, X347)</f>
        <v>0</v>
      </c>
      <c r="G347" s="831">
        <f ca="1">IF(Y347 &lt; 0.5, 0.5 + RAND() * 0.1, Y347)</f>
        <v>0.54527025311814581</v>
      </c>
      <c r="H347" s="830">
        <f ca="1">IF(AB347&gt;0.04, 0.029 + (0.039-0.029)*RAND(), AB347)</f>
        <v>0</v>
      </c>
      <c r="I347" s="830">
        <f ca="1">IF(AA347&gt;0.04, 0.029 + (0.039-0.029)*RAND(), AA347)</f>
        <v>0</v>
      </c>
      <c r="J347" s="831">
        <f ca="1">IF(Z347&gt;0.15, 0.11 + (0.15-0.11) * RAND(), Z347)</f>
        <v>0</v>
      </c>
      <c r="K347" s="830">
        <f ca="1">0.004 + (RAND() * (0.001 - 0.004))</f>
        <v>3.5960055600430577E-3</v>
      </c>
      <c r="L347" s="830">
        <f ca="1">H347+I347</f>
        <v>0</v>
      </c>
      <c r="M347" s="831">
        <f ca="1">(G347/6)+F347</f>
        <v>9.0878375519690968E-2</v>
      </c>
      <c r="N347" s="831">
        <f ca="1">2 + RAND()</f>
        <v>2.9548742866092703</v>
      </c>
      <c r="O347" s="831">
        <f ca="1">1 + RAND()</f>
        <v>1.8616799215435069</v>
      </c>
      <c r="P347" s="831">
        <f ca="1">2.98 + (RAND() * (3.03 - 2.98))</f>
        <v>3.0083189744649106</v>
      </c>
      <c r="Q347" s="832" t="str">
        <f ca="1">IF(D347="130 × 130", (130 + RANDBETWEEN(-1,1)) &amp; " × " &amp; (130 + RANDBETWEEN(-1,1)),
   IF(D347="160 × 160", (160 + RANDBETWEEN(-1,1)) &amp; " × " &amp; (160 + RANDBETWEEN(-1,1)),
   IF(D347="110 × 110", (110 + RANDBETWEEN(-1,1)) &amp; " × " &amp; (110 + RANDBETWEEN(-1,1)),
   "Value not matched")))</f>
        <v>Value not matched</v>
      </c>
      <c r="R347" s="833" t="s">
        <v>213</v>
      </c>
      <c r="S347" s="834" t="str">
        <f ca="1">IF(G347&lt;0.6, "IS 14650 CPS 10748/GR2", "IS 14650 CPS 10748/GR3")</f>
        <v>IS 14650 CPS 10748/GR2</v>
      </c>
      <c r="T347" s="831" t="s">
        <v>769</v>
      </c>
      <c r="U347" s="825"/>
      <c r="V347" s="826"/>
      <c r="W347" s="206">
        <f>Prod.!B194</f>
        <v>0</v>
      </c>
      <c r="X347" s="469">
        <f>Prod.!C194</f>
        <v>0</v>
      </c>
      <c r="Y347" s="469">
        <f>Prod.!D194</f>
        <v>0</v>
      </c>
      <c r="Z347" s="469">
        <f>Prod.!E194</f>
        <v>0</v>
      </c>
      <c r="AA347" s="282">
        <f>Prod.!F194</f>
        <v>0</v>
      </c>
      <c r="AB347" s="282">
        <f>Prod.!G194</f>
        <v>0</v>
      </c>
      <c r="AC347" s="836">
        <f>Prod.!H194</f>
        <v>0</v>
      </c>
      <c r="AD347" s="282">
        <f>Prod.!AB194</f>
        <v>0</v>
      </c>
      <c r="AE347" s="282">
        <f>AD347-AF347</f>
        <v>0</v>
      </c>
      <c r="AF347" s="282">
        <f>Prod.!AA194</f>
        <v>0</v>
      </c>
    </row>
    <row r="348" spans="1:32" ht="15" customHeight="1">
      <c r="A348" s="1435">
        <v>12</v>
      </c>
      <c r="B348" s="818">
        <f>W349</f>
        <v>0</v>
      </c>
      <c r="C348" s="819" t="s">
        <v>765</v>
      </c>
      <c r="D348" s="822"/>
      <c r="E348" s="822"/>
      <c r="F348" s="821">
        <f ca="1">F349 + (RAND() * 0.02 - 0.01)</f>
        <v>-8.8598481416950411E-3</v>
      </c>
      <c r="G348" s="821">
        <f ca="1">G349 + (RAND() * 0.06 - 0.03)</f>
        <v>0.54136321850148439</v>
      </c>
      <c r="H348" s="822">
        <f ca="1">H349 + (RAND() * 0.006 - 0.003)</f>
        <v>-4.9005492701708741E-4</v>
      </c>
      <c r="I348" s="822">
        <f ca="1">I349 + (RAND() * 0.006 - 0.003)</f>
        <v>-2.4586714144055055E-3</v>
      </c>
      <c r="J348" s="821">
        <f ca="1">J349 + (RAND() * 0.02 - 0.01)</f>
        <v>8.5220208068514398E-3</v>
      </c>
      <c r="K348" s="821"/>
      <c r="L348" s="822"/>
      <c r="M348" s="821"/>
      <c r="N348" s="823"/>
      <c r="O348" s="823"/>
      <c r="P348" s="823"/>
      <c r="Q348" s="823"/>
      <c r="R348" s="839"/>
      <c r="S348" s="821"/>
      <c r="T348" s="821"/>
      <c r="U348" s="825"/>
      <c r="V348" s="826"/>
    </row>
    <row r="349" spans="1:32" ht="15" customHeight="1">
      <c r="A349" s="1435"/>
      <c r="B349" s="827">
        <f>B348</f>
        <v>0</v>
      </c>
      <c r="C349" s="828" t="s">
        <v>768</v>
      </c>
      <c r="D349" s="829" t="str">
        <f>IF(AC349=130, "130 × 130", IF(AC349=160, "160 × 160", IF(AC349=110, "110 × 110", "Value not 130, 160, or 110")))</f>
        <v>Value not 130, 160, or 110</v>
      </c>
      <c r="E349" s="830">
        <f>AD349</f>
        <v>0</v>
      </c>
      <c r="F349" s="831">
        <f ca="1">IF(X349 &gt; 0.1, RAND() * (0.1 - 0.06) + 0.06, X349)</f>
        <v>0</v>
      </c>
      <c r="G349" s="831">
        <f ca="1">IF(Y349 &lt; 0.5, 0.5 + RAND() * 0.1, Y349)</f>
        <v>0.55899192232488171</v>
      </c>
      <c r="H349" s="830">
        <f ca="1">IF(AB349&gt;0.04, 0.029 + (0.039-0.029)*RAND(), AB349)</f>
        <v>0</v>
      </c>
      <c r="I349" s="830">
        <f ca="1">IF(AA349&gt;0.04, 0.029 + (0.039-0.029)*RAND(), AA349)</f>
        <v>0</v>
      </c>
      <c r="J349" s="831">
        <f ca="1">IF(Z349&gt;0.15, 0.11 + (0.15-0.11) * RAND(), Z349)</f>
        <v>0</v>
      </c>
      <c r="K349" s="830">
        <f ca="1">0.004 + (RAND() * (0.001 - 0.004))</f>
        <v>1.6907063369386095E-3</v>
      </c>
      <c r="L349" s="830">
        <f ca="1">H349+I349</f>
        <v>0</v>
      </c>
      <c r="M349" s="831">
        <f ca="1">(G349/6)+F349</f>
        <v>9.316532038748028E-2</v>
      </c>
      <c r="N349" s="831">
        <f ca="1">2 + RAND()</f>
        <v>2.7845686393619138</v>
      </c>
      <c r="O349" s="831">
        <f ca="1">1 + RAND()</f>
        <v>1.2896966075080512</v>
      </c>
      <c r="P349" s="831">
        <f ca="1">2.98 + (RAND() * (3.03 - 2.98))</f>
        <v>3.0111108649009144</v>
      </c>
      <c r="Q349" s="832" t="str">
        <f ca="1">IF(D349="130 × 130", (130 + RANDBETWEEN(-1,1)) &amp; " × " &amp; (130 + RANDBETWEEN(-1,1)),
   IF(D349="160 × 160", (160 + RANDBETWEEN(-1,1)) &amp; " × " &amp; (160 + RANDBETWEEN(-1,1)),
   IF(D349="110 × 110", (110 + RANDBETWEEN(-1,1)) &amp; " × " &amp; (110 + RANDBETWEEN(-1,1)),
   "Value not matched")))</f>
        <v>Value not matched</v>
      </c>
      <c r="R349" s="833" t="s">
        <v>213</v>
      </c>
      <c r="S349" s="834" t="str">
        <f ca="1">IF(G349&lt;0.6, "IS 14650 CPS 10748/GR2", "IS 14650 CPS 10748/GR3")</f>
        <v>IS 14650 CPS 10748/GR2</v>
      </c>
      <c r="T349" s="831" t="s">
        <v>769</v>
      </c>
      <c r="U349" s="825"/>
      <c r="V349" s="826"/>
      <c r="W349" s="206">
        <f>Prod.!B195</f>
        <v>0</v>
      </c>
      <c r="X349" s="469">
        <f>Prod.!C195</f>
        <v>0</v>
      </c>
      <c r="Y349" s="469">
        <f>Prod.!D195</f>
        <v>0</v>
      </c>
      <c r="Z349" s="469">
        <f>Prod.!E195</f>
        <v>0</v>
      </c>
      <c r="AA349" s="282">
        <f>Prod.!F195</f>
        <v>0</v>
      </c>
      <c r="AB349" s="282">
        <f>Prod.!G195</f>
        <v>0</v>
      </c>
      <c r="AC349" s="836">
        <f>Prod.!H195</f>
        <v>0</v>
      </c>
      <c r="AD349" s="282">
        <f>Prod.!AB195</f>
        <v>0</v>
      </c>
      <c r="AE349" s="282">
        <f>AD349-AF349</f>
        <v>0</v>
      </c>
      <c r="AF349" s="282">
        <f>Prod.!AA195</f>
        <v>0</v>
      </c>
    </row>
    <row r="350" spans="1:32" ht="15" customHeight="1">
      <c r="A350" s="1435"/>
      <c r="B350" s="818"/>
      <c r="C350" s="819"/>
      <c r="D350" s="822"/>
      <c r="E350" s="822"/>
      <c r="F350" s="821"/>
      <c r="G350" s="821"/>
      <c r="H350" s="840"/>
      <c r="I350" s="840"/>
      <c r="J350" s="821"/>
      <c r="K350" s="821"/>
      <c r="L350" s="822"/>
      <c r="M350" s="838"/>
      <c r="N350" s="821"/>
      <c r="O350" s="821"/>
      <c r="P350" s="821"/>
      <c r="Q350" s="821"/>
      <c r="R350" s="839"/>
      <c r="S350" s="841"/>
      <c r="T350" s="821"/>
      <c r="U350" s="825"/>
      <c r="V350" s="826"/>
    </row>
    <row r="351" spans="1:32" ht="15" customHeight="1">
      <c r="A351" s="1435"/>
      <c r="B351" s="827"/>
      <c r="C351" s="828"/>
      <c r="D351" s="842"/>
      <c r="E351" s="830"/>
      <c r="F351" s="831"/>
      <c r="G351" s="831"/>
      <c r="H351" s="843"/>
      <c r="I351" s="843"/>
      <c r="J351" s="831"/>
      <c r="K351" s="831"/>
      <c r="L351" s="830"/>
      <c r="M351" s="831"/>
      <c r="N351" s="831"/>
      <c r="O351" s="831"/>
      <c r="P351" s="831"/>
      <c r="Q351" s="831"/>
      <c r="R351" s="833"/>
      <c r="S351" s="834"/>
      <c r="T351" s="831"/>
      <c r="U351" s="825"/>
      <c r="V351" s="826"/>
    </row>
    <row r="352" spans="1:32" ht="15" customHeight="1">
      <c r="A352" s="180"/>
      <c r="B352" s="180"/>
      <c r="C352" s="180" t="s">
        <v>770</v>
      </c>
      <c r="D352" s="395"/>
      <c r="E352" s="844">
        <f>SUM(E326:E349)</f>
        <v>0</v>
      </c>
      <c r="F352" s="180"/>
      <c r="G352" s="180"/>
      <c r="H352" s="844"/>
      <c r="I352" s="180"/>
      <c r="J352" s="845"/>
      <c r="K352" s="845"/>
      <c r="L352" s="180"/>
      <c r="M352" s="845"/>
      <c r="N352" s="180"/>
      <c r="O352" s="180"/>
      <c r="P352" s="180"/>
      <c r="Q352" s="180"/>
      <c r="R352" s="263"/>
      <c r="S352" s="180"/>
      <c r="T352" s="180"/>
    </row>
    <row r="353" spans="1:32" ht="28.5" customHeight="1">
      <c r="A353" s="1436" t="s">
        <v>746</v>
      </c>
      <c r="B353" s="1436"/>
      <c r="C353" s="1436"/>
      <c r="D353" s="1436"/>
      <c r="E353" s="1436"/>
      <c r="F353" s="1436"/>
      <c r="G353" s="1436"/>
      <c r="H353" s="1436"/>
      <c r="I353" s="1436"/>
      <c r="J353" s="1436"/>
      <c r="K353" s="1436"/>
      <c r="L353" s="1436"/>
      <c r="M353" s="1436"/>
      <c r="N353" s="1436"/>
      <c r="O353" s="1436"/>
      <c r="P353" s="1436"/>
      <c r="Q353" s="1436"/>
      <c r="R353" s="1436"/>
      <c r="S353" s="1436"/>
      <c r="T353" s="1436"/>
      <c r="U353" s="515"/>
      <c r="V353" s="846"/>
    </row>
    <row r="354" spans="1:32" ht="15" customHeight="1">
      <c r="A354" s="1437" t="s">
        <v>747</v>
      </c>
      <c r="B354" s="1437"/>
      <c r="C354" s="1437"/>
      <c r="D354" s="1437"/>
      <c r="E354" s="1437"/>
      <c r="F354" s="1437"/>
      <c r="G354" s="1437"/>
      <c r="H354" s="1437"/>
      <c r="I354" s="1437"/>
      <c r="J354" s="1437"/>
      <c r="K354" s="1437"/>
      <c r="L354" s="1437"/>
      <c r="M354" s="1437"/>
      <c r="N354" s="1437"/>
      <c r="O354" s="1437"/>
      <c r="P354" s="1437"/>
      <c r="Q354" s="1437"/>
      <c r="R354" s="1437"/>
      <c r="S354" s="1437"/>
      <c r="T354" s="1437"/>
      <c r="U354" s="806"/>
      <c r="V354" s="807"/>
    </row>
    <row r="355" spans="1:32" ht="15" customHeight="1">
      <c r="A355" s="1438" t="str">
        <f>"DATE OF MANUFACTURING : " &amp; TEXT(V359, "DD-MM-YYYY")</f>
        <v>DATE OF MANUFACTURING : 00-01-1900</v>
      </c>
      <c r="B355" s="1438"/>
      <c r="C355" s="1438"/>
      <c r="D355" s="1438"/>
      <c r="E355" s="1438"/>
      <c r="F355" s="1438"/>
      <c r="G355" s="1438"/>
      <c r="H355" s="1438"/>
      <c r="I355" s="1438"/>
      <c r="J355" s="1438"/>
      <c r="K355" s="1438"/>
      <c r="L355" s="1438"/>
      <c r="M355" s="1438"/>
      <c r="N355" s="1437" t="s">
        <v>748</v>
      </c>
      <c r="O355" s="1437"/>
      <c r="P355" s="1437"/>
      <c r="Q355" s="1437"/>
      <c r="R355" s="1437"/>
      <c r="S355" s="1437"/>
      <c r="T355" s="1437"/>
      <c r="U355" s="808"/>
      <c r="V355" s="809"/>
    </row>
    <row r="356" spans="1:32" ht="29.25" customHeight="1">
      <c r="A356" s="1439" t="s">
        <v>749</v>
      </c>
      <c r="B356" s="1440" t="s">
        <v>750</v>
      </c>
      <c r="C356" s="1440"/>
      <c r="D356" s="1440" t="s">
        <v>751</v>
      </c>
      <c r="E356" s="1441" t="s">
        <v>752</v>
      </c>
      <c r="F356" s="1442" t="s">
        <v>753</v>
      </c>
      <c r="G356" s="1442"/>
      <c r="H356" s="1442"/>
      <c r="I356" s="1442"/>
      <c r="J356" s="1442"/>
      <c r="K356" s="1442"/>
      <c r="L356" s="1442"/>
      <c r="M356" s="1442"/>
      <c r="N356" s="1442" t="s">
        <v>754</v>
      </c>
      <c r="O356" s="1442"/>
      <c r="P356" s="1442"/>
      <c r="Q356" s="1442"/>
      <c r="R356" s="1443" t="s">
        <v>771</v>
      </c>
      <c r="S356" s="1441" t="s">
        <v>756</v>
      </c>
      <c r="T356" s="1440" t="s">
        <v>104</v>
      </c>
      <c r="U356" s="810"/>
      <c r="V356" s="811"/>
    </row>
    <row r="357" spans="1:32" ht="42.75" customHeight="1">
      <c r="A357" s="1439"/>
      <c r="B357" s="1440"/>
      <c r="C357" s="1440"/>
      <c r="D357" s="1440"/>
      <c r="E357" s="1440"/>
      <c r="F357" s="812" t="s">
        <v>40</v>
      </c>
      <c r="G357" s="812" t="s">
        <v>757</v>
      </c>
      <c r="H357" s="813" t="s">
        <v>758</v>
      </c>
      <c r="I357" s="812" t="s">
        <v>43</v>
      </c>
      <c r="J357" s="812" t="s">
        <v>42</v>
      </c>
      <c r="K357" s="812" t="s">
        <v>759</v>
      </c>
      <c r="L357" s="812" t="s">
        <v>760</v>
      </c>
      <c r="M357" s="812" t="s">
        <v>761</v>
      </c>
      <c r="N357" s="814" t="s">
        <v>762</v>
      </c>
      <c r="O357" s="815" t="s">
        <v>772</v>
      </c>
      <c r="P357" s="816" t="s">
        <v>773</v>
      </c>
      <c r="Q357" s="817" t="s">
        <v>764</v>
      </c>
      <c r="R357" s="1443"/>
      <c r="S357" s="1443"/>
      <c r="T357" s="1443"/>
      <c r="U357" s="810"/>
      <c r="V357" s="811"/>
    </row>
    <row r="358" spans="1:32" ht="15" customHeight="1">
      <c r="A358" s="1435">
        <v>1</v>
      </c>
      <c r="B358" s="818">
        <f>W359</f>
        <v>0</v>
      </c>
      <c r="C358" s="819" t="s">
        <v>765</v>
      </c>
      <c r="D358" s="820"/>
      <c r="E358" s="821"/>
      <c r="F358" s="821">
        <f ca="1">F359 + (RAND() * 0.02 - 0.01)</f>
        <v>5.6883676831293948E-3</v>
      </c>
      <c r="G358" s="821">
        <f ca="1">G359 + (RAND() * 0.06 - 0.03)</f>
        <v>0.49235330915541531</v>
      </c>
      <c r="H358" s="822">
        <f ca="1">H359 + (RAND() * 0.006 - 0.003)</f>
        <v>6.1995288311935109E-4</v>
      </c>
      <c r="I358" s="822">
        <f ca="1">I359 + (RAND() * 0.006 - 0.003)</f>
        <v>1.0814038419840735E-3</v>
      </c>
      <c r="J358" s="821">
        <f ca="1">J359 + (RAND() * 0.02 - 0.01)</f>
        <v>1.6779024046358598E-3</v>
      </c>
      <c r="K358" s="821"/>
      <c r="L358" s="822"/>
      <c r="M358" s="821"/>
      <c r="N358" s="823"/>
      <c r="O358" s="823"/>
      <c r="P358" s="823"/>
      <c r="Q358" s="823"/>
      <c r="R358" s="824"/>
      <c r="S358" s="821"/>
      <c r="T358" s="821"/>
      <c r="U358" s="825"/>
      <c r="V358" s="826"/>
      <c r="AE358" t="s">
        <v>767</v>
      </c>
    </row>
    <row r="359" spans="1:32" ht="15" customHeight="1">
      <c r="A359" s="1435"/>
      <c r="B359" s="827">
        <f>B358</f>
        <v>0</v>
      </c>
      <c r="C359" s="828" t="s">
        <v>768</v>
      </c>
      <c r="D359" s="829" t="str">
        <f>IF(AC359=130, "130 × 130", IF(AC359=160, "160 × 160", IF(AC359=110, "110 × 110", "Value not 130, 160, or 110")))</f>
        <v>Value not 130, 160, or 110</v>
      </c>
      <c r="E359" s="830">
        <f>AD359</f>
        <v>0</v>
      </c>
      <c r="F359" s="831">
        <f ca="1">IF(X359 &gt; 0.1, RAND() * (0.1 - 0.06) + 0.06, X359)</f>
        <v>0</v>
      </c>
      <c r="G359" s="831">
        <f ca="1">IF(Y359 &lt; 0.5, 0.5 + RAND() * 0.1, Y359)</f>
        <v>0.51817639295256401</v>
      </c>
      <c r="H359" s="830">
        <f ca="1">IF(AB359&gt;0.04, 0.029 + (0.039-0.029)*RAND(), AB359)</f>
        <v>0</v>
      </c>
      <c r="I359" s="830">
        <f ca="1">IF(AA359&gt;0.04, 0.029 + (0.039-0.029)*RAND(), AA359)</f>
        <v>0</v>
      </c>
      <c r="J359" s="831">
        <f ca="1">IF(Z359&gt;0.15, 0.11 + (0.15-0.11) * RAND(), Z359)</f>
        <v>0</v>
      </c>
      <c r="K359" s="830">
        <f ca="1">0.004 + (RAND() * (0.001 - 0.004))</f>
        <v>1.3836441564294847E-3</v>
      </c>
      <c r="L359" s="830">
        <f ca="1">H359+I359</f>
        <v>0</v>
      </c>
      <c r="M359" s="831">
        <f ca="1">(G359/6)+F359</f>
        <v>8.6362732158760669E-2</v>
      </c>
      <c r="N359" s="831">
        <f ca="1">2 + RAND()</f>
        <v>2.7116736174389424</v>
      </c>
      <c r="O359" s="831">
        <f ca="1">1 + RAND()</f>
        <v>1.8213848817218625</v>
      </c>
      <c r="P359" s="831">
        <f ca="1">2.98 + (RAND() * (3.03 - 2.98))</f>
        <v>3.025640326122669</v>
      </c>
      <c r="Q359" s="832" t="str">
        <f ca="1">IF(D359="130 × 130", (130 + RANDBETWEEN(-1,1)) &amp; " × " &amp; (130 + RANDBETWEEN(-1,1)),
   IF(D359="160 × 160", (160 + RANDBETWEEN(-1,1)) &amp; " × " &amp; (160 + RANDBETWEEN(-1,1)),
   IF(D359="110 × 110", (110 + RANDBETWEEN(-1,1)) &amp; " × " &amp; (110 + RANDBETWEEN(-1,1)),
   "Value not matched")))</f>
        <v>Value not matched</v>
      </c>
      <c r="R359" s="833" t="s">
        <v>213</v>
      </c>
      <c r="S359" s="834" t="str">
        <f ca="1">IF(G359&lt;0.6, "IS 14650 CPS 10748/GR2", "IS 14650 CPS 10748/GR3")</f>
        <v>IS 14650 CPS 10748/GR2</v>
      </c>
      <c r="T359" s="831" t="s">
        <v>769</v>
      </c>
      <c r="U359" s="825"/>
      <c r="V359" s="835">
        <f>Prod.!A202</f>
        <v>0</v>
      </c>
      <c r="W359" s="206">
        <f>Prod.!B202</f>
        <v>0</v>
      </c>
      <c r="X359" s="469">
        <f>Prod.!C202</f>
        <v>0</v>
      </c>
      <c r="Y359" s="469">
        <f>Prod.!D202</f>
        <v>0</v>
      </c>
      <c r="Z359" s="469">
        <f>Prod.!E202</f>
        <v>0</v>
      </c>
      <c r="AA359" s="282">
        <f>Prod.!F202</f>
        <v>0</v>
      </c>
      <c r="AB359" s="282">
        <f>Prod.!G202</f>
        <v>0</v>
      </c>
      <c r="AC359" s="836">
        <f>Prod.!H202</f>
        <v>0</v>
      </c>
      <c r="AD359" s="282">
        <f>Prod.!AB202</f>
        <v>0</v>
      </c>
      <c r="AE359" s="282">
        <f>AD359-AF359</f>
        <v>0</v>
      </c>
      <c r="AF359" s="282">
        <f>Prod.!AA202</f>
        <v>0</v>
      </c>
    </row>
    <row r="360" spans="1:32" ht="15" customHeight="1">
      <c r="A360" s="1435">
        <v>2</v>
      </c>
      <c r="B360" s="818">
        <f>W361</f>
        <v>0</v>
      </c>
      <c r="C360" s="819" t="s">
        <v>765</v>
      </c>
      <c r="D360" s="822"/>
      <c r="E360" s="822"/>
      <c r="F360" s="821">
        <f ca="1">F361 + (RAND() * 0.02 - 0.01)</f>
        <v>3.8860299919951154E-3</v>
      </c>
      <c r="G360" s="821">
        <f ca="1">G361 + (RAND() * 0.06 - 0.03)</f>
        <v>0.51239798799683878</v>
      </c>
      <c r="H360" s="822">
        <f ca="1">H361 + (RAND() * 0.006 - 0.003)</f>
        <v>1.996879044689078E-4</v>
      </c>
      <c r="I360" s="822">
        <f ca="1">I361 + (RAND() * 0.006 - 0.003)</f>
        <v>-2.1439544029208798E-3</v>
      </c>
      <c r="J360" s="821">
        <f ca="1">J361 + (RAND() * 0.02 - 0.01)</f>
        <v>3.0544826524075905E-3</v>
      </c>
      <c r="K360" s="821"/>
      <c r="L360" s="822"/>
      <c r="M360" s="821"/>
      <c r="N360" s="823"/>
      <c r="O360" s="823"/>
      <c r="P360" s="823"/>
      <c r="Q360" s="823"/>
      <c r="R360" s="837"/>
      <c r="S360" s="821"/>
      <c r="T360" s="838"/>
      <c r="U360" s="825"/>
      <c r="V360" s="826"/>
    </row>
    <row r="361" spans="1:32" ht="15" customHeight="1">
      <c r="A361" s="1435"/>
      <c r="B361" s="827">
        <f>B360</f>
        <v>0</v>
      </c>
      <c r="C361" s="828" t="s">
        <v>768</v>
      </c>
      <c r="D361" s="829" t="str">
        <f>IF(AC361=130, "130 × 130", IF(AC361=160, "160 × 160", IF(AC361=110, "110 × 110", "Value not 130, 160, or 110")))</f>
        <v>Value not 130, 160, or 110</v>
      </c>
      <c r="E361" s="830">
        <f>AD361</f>
        <v>0</v>
      </c>
      <c r="F361" s="831">
        <f ca="1">IF(X361 &gt; 0.1, RAND() * (0.1 - 0.06) + 0.06, X361)</f>
        <v>0</v>
      </c>
      <c r="G361" s="831">
        <f ca="1">IF(Y361 &lt; 0.5, 0.5 + RAND() * 0.1, Y361)</f>
        <v>0.52994633026855642</v>
      </c>
      <c r="H361" s="830">
        <f ca="1">IF(AB361&gt;0.04, 0.029 + (0.039-0.029)*RAND(), AB361)</f>
        <v>0</v>
      </c>
      <c r="I361" s="830">
        <f ca="1">IF(AA361&gt;0.04, 0.029 + (0.039-0.029)*RAND(), AA361)</f>
        <v>0</v>
      </c>
      <c r="J361" s="831">
        <f ca="1">IF(Z361&gt;0.15, 0.11 + (0.15-0.11) * RAND(), Z361)</f>
        <v>0</v>
      </c>
      <c r="K361" s="830">
        <f ca="1">0.004 + (RAND() * (0.001 - 0.004))</f>
        <v>2.372336023243563E-3</v>
      </c>
      <c r="L361" s="830">
        <f ca="1">H361+I361</f>
        <v>0</v>
      </c>
      <c r="M361" s="831">
        <f ca="1">(G361/6)+F361</f>
        <v>8.8324388378092741E-2</v>
      </c>
      <c r="N361" s="831">
        <f ca="1">2 + RAND()</f>
        <v>2.9858179320935641</v>
      </c>
      <c r="O361" s="831">
        <f ca="1">1 + RAND()</f>
        <v>1.2315529519423549</v>
      </c>
      <c r="P361" s="831">
        <f ca="1">2.98 + (RAND() * (3.03 - 2.98))</f>
        <v>3.0155245053740249</v>
      </c>
      <c r="Q361" s="832" t="str">
        <f ca="1">IF(D361="130 × 130", (130 + RANDBETWEEN(-1,1)) &amp; " × " &amp; (130 + RANDBETWEEN(-1,1)),
   IF(D361="160 × 160", (160 + RANDBETWEEN(-1,1)) &amp; " × " &amp; (160 + RANDBETWEEN(-1,1)),
   IF(D361="110 × 110", (110 + RANDBETWEEN(-1,1)) &amp; " × " &amp; (110 + RANDBETWEEN(-1,1)),
   "Value not matched")))</f>
        <v>Value not matched</v>
      </c>
      <c r="R361" s="833" t="s">
        <v>213</v>
      </c>
      <c r="S361" s="834" t="str">
        <f ca="1">IF(G361&lt;0.6, "IS 14650 CPS 10748/GR2", "IS 14650 CPS 10748/GR3")</f>
        <v>IS 14650 CPS 10748/GR2</v>
      </c>
      <c r="T361" s="831" t="s">
        <v>769</v>
      </c>
      <c r="U361" s="825"/>
      <c r="V361" s="826"/>
      <c r="W361" s="206">
        <f>Prod.!B203</f>
        <v>0</v>
      </c>
      <c r="X361" s="469">
        <f>Prod.!C203</f>
        <v>0</v>
      </c>
      <c r="Y361" s="469">
        <f>Prod.!D203</f>
        <v>0</v>
      </c>
      <c r="Z361" s="469">
        <f>Prod.!E203</f>
        <v>0</v>
      </c>
      <c r="AA361" s="282">
        <f>Prod.!F203</f>
        <v>0</v>
      </c>
      <c r="AB361" s="282">
        <f>Prod.!G203</f>
        <v>0</v>
      </c>
      <c r="AC361" s="836">
        <f>Prod.!H203</f>
        <v>0</v>
      </c>
      <c r="AD361" s="282">
        <f>Prod.!AB203</f>
        <v>0</v>
      </c>
      <c r="AE361" s="282">
        <f>AD361-AF361</f>
        <v>0</v>
      </c>
      <c r="AF361" s="282">
        <f>Prod.!AA203</f>
        <v>0</v>
      </c>
    </row>
    <row r="362" spans="1:32" ht="15" customHeight="1">
      <c r="A362" s="1435">
        <v>3</v>
      </c>
      <c r="B362" s="818">
        <f>W363</f>
        <v>0</v>
      </c>
      <c r="C362" s="819" t="s">
        <v>765</v>
      </c>
      <c r="D362" s="822"/>
      <c r="E362" s="822"/>
      <c r="F362" s="821">
        <f ca="1">F363 + (RAND() * 0.02 - 0.01)</f>
        <v>5.798343014449479E-3</v>
      </c>
      <c r="G362" s="821">
        <f ca="1">G363 + (RAND() * 0.06 - 0.03)</f>
        <v>0.53458730966626244</v>
      </c>
      <c r="H362" s="822">
        <f ca="1">H363 + (RAND() * 0.006 - 0.003)</f>
        <v>9.5870257886474918E-4</v>
      </c>
      <c r="I362" s="822">
        <f ca="1">I363 + (RAND() * 0.006 - 0.003)</f>
        <v>-2.7430640399306247E-3</v>
      </c>
      <c r="J362" s="821">
        <f ca="1">J363 + (RAND() * 0.02 - 0.01)</f>
        <v>-1.5984586377701601E-3</v>
      </c>
      <c r="K362" s="821"/>
      <c r="L362" s="822"/>
      <c r="M362" s="821"/>
      <c r="N362" s="823"/>
      <c r="O362" s="823"/>
      <c r="P362" s="823"/>
      <c r="Q362" s="823"/>
      <c r="R362" s="839"/>
      <c r="S362" s="821"/>
      <c r="T362" s="821"/>
      <c r="U362" s="825"/>
      <c r="V362" s="826"/>
    </row>
    <row r="363" spans="1:32" ht="15" customHeight="1">
      <c r="A363" s="1435"/>
      <c r="B363" s="827">
        <f>B362</f>
        <v>0</v>
      </c>
      <c r="C363" s="828" t="s">
        <v>768</v>
      </c>
      <c r="D363" s="829" t="str">
        <f>IF(AC363=130, "130 × 130", IF(AC363=160, "160 × 160", IF(AC363=110, "110 × 110", "Value not 130, 160, or 110")))</f>
        <v>Value not 130, 160, or 110</v>
      </c>
      <c r="E363" s="830">
        <f>AD363</f>
        <v>0</v>
      </c>
      <c r="F363" s="831">
        <f ca="1">IF(X363 &gt; 0.1, RAND() * (0.1 - 0.06) + 0.06, X363)</f>
        <v>0</v>
      </c>
      <c r="G363" s="831">
        <f ca="1">IF(Y363 &lt; 0.5, 0.5 + RAND() * 0.1, Y363)</f>
        <v>0.56206996486221494</v>
      </c>
      <c r="H363" s="830">
        <f ca="1">IF(AB363&gt;0.04, 0.029 + (0.039-0.029)*RAND(), AB363)</f>
        <v>0</v>
      </c>
      <c r="I363" s="830">
        <f ca="1">IF(AA363&gt;0.04, 0.029 + (0.039-0.029)*RAND(), AA363)</f>
        <v>0</v>
      </c>
      <c r="J363" s="831">
        <f ca="1">IF(Z363&gt;0.15, 0.11 + (0.15-0.11) * RAND(), Z363)</f>
        <v>0</v>
      </c>
      <c r="K363" s="830">
        <f ca="1">0.004 + (RAND() * (0.001 - 0.004))</f>
        <v>1.2335145699656326E-3</v>
      </c>
      <c r="L363" s="830">
        <f ca="1">H363+I363</f>
        <v>0</v>
      </c>
      <c r="M363" s="831">
        <f ca="1">(G363/6)+F363</f>
        <v>9.3678327477035819E-2</v>
      </c>
      <c r="N363" s="831">
        <f ca="1">2 + RAND()</f>
        <v>2.3416126411665843</v>
      </c>
      <c r="O363" s="831">
        <f ca="1">1 + RAND()</f>
        <v>1.06717598545093</v>
      </c>
      <c r="P363" s="831">
        <f ca="1">2.98 + (RAND() * (3.03 - 2.98))</f>
        <v>3.0118688396887228</v>
      </c>
      <c r="Q363" s="832" t="str">
        <f ca="1">IF(D363="130 × 130", (130 + RANDBETWEEN(-1,1)) &amp; " × " &amp; (130 + RANDBETWEEN(-1,1)),
   IF(D363="160 × 160", (160 + RANDBETWEEN(-1,1)) &amp; " × " &amp; (160 + RANDBETWEEN(-1,1)),
   IF(D363="110 × 110", (110 + RANDBETWEEN(-1,1)) &amp; " × " &amp; (110 + RANDBETWEEN(-1,1)),
   "Value not matched")))</f>
        <v>Value not matched</v>
      </c>
      <c r="R363" s="833" t="s">
        <v>213</v>
      </c>
      <c r="S363" s="834" t="str">
        <f ca="1">IF(G363&lt;0.6, "IS 14650 CPS 10748/GR2", "IS 14650 CPS 10748/GR3")</f>
        <v>IS 14650 CPS 10748/GR2</v>
      </c>
      <c r="T363" s="831" t="s">
        <v>769</v>
      </c>
      <c r="U363" s="825"/>
      <c r="V363" s="826"/>
      <c r="W363" s="206">
        <f>Prod.!B204</f>
        <v>0</v>
      </c>
      <c r="X363" s="469">
        <f>Prod.!C204</f>
        <v>0</v>
      </c>
      <c r="Y363" s="469">
        <f>Prod.!D204</f>
        <v>0</v>
      </c>
      <c r="Z363" s="469">
        <f>Prod.!E204</f>
        <v>0</v>
      </c>
      <c r="AA363" s="282">
        <f>Prod.!F204</f>
        <v>0</v>
      </c>
      <c r="AB363" s="282">
        <f>Prod.!G204</f>
        <v>0</v>
      </c>
      <c r="AC363" s="836">
        <f>Prod.!H204</f>
        <v>0</v>
      </c>
      <c r="AD363" s="282">
        <f>Prod.!AB204</f>
        <v>0</v>
      </c>
      <c r="AE363" s="282">
        <f>AD363-AF363</f>
        <v>0</v>
      </c>
      <c r="AF363" s="282">
        <f>Prod.!AA204</f>
        <v>0</v>
      </c>
    </row>
    <row r="364" spans="1:32" ht="15" customHeight="1">
      <c r="A364" s="1435">
        <v>4</v>
      </c>
      <c r="B364" s="818">
        <f>W365</f>
        <v>0</v>
      </c>
      <c r="C364" s="819" t="s">
        <v>765</v>
      </c>
      <c r="D364" s="822"/>
      <c r="E364" s="822"/>
      <c r="F364" s="821">
        <f ca="1">F365 + (RAND() * 0.02 - 0.01)</f>
        <v>-1.4856614308797235E-3</v>
      </c>
      <c r="G364" s="821">
        <f ca="1">G365 + (RAND() * 0.06 - 0.03)</f>
        <v>0.50114497493223242</v>
      </c>
      <c r="H364" s="822">
        <f ca="1">H365 + (RAND() * 0.006 - 0.003)</f>
        <v>2.2918014193050069E-3</v>
      </c>
      <c r="I364" s="822">
        <f ca="1">I365 + (RAND() * 0.006 - 0.003)</f>
        <v>-1.708893962099947E-3</v>
      </c>
      <c r="J364" s="821">
        <f ca="1">J365 + (RAND() * 0.02 - 0.01)</f>
        <v>9.3088385384829924E-3</v>
      </c>
      <c r="K364" s="821"/>
      <c r="L364" s="822"/>
      <c r="M364" s="821"/>
      <c r="N364" s="823"/>
      <c r="O364" s="823"/>
      <c r="P364" s="823"/>
      <c r="Q364" s="823"/>
      <c r="R364" s="839"/>
      <c r="S364" s="821"/>
      <c r="T364" s="821"/>
      <c r="U364" s="825"/>
      <c r="V364" s="826"/>
    </row>
    <row r="365" spans="1:32" ht="15" customHeight="1">
      <c r="A365" s="1435"/>
      <c r="B365" s="827">
        <f>B364</f>
        <v>0</v>
      </c>
      <c r="C365" s="828" t="s">
        <v>768</v>
      </c>
      <c r="D365" s="829" t="str">
        <f>IF(AC365=130, "130 × 130", IF(AC365=160, "160 × 160", IF(AC365=110, "110 × 110", "Value not 130, 160, or 110")))</f>
        <v>Value not 130, 160, or 110</v>
      </c>
      <c r="E365" s="830">
        <f>AD365</f>
        <v>0</v>
      </c>
      <c r="F365" s="831">
        <f ca="1">IF(X365 &gt; 0.1, RAND() * (0.1 - 0.06) + 0.06, X365)</f>
        <v>0</v>
      </c>
      <c r="G365" s="831">
        <f ca="1">IF(Y365 &lt; 0.5, 0.5 + RAND() * 0.1, Y365)</f>
        <v>0.52303754874228581</v>
      </c>
      <c r="H365" s="830">
        <f ca="1">IF(AB365&gt;0.04, 0.029 + (0.039-0.029)*RAND(), AB365)</f>
        <v>0</v>
      </c>
      <c r="I365" s="830">
        <f ca="1">IF(AA365&gt;0.04, 0.029 + (0.039-0.029)*RAND(), AA365)</f>
        <v>0</v>
      </c>
      <c r="J365" s="831">
        <f ca="1">IF(Z365&gt;0.15, 0.11 + (0.15-0.11) * RAND(), Z365)</f>
        <v>0</v>
      </c>
      <c r="K365" s="830">
        <f ca="1">0.004 + (RAND() * (0.001 - 0.004))</f>
        <v>1.1929222221825618E-3</v>
      </c>
      <c r="L365" s="830">
        <f ca="1">H365+I365</f>
        <v>0</v>
      </c>
      <c r="M365" s="831">
        <f ca="1">(G365/6)+F365</f>
        <v>8.7172924790380968E-2</v>
      </c>
      <c r="N365" s="831">
        <f ca="1">2 + RAND()</f>
        <v>2.1719518038936529</v>
      </c>
      <c r="O365" s="831">
        <f ca="1">1 + RAND()</f>
        <v>1.6855062517089623</v>
      </c>
      <c r="P365" s="831">
        <f ca="1">2.98 + (RAND() * (3.03 - 2.98))</f>
        <v>3.0025301364096326</v>
      </c>
      <c r="Q365" s="832" t="str">
        <f ca="1">IF(D365="130 × 130", (130 + RANDBETWEEN(-1,1)) &amp; " × " &amp; (130 + RANDBETWEEN(-1,1)),
   IF(D365="160 × 160", (160 + RANDBETWEEN(-1,1)) &amp; " × " &amp; (160 + RANDBETWEEN(-1,1)),
   IF(D365="110 × 110", (110 + RANDBETWEEN(-1,1)) &amp; " × " &amp; (110 + RANDBETWEEN(-1,1)),
   "Value not matched")))</f>
        <v>Value not matched</v>
      </c>
      <c r="R365" s="833" t="s">
        <v>213</v>
      </c>
      <c r="S365" s="834" t="str">
        <f ca="1">IF(G365&lt;0.6, "IS 14650 CPS 10748/GR2", "IS 14650 CPS 10748/GR3")</f>
        <v>IS 14650 CPS 10748/GR2</v>
      </c>
      <c r="T365" s="831" t="s">
        <v>769</v>
      </c>
      <c r="U365" s="825"/>
      <c r="V365" s="826"/>
      <c r="W365" s="206">
        <f>Prod.!B205</f>
        <v>0</v>
      </c>
      <c r="X365" s="469">
        <f>Prod.!C205</f>
        <v>0</v>
      </c>
      <c r="Y365" s="469">
        <f>Prod.!D205</f>
        <v>0</v>
      </c>
      <c r="Z365" s="469">
        <f>Prod.!E205</f>
        <v>0</v>
      </c>
      <c r="AA365" s="282">
        <f>Prod.!F205</f>
        <v>0</v>
      </c>
      <c r="AB365" s="282">
        <f>Prod.!G205</f>
        <v>0</v>
      </c>
      <c r="AC365" s="836">
        <f>Prod.!H205</f>
        <v>0</v>
      </c>
      <c r="AD365" s="282">
        <f>Prod.!AB205</f>
        <v>0</v>
      </c>
      <c r="AE365" s="282">
        <f>AD365-AF365</f>
        <v>0</v>
      </c>
      <c r="AF365" s="282">
        <f>Prod.!AA205</f>
        <v>0</v>
      </c>
    </row>
    <row r="366" spans="1:32" ht="15" customHeight="1">
      <c r="A366" s="1435">
        <v>5</v>
      </c>
      <c r="B366" s="818">
        <f>W367</f>
        <v>0</v>
      </c>
      <c r="C366" s="819" t="s">
        <v>765</v>
      </c>
      <c r="D366" s="822"/>
      <c r="E366" s="822"/>
      <c r="F366" s="821">
        <f ca="1">F367 + (RAND() * 0.02 - 0.01)</f>
        <v>4.7695029325306101E-3</v>
      </c>
      <c r="G366" s="821">
        <f ca="1">G367 + (RAND() * 0.06 - 0.03)</f>
        <v>0.51998416651424828</v>
      </c>
      <c r="H366" s="822">
        <f ca="1">H367 + (RAND() * 0.006 - 0.003)</f>
        <v>1.9081290197051461E-3</v>
      </c>
      <c r="I366" s="822">
        <f ca="1">I367 + (RAND() * 0.006 - 0.003)</f>
        <v>3.5536462528731189E-4</v>
      </c>
      <c r="J366" s="821">
        <f ca="1">J367 + (RAND() * 0.02 - 0.01)</f>
        <v>5.4395342635493935E-3</v>
      </c>
      <c r="K366" s="821"/>
      <c r="L366" s="822"/>
      <c r="M366" s="821"/>
      <c r="N366" s="823"/>
      <c r="O366" s="823"/>
      <c r="P366" s="823"/>
      <c r="Q366" s="823"/>
      <c r="R366" s="839"/>
      <c r="S366" s="821"/>
      <c r="T366" s="821"/>
      <c r="U366" s="825"/>
      <c r="V366" s="826"/>
    </row>
    <row r="367" spans="1:32" ht="15" customHeight="1">
      <c r="A367" s="1435"/>
      <c r="B367" s="827">
        <f>B366</f>
        <v>0</v>
      </c>
      <c r="C367" s="828" t="s">
        <v>768</v>
      </c>
      <c r="D367" s="829" t="str">
        <f>IF(AC367=130, "130 × 130", IF(AC367=160, "160 × 160", IF(AC367=110, "110 × 110", "Value not 130, 160, or 110")))</f>
        <v>Value not 130, 160, or 110</v>
      </c>
      <c r="E367" s="830">
        <f>AD367</f>
        <v>0</v>
      </c>
      <c r="F367" s="831">
        <f ca="1">IF(X367 &gt; 0.1, RAND() * (0.1 - 0.06) + 0.06, X367)</f>
        <v>0</v>
      </c>
      <c r="G367" s="831">
        <f ca="1">IF(Y367 &lt; 0.5, 0.5 + RAND() * 0.1, Y367)</f>
        <v>0.52694768749968002</v>
      </c>
      <c r="H367" s="830">
        <f ca="1">IF(AB367&gt;0.04, 0.029 + (0.039-0.029)*RAND(), AB367)</f>
        <v>0</v>
      </c>
      <c r="I367" s="830">
        <f ca="1">IF(AA367&gt;0.04, 0.029 + (0.039-0.029)*RAND(), AA367)</f>
        <v>0</v>
      </c>
      <c r="J367" s="831">
        <f ca="1">IF(Z367&gt;0.15, 0.11 + (0.15-0.11) * RAND(), Z367)</f>
        <v>0</v>
      </c>
      <c r="K367" s="830">
        <f ca="1">0.004 + (RAND() * (0.001 - 0.004))</f>
        <v>3.9583226170916801E-3</v>
      </c>
      <c r="L367" s="830">
        <f ca="1">H367+I367</f>
        <v>0</v>
      </c>
      <c r="M367" s="831">
        <f ca="1">(G367/6)+F367</f>
        <v>8.7824614583280003E-2</v>
      </c>
      <c r="N367" s="831">
        <f ca="1">2 + RAND()</f>
        <v>2.4106095765212889</v>
      </c>
      <c r="O367" s="831">
        <f ca="1">1 + RAND()</f>
        <v>1.0921134130308841</v>
      </c>
      <c r="P367" s="831">
        <f ca="1">2.98 + (RAND() * (3.03 - 2.98))</f>
        <v>2.9998200404693645</v>
      </c>
      <c r="Q367" s="832" t="str">
        <f ca="1">IF(D367="130 × 130", (130 + RANDBETWEEN(-1,1)) &amp; " × " &amp; (130 + RANDBETWEEN(-1,1)),
   IF(D367="160 × 160", (160 + RANDBETWEEN(-1,1)) &amp; " × " &amp; (160 + RANDBETWEEN(-1,1)),
   IF(D367="110 × 110", (110 + RANDBETWEEN(-1,1)) &amp; " × " &amp; (110 + RANDBETWEEN(-1,1)),
   "Value not matched")))</f>
        <v>Value not matched</v>
      </c>
      <c r="R367" s="833" t="s">
        <v>213</v>
      </c>
      <c r="S367" s="834" t="str">
        <f ca="1">IF(G367&lt;0.6, "IS 14650 CPS 10748/GR2", "IS 14650 CPS 10748/GR3")</f>
        <v>IS 14650 CPS 10748/GR2</v>
      </c>
      <c r="T367" s="831" t="s">
        <v>769</v>
      </c>
      <c r="U367" s="825"/>
      <c r="V367" s="826"/>
      <c r="W367" s="206">
        <f>Prod.!B206</f>
        <v>0</v>
      </c>
      <c r="X367" s="469">
        <f>Prod.!C206</f>
        <v>0</v>
      </c>
      <c r="Y367" s="469">
        <f>Prod.!D206</f>
        <v>0</v>
      </c>
      <c r="Z367" s="469">
        <f>Prod.!E206</f>
        <v>0</v>
      </c>
      <c r="AA367" s="282">
        <f>Prod.!F206</f>
        <v>0</v>
      </c>
      <c r="AB367" s="282">
        <f>Prod.!G206</f>
        <v>0</v>
      </c>
      <c r="AC367" s="836">
        <f>Prod.!H206</f>
        <v>0</v>
      </c>
      <c r="AD367" s="282">
        <f>Prod.!AB206</f>
        <v>0</v>
      </c>
      <c r="AE367" s="282">
        <f>AD367-AF367</f>
        <v>0</v>
      </c>
      <c r="AF367" s="282">
        <f>Prod.!AA206</f>
        <v>0</v>
      </c>
    </row>
    <row r="368" spans="1:32" ht="15" customHeight="1">
      <c r="A368" s="1435">
        <v>6</v>
      </c>
      <c r="B368" s="818">
        <f>W369</f>
        <v>0</v>
      </c>
      <c r="C368" s="819" t="s">
        <v>765</v>
      </c>
      <c r="D368" s="822"/>
      <c r="E368" s="822"/>
      <c r="F368" s="821">
        <f ca="1">F369 + (RAND() * 0.02 - 0.01)</f>
        <v>7.6051962279102842E-3</v>
      </c>
      <c r="G368" s="821">
        <f ca="1">G369 + (RAND() * 0.06 - 0.03)</f>
        <v>0.52341549508200536</v>
      </c>
      <c r="H368" s="822">
        <f ca="1">H369 + (RAND() * 0.006 - 0.003)</f>
        <v>-2.1775913686439175E-3</v>
      </c>
      <c r="I368" s="822">
        <f ca="1">I369 + (RAND() * 0.006 - 0.003)</f>
        <v>-6.0734477349483947E-5</v>
      </c>
      <c r="J368" s="821">
        <f ca="1">J369 + (RAND() * 0.02 - 0.01)</f>
        <v>-9.7427613017341264E-3</v>
      </c>
      <c r="K368" s="821"/>
      <c r="L368" s="822"/>
      <c r="M368" s="821"/>
      <c r="N368" s="823"/>
      <c r="O368" s="823"/>
      <c r="P368" s="823"/>
      <c r="Q368" s="823"/>
      <c r="R368" s="839"/>
      <c r="S368" s="821"/>
      <c r="T368" s="821"/>
      <c r="U368" s="825"/>
      <c r="V368" s="826"/>
    </row>
    <row r="369" spans="1:32" ht="15" customHeight="1">
      <c r="A369" s="1435"/>
      <c r="B369" s="827">
        <f>B368</f>
        <v>0</v>
      </c>
      <c r="C369" s="828" t="s">
        <v>768</v>
      </c>
      <c r="D369" s="829" t="str">
        <f>IF(AC369=130, "130 × 130", IF(AC369=160, "160 × 160", IF(AC369=110, "110 × 110", "Value not 130, 160, or 110")))</f>
        <v>Value not 130, 160, or 110</v>
      </c>
      <c r="E369" s="830">
        <f>AD369</f>
        <v>0</v>
      </c>
      <c r="F369" s="831">
        <f ca="1">IF(X369 &gt; 0.1, RAND() * (0.1 - 0.06) + 0.06, X369)</f>
        <v>0</v>
      </c>
      <c r="G369" s="831">
        <f ca="1">IF(Y369 &lt; 0.5, 0.5 + RAND() * 0.1, Y369)</f>
        <v>0.53989249491131808</v>
      </c>
      <c r="H369" s="830">
        <f ca="1">IF(AB369&gt;0.04, 0.029 + (0.039-0.029)*RAND(), AB369)</f>
        <v>0</v>
      </c>
      <c r="I369" s="830">
        <f ca="1">IF(AA369&gt;0.04, 0.029 + (0.039-0.029)*RAND(), AA369)</f>
        <v>0</v>
      </c>
      <c r="J369" s="831">
        <f ca="1">IF(Z369&gt;0.15, 0.11 + (0.15-0.11) * RAND(), Z369)</f>
        <v>0</v>
      </c>
      <c r="K369" s="830">
        <f ca="1">0.004 + (RAND() * (0.001 - 0.004))</f>
        <v>3.4719797629862176E-3</v>
      </c>
      <c r="L369" s="830">
        <f ca="1">H369+I369</f>
        <v>0</v>
      </c>
      <c r="M369" s="831">
        <f ca="1">(G369/6)+F369</f>
        <v>8.9982082485219675E-2</v>
      </c>
      <c r="N369" s="831">
        <f ca="1">2 + RAND()</f>
        <v>2.5192200692379076</v>
      </c>
      <c r="O369" s="831">
        <f ca="1">1 + RAND()</f>
        <v>1.5637248458996922</v>
      </c>
      <c r="P369" s="831">
        <f ca="1">2.98 + (RAND() * (3.03 - 2.98))</f>
        <v>3.0260253743627499</v>
      </c>
      <c r="Q369" s="832" t="str">
        <f ca="1">IF(D369="130 × 130", (130 + RANDBETWEEN(-1,1)) &amp; " × " &amp; (130 + RANDBETWEEN(-1,1)),
   IF(D369="160 × 160", (160 + RANDBETWEEN(-1,1)) &amp; " × " &amp; (160 + RANDBETWEEN(-1,1)),
   IF(D369="110 × 110", (110 + RANDBETWEEN(-1,1)) &amp; " × " &amp; (110 + RANDBETWEEN(-1,1)),
   "Value not matched")))</f>
        <v>Value not matched</v>
      </c>
      <c r="R369" s="833" t="s">
        <v>213</v>
      </c>
      <c r="S369" s="834" t="str">
        <f ca="1">IF(G369&lt;0.6, "IS 14650 CPS 10748/GR2", "IS 14650 CPS 10748/GR3")</f>
        <v>IS 14650 CPS 10748/GR2</v>
      </c>
      <c r="T369" s="831" t="s">
        <v>769</v>
      </c>
      <c r="U369" s="825"/>
      <c r="V369" s="826"/>
      <c r="W369" s="206">
        <f>Prod.!B207</f>
        <v>0</v>
      </c>
      <c r="X369" s="469">
        <f>Prod.!C207</f>
        <v>0</v>
      </c>
      <c r="Y369" s="469">
        <f>Prod.!D207</f>
        <v>0</v>
      </c>
      <c r="Z369" s="469">
        <f>Prod.!E207</f>
        <v>0</v>
      </c>
      <c r="AA369" s="282">
        <f>Prod.!F207</f>
        <v>0</v>
      </c>
      <c r="AB369" s="282">
        <f>Prod.!G207</f>
        <v>0</v>
      </c>
      <c r="AC369" s="836">
        <f>Prod.!H207</f>
        <v>0</v>
      </c>
      <c r="AD369" s="282">
        <f>Prod.!AB207</f>
        <v>0</v>
      </c>
      <c r="AE369" s="282">
        <f>AD369-AF369</f>
        <v>0</v>
      </c>
      <c r="AF369" s="282">
        <f>Prod.!AA207</f>
        <v>0</v>
      </c>
    </row>
    <row r="370" spans="1:32" ht="15" customHeight="1">
      <c r="A370" s="1435">
        <v>7</v>
      </c>
      <c r="B370" s="818">
        <f>W371</f>
        <v>0</v>
      </c>
      <c r="C370" s="819" t="s">
        <v>765</v>
      </c>
      <c r="D370" s="822"/>
      <c r="E370" s="822"/>
      <c r="F370" s="821">
        <f ca="1">F371 + (RAND() * 0.02 - 0.01)</f>
        <v>1.7156329834678661E-3</v>
      </c>
      <c r="G370" s="821">
        <f ca="1">G371 + (RAND() * 0.06 - 0.03)</f>
        <v>0.50282283492698099</v>
      </c>
      <c r="H370" s="822">
        <f ca="1">H371 + (RAND() * 0.006 - 0.003)</f>
        <v>-2.163042319054299E-3</v>
      </c>
      <c r="I370" s="822">
        <f ca="1">I371 + (RAND() * 0.006 - 0.003)</f>
        <v>-2.2477608211607727E-3</v>
      </c>
      <c r="J370" s="821">
        <f ca="1">J371 + (RAND() * 0.02 - 0.01)</f>
        <v>2.0463832387894784E-3</v>
      </c>
      <c r="K370" s="821"/>
      <c r="L370" s="822"/>
      <c r="M370" s="821"/>
      <c r="N370" s="823"/>
      <c r="O370" s="823"/>
      <c r="P370" s="823"/>
      <c r="Q370" s="823"/>
      <c r="R370" s="839"/>
      <c r="S370" s="821"/>
      <c r="T370" s="821"/>
      <c r="U370" s="825"/>
      <c r="V370" s="826"/>
    </row>
    <row r="371" spans="1:32" ht="15" customHeight="1">
      <c r="A371" s="1435"/>
      <c r="B371" s="827">
        <f>B370</f>
        <v>0</v>
      </c>
      <c r="C371" s="828" t="s">
        <v>768</v>
      </c>
      <c r="D371" s="829" t="str">
        <f>IF(AC371=130, "130 × 130", IF(AC371=160, "160 × 160", IF(AC371=110, "110 × 110", "Value not 130, 160, or 110")))</f>
        <v>Value not 130, 160, or 110</v>
      </c>
      <c r="E371" s="830">
        <f>AD371</f>
        <v>0</v>
      </c>
      <c r="F371" s="831">
        <f ca="1">IF(X371 &gt; 0.1, RAND() * (0.1 - 0.06) + 0.06, X371)</f>
        <v>0</v>
      </c>
      <c r="G371" s="831">
        <f ca="1">IF(Y371 &lt; 0.5, 0.5 + RAND() * 0.1, Y371)</f>
        <v>0.50701004600144972</v>
      </c>
      <c r="H371" s="830">
        <f ca="1">IF(AB371&gt;0.04, 0.029 + (0.039-0.029)*RAND(), AB371)</f>
        <v>0</v>
      </c>
      <c r="I371" s="830">
        <f ca="1">IF(AA371&gt;0.04, 0.029 + (0.039-0.029)*RAND(), AA371)</f>
        <v>0</v>
      </c>
      <c r="J371" s="831">
        <f ca="1">IF(Z371&gt;0.15, 0.11 + (0.15-0.11) * RAND(), Z371)</f>
        <v>0</v>
      </c>
      <c r="K371" s="830">
        <f ca="1">0.004 + (RAND() * (0.001 - 0.004))</f>
        <v>1.9544483989144502E-3</v>
      </c>
      <c r="L371" s="830">
        <f ca="1">H371+I371</f>
        <v>0</v>
      </c>
      <c r="M371" s="831">
        <f ca="1">(G371/6)+F371</f>
        <v>8.4501674333574958E-2</v>
      </c>
      <c r="N371" s="831">
        <f ca="1">2 + RAND()</f>
        <v>2.7996888427711455</v>
      </c>
      <c r="O371" s="831">
        <f ca="1">1 + RAND()</f>
        <v>1.5741374113545654</v>
      </c>
      <c r="P371" s="831">
        <f ca="1">2.98 + (RAND() * (3.03 - 2.98))</f>
        <v>2.9950677958160128</v>
      </c>
      <c r="Q371" s="832" t="str">
        <f ca="1">IF(D371="130 × 130", (130 + RANDBETWEEN(-1,1)) &amp; " × " &amp; (130 + RANDBETWEEN(-1,1)),
   IF(D371="160 × 160", (160 + RANDBETWEEN(-1,1)) &amp; " × " &amp; (160 + RANDBETWEEN(-1,1)),
   IF(D371="110 × 110", (110 + RANDBETWEEN(-1,1)) &amp; " × " &amp; (110 + RANDBETWEEN(-1,1)),
   "Value not matched")))</f>
        <v>Value not matched</v>
      </c>
      <c r="R371" s="833" t="s">
        <v>213</v>
      </c>
      <c r="S371" s="834" t="str">
        <f ca="1">IF(G371&lt;0.6, "IS 14650 CPS 10748/GR2", "IS 14650 CPS 10748/GR3")</f>
        <v>IS 14650 CPS 10748/GR2</v>
      </c>
      <c r="T371" s="831" t="s">
        <v>769</v>
      </c>
      <c r="U371" s="825"/>
      <c r="V371" s="826"/>
      <c r="W371" s="206">
        <f>Prod.!B208</f>
        <v>0</v>
      </c>
      <c r="X371" s="469">
        <f>Prod.!C208</f>
        <v>0</v>
      </c>
      <c r="Y371" s="469">
        <f>Prod.!D208</f>
        <v>0</v>
      </c>
      <c r="Z371" s="469">
        <f>Prod.!E208</f>
        <v>0</v>
      </c>
      <c r="AA371" s="282">
        <f>Prod.!F208</f>
        <v>0</v>
      </c>
      <c r="AB371" s="282">
        <f>Prod.!G208</f>
        <v>0</v>
      </c>
      <c r="AC371" s="836">
        <f>Prod.!H208</f>
        <v>0</v>
      </c>
      <c r="AD371" s="282">
        <f>Prod.!AB208</f>
        <v>0</v>
      </c>
      <c r="AE371" s="282">
        <f>AD371-AF371</f>
        <v>0</v>
      </c>
      <c r="AF371" s="282">
        <f>Prod.!AA208</f>
        <v>0</v>
      </c>
    </row>
    <row r="372" spans="1:32" ht="15" customHeight="1">
      <c r="A372" s="1435">
        <v>8</v>
      </c>
      <c r="B372" s="818">
        <f>W373</f>
        <v>0</v>
      </c>
      <c r="C372" s="819" t="s">
        <v>765</v>
      </c>
      <c r="D372" s="822"/>
      <c r="E372" s="822"/>
      <c r="F372" s="821">
        <f ca="1">F373 + (RAND() * 0.02 - 0.01)</f>
        <v>4.151362291339826E-3</v>
      </c>
      <c r="G372" s="821">
        <f ca="1">G373 + (RAND() * 0.06 - 0.03)</f>
        <v>0.53229714306215625</v>
      </c>
      <c r="H372" s="822">
        <f ca="1">H373 + (RAND() * 0.006 - 0.003)</f>
        <v>-7.9054424686675296E-4</v>
      </c>
      <c r="I372" s="822">
        <f ca="1">I373 + (RAND() * 0.006 - 0.003)</f>
        <v>2.8020685612510053E-3</v>
      </c>
      <c r="J372" s="821">
        <f ca="1">J373 + (RAND() * 0.02 - 0.01)</f>
        <v>-5.7873572995164758E-3</v>
      </c>
      <c r="K372" s="821"/>
      <c r="L372" s="822"/>
      <c r="M372" s="821"/>
      <c r="N372" s="823"/>
      <c r="O372" s="823"/>
      <c r="P372" s="823"/>
      <c r="Q372" s="823"/>
      <c r="R372" s="839"/>
      <c r="S372" s="821"/>
      <c r="T372" s="821"/>
      <c r="U372" s="825"/>
      <c r="V372" s="826"/>
    </row>
    <row r="373" spans="1:32" ht="15" customHeight="1">
      <c r="A373" s="1435"/>
      <c r="B373" s="827">
        <f>B372</f>
        <v>0</v>
      </c>
      <c r="C373" s="828" t="s">
        <v>768</v>
      </c>
      <c r="D373" s="829" t="str">
        <f>IF(AC373=130, "130 × 130", IF(AC373=160, "160 × 160", IF(AC373=110, "110 × 110", "Value not 130, 160, or 110")))</f>
        <v>Value not 130, 160, or 110</v>
      </c>
      <c r="E373" s="830">
        <f>AD373</f>
        <v>0</v>
      </c>
      <c r="F373" s="831">
        <f ca="1">IF(X373 &gt; 0.1, RAND() * (0.1 - 0.06) + 0.06, X373)</f>
        <v>0</v>
      </c>
      <c r="G373" s="831">
        <f ca="1">IF(Y373 &lt; 0.5, 0.5 + RAND() * 0.1, Y373)</f>
        <v>0.54359933208931854</v>
      </c>
      <c r="H373" s="830">
        <f ca="1">IF(AB373&gt;0.04, 0.029 + (0.039-0.029)*RAND(), AB373)</f>
        <v>0</v>
      </c>
      <c r="I373" s="830">
        <f ca="1">IF(AA373&gt;0.04, 0.029 + (0.039-0.029)*RAND(), AA373)</f>
        <v>0</v>
      </c>
      <c r="J373" s="831">
        <f ca="1">IF(Z373&gt;0.15, 0.11 + (0.15-0.11) * RAND(), Z373)</f>
        <v>0</v>
      </c>
      <c r="K373" s="830">
        <f ca="1">0.004 + (RAND() * (0.001 - 0.004))</f>
        <v>1.4797072252837368E-3</v>
      </c>
      <c r="L373" s="830">
        <f ca="1">H373+I373</f>
        <v>0</v>
      </c>
      <c r="M373" s="831">
        <f ca="1">(G373/6)+F373</f>
        <v>9.0599888681553095E-2</v>
      </c>
      <c r="N373" s="831">
        <f ca="1">2 + RAND()</f>
        <v>2.8716781617766083</v>
      </c>
      <c r="O373" s="831">
        <f ca="1">1 + RAND()</f>
        <v>1.239081748166424</v>
      </c>
      <c r="P373" s="831">
        <f ca="1">2.98 + (RAND() * (3.03 - 2.98))</f>
        <v>2.9888715578508434</v>
      </c>
      <c r="Q373" s="832" t="str">
        <f ca="1">IF(D373="130 × 130", (130 + RANDBETWEEN(-1,1)) &amp; " × " &amp; (130 + RANDBETWEEN(-1,1)),
   IF(D373="160 × 160", (160 + RANDBETWEEN(-1,1)) &amp; " × " &amp; (160 + RANDBETWEEN(-1,1)),
   IF(D373="110 × 110", (110 + RANDBETWEEN(-1,1)) &amp; " × " &amp; (110 + RANDBETWEEN(-1,1)),
   "Value not matched")))</f>
        <v>Value not matched</v>
      </c>
      <c r="R373" s="833" t="s">
        <v>213</v>
      </c>
      <c r="S373" s="834" t="str">
        <f ca="1">IF(G373&lt;0.6, "IS 14650 CPS 10748/GR2", "IS 14650 CPS 10748/GR3")</f>
        <v>IS 14650 CPS 10748/GR2</v>
      </c>
      <c r="T373" s="831" t="s">
        <v>769</v>
      </c>
      <c r="U373" s="825"/>
      <c r="V373" s="826"/>
      <c r="W373" s="206">
        <f>Prod.!B209</f>
        <v>0</v>
      </c>
      <c r="X373" s="469">
        <f>Prod.!C209</f>
        <v>0</v>
      </c>
      <c r="Y373" s="469">
        <f>Prod.!D209</f>
        <v>0</v>
      </c>
      <c r="Z373" s="469">
        <f>Prod.!E209</f>
        <v>0</v>
      </c>
      <c r="AA373" s="282">
        <f>Prod.!F209</f>
        <v>0</v>
      </c>
      <c r="AB373" s="282">
        <f>Prod.!G209</f>
        <v>0</v>
      </c>
      <c r="AC373" s="836">
        <f>Prod.!H209</f>
        <v>0</v>
      </c>
      <c r="AD373" s="282">
        <f>Prod.!AB209</f>
        <v>0</v>
      </c>
      <c r="AE373" s="282">
        <f>AD373-AF373</f>
        <v>0</v>
      </c>
      <c r="AF373" s="282">
        <f>Prod.!AA209</f>
        <v>0</v>
      </c>
    </row>
    <row r="374" spans="1:32" ht="15" customHeight="1">
      <c r="A374" s="1435">
        <v>9</v>
      </c>
      <c r="B374" s="818">
        <f>W375</f>
        <v>0</v>
      </c>
      <c r="C374" s="819" t="s">
        <v>765</v>
      </c>
      <c r="D374" s="822"/>
      <c r="E374" s="822"/>
      <c r="F374" s="821">
        <f ca="1">F375 + (RAND() * 0.02 - 0.01)</f>
        <v>-4.8348705100982881E-3</v>
      </c>
      <c r="G374" s="821">
        <f ca="1">G375 + (RAND() * 0.06 - 0.03)</f>
        <v>0.6148243832627962</v>
      </c>
      <c r="H374" s="822">
        <f ca="1">H375 + (RAND() * 0.006 - 0.003)</f>
        <v>2.1265921394970069E-3</v>
      </c>
      <c r="I374" s="822">
        <f ca="1">I375 + (RAND() * 0.006 - 0.003)</f>
        <v>-2.8764607777370301E-3</v>
      </c>
      <c r="J374" s="821">
        <f ca="1">J375 + (RAND() * 0.02 - 0.01)</f>
        <v>-9.4494682785658084E-3</v>
      </c>
      <c r="K374" s="821"/>
      <c r="L374" s="822"/>
      <c r="M374" s="821"/>
      <c r="N374" s="823"/>
      <c r="O374" s="823"/>
      <c r="P374" s="823"/>
      <c r="Q374" s="823"/>
      <c r="R374" s="839"/>
      <c r="S374" s="821"/>
      <c r="T374" s="821"/>
      <c r="U374" s="825"/>
      <c r="V374" s="826"/>
    </row>
    <row r="375" spans="1:32" ht="15" customHeight="1">
      <c r="A375" s="1435"/>
      <c r="B375" s="827">
        <f>B374</f>
        <v>0</v>
      </c>
      <c r="C375" s="828" t="s">
        <v>768</v>
      </c>
      <c r="D375" s="829" t="str">
        <f>IF(AC375=130, "130 × 130", IF(AC375=160, "160 × 160", IF(AC375=110, "110 × 110", "Value not 130, 160, or 110")))</f>
        <v>Value not 130, 160, or 110</v>
      </c>
      <c r="E375" s="830">
        <f>AD375</f>
        <v>0</v>
      </c>
      <c r="F375" s="831">
        <f ca="1">IF(X375 &gt; 0.1, RAND() * (0.1 - 0.06) + 0.06, X375)</f>
        <v>0</v>
      </c>
      <c r="G375" s="831">
        <f ca="1">IF(Y375 &lt; 0.5, 0.5 + RAND() * 0.1, Y375)</f>
        <v>0.59048588778017463</v>
      </c>
      <c r="H375" s="830">
        <f ca="1">IF(AB375&gt;0.04, 0.029 + (0.039-0.029)*RAND(), AB375)</f>
        <v>0</v>
      </c>
      <c r="I375" s="830">
        <f ca="1">IF(AA375&gt;0.04, 0.029 + (0.039-0.029)*RAND(), AA375)</f>
        <v>0</v>
      </c>
      <c r="J375" s="831">
        <f ca="1">IF(Z375&gt;0.15, 0.11 + (0.15-0.11) * RAND(), Z375)</f>
        <v>0</v>
      </c>
      <c r="K375" s="830">
        <f ca="1">0.004 + (RAND() * (0.001 - 0.004))</f>
        <v>2.4692262021900266E-3</v>
      </c>
      <c r="L375" s="830">
        <f ca="1">H375+I375</f>
        <v>0</v>
      </c>
      <c r="M375" s="831">
        <f ca="1">(G375/6)+F375</f>
        <v>9.8414314630029101E-2</v>
      </c>
      <c r="N375" s="831">
        <f ca="1">2 + RAND()</f>
        <v>2.8010313359772869</v>
      </c>
      <c r="O375" s="831">
        <f ca="1">1 + RAND()</f>
        <v>1.3167220493488321</v>
      </c>
      <c r="P375" s="831">
        <f ca="1">2.98 + (RAND() * (3.03 - 2.98))</f>
        <v>3.0167859035121718</v>
      </c>
      <c r="Q375" s="832" t="str">
        <f ca="1">IF(D375="130 × 130", (130 + RANDBETWEEN(-1,1)) &amp; " × " &amp; (130 + RANDBETWEEN(-1,1)),
   IF(D375="160 × 160", (160 + RANDBETWEEN(-1,1)) &amp; " × " &amp; (160 + RANDBETWEEN(-1,1)),
   IF(D375="110 × 110", (110 + RANDBETWEEN(-1,1)) &amp; " × " &amp; (110 + RANDBETWEEN(-1,1)),
   "Value not matched")))</f>
        <v>Value not matched</v>
      </c>
      <c r="R375" s="833" t="s">
        <v>213</v>
      </c>
      <c r="S375" s="834" t="str">
        <f ca="1">IF(G375&lt;0.6, "IS 14650 CPS 10748/GR2", "IS 14650 CPS 10748/GR3")</f>
        <v>IS 14650 CPS 10748/GR2</v>
      </c>
      <c r="T375" s="831" t="s">
        <v>769</v>
      </c>
      <c r="U375" s="825"/>
      <c r="V375" s="826"/>
      <c r="W375" s="206">
        <f>Prod.!B210</f>
        <v>0</v>
      </c>
      <c r="X375" s="469">
        <f>Prod.!C210</f>
        <v>0</v>
      </c>
      <c r="Y375" s="469">
        <f>Prod.!D210</f>
        <v>0</v>
      </c>
      <c r="Z375" s="469">
        <f>Prod.!E210</f>
        <v>0</v>
      </c>
      <c r="AA375" s="282">
        <f>Prod.!F210</f>
        <v>0</v>
      </c>
      <c r="AB375" s="282">
        <f>Prod.!G210</f>
        <v>0</v>
      </c>
      <c r="AC375" s="836">
        <f>Prod.!H210</f>
        <v>0</v>
      </c>
      <c r="AD375" s="282">
        <f>Prod.!AB210</f>
        <v>0</v>
      </c>
      <c r="AE375" s="282">
        <f>AD375-AF375</f>
        <v>0</v>
      </c>
      <c r="AF375" s="282">
        <f>Prod.!AA210</f>
        <v>0</v>
      </c>
    </row>
    <row r="376" spans="1:32" ht="15" customHeight="1">
      <c r="A376" s="1435">
        <v>10</v>
      </c>
      <c r="B376" s="818">
        <f>W377</f>
        <v>0</v>
      </c>
      <c r="C376" s="819" t="s">
        <v>765</v>
      </c>
      <c r="D376" s="822"/>
      <c r="E376" s="822"/>
      <c r="F376" s="821">
        <f ca="1">F377 + (RAND() * 0.02 - 0.01)</f>
        <v>-6.9014341545802372E-3</v>
      </c>
      <c r="G376" s="821">
        <f ca="1">G377 + (RAND() * 0.06 - 0.03)</f>
        <v>0.58877217987408104</v>
      </c>
      <c r="H376" s="822">
        <f ca="1">H377 + (RAND() * 0.006 - 0.003)</f>
        <v>3.6021720438667113E-4</v>
      </c>
      <c r="I376" s="822">
        <f ca="1">I377 + (RAND() * 0.006 - 0.003)</f>
        <v>-2.992378893794694E-3</v>
      </c>
      <c r="J376" s="821">
        <f ca="1">J377 + (RAND() * 0.02 - 0.01)</f>
        <v>-4.1177650510559613E-3</v>
      </c>
      <c r="K376" s="821"/>
      <c r="L376" s="822"/>
      <c r="M376" s="821"/>
      <c r="N376" s="823"/>
      <c r="O376" s="823"/>
      <c r="P376" s="823"/>
      <c r="Q376" s="823"/>
      <c r="R376" s="839"/>
      <c r="S376" s="821"/>
      <c r="T376" s="821"/>
      <c r="U376" s="825"/>
      <c r="V376" s="826"/>
    </row>
    <row r="377" spans="1:32" ht="15" customHeight="1">
      <c r="A377" s="1435"/>
      <c r="B377" s="827">
        <f>B376</f>
        <v>0</v>
      </c>
      <c r="C377" s="828" t="s">
        <v>768</v>
      </c>
      <c r="D377" s="829" t="str">
        <f>IF(AC377=130, "130 × 130", IF(AC377=160, "160 × 160", IF(AC377=110, "110 × 110", "Value not 130, 160, or 110")))</f>
        <v>Value not 130, 160, or 110</v>
      </c>
      <c r="E377" s="830">
        <f>AD377</f>
        <v>0</v>
      </c>
      <c r="F377" s="831">
        <f ca="1">IF(X377 &gt; 0.1, RAND() * (0.1 - 0.06) + 0.06, X377)</f>
        <v>0</v>
      </c>
      <c r="G377" s="831">
        <f ca="1">IF(Y377 &lt; 0.5, 0.5 + RAND() * 0.1, Y377)</f>
        <v>0.56554723280082075</v>
      </c>
      <c r="H377" s="830">
        <f ca="1">IF(AB377&gt;0.04, 0.029 + (0.039-0.029)*RAND(), AB377)</f>
        <v>0</v>
      </c>
      <c r="I377" s="830">
        <f ca="1">IF(AA377&gt;0.04, 0.029 + (0.039-0.029)*RAND(), AA377)</f>
        <v>0</v>
      </c>
      <c r="J377" s="831">
        <f ca="1">IF(Z377&gt;0.15, 0.11 + (0.15-0.11) * RAND(), Z377)</f>
        <v>0</v>
      </c>
      <c r="K377" s="830">
        <f ca="1">0.004 + (RAND() * (0.001 - 0.004))</f>
        <v>1.2059258436645493E-3</v>
      </c>
      <c r="L377" s="830">
        <f ca="1">H377+I377</f>
        <v>0</v>
      </c>
      <c r="M377" s="831">
        <f ca="1">(G377/6)+F377</f>
        <v>9.425787213347013E-2</v>
      </c>
      <c r="N377" s="831">
        <f ca="1">2 + RAND()</f>
        <v>2.6564590066677214</v>
      </c>
      <c r="O377" s="831">
        <f ca="1">1 + RAND()</f>
        <v>1.3811043015985689</v>
      </c>
      <c r="P377" s="831">
        <f ca="1">2.98 + (RAND() * (3.03 - 2.98))</f>
        <v>2.9829023796467795</v>
      </c>
      <c r="Q377" s="832" t="str">
        <f ca="1">IF(D377="130 × 130", (130 + RANDBETWEEN(-1,1)) &amp; " × " &amp; (130 + RANDBETWEEN(-1,1)),
   IF(D377="160 × 160", (160 + RANDBETWEEN(-1,1)) &amp; " × " &amp; (160 + RANDBETWEEN(-1,1)),
   IF(D377="110 × 110", (110 + RANDBETWEEN(-1,1)) &amp; " × " &amp; (110 + RANDBETWEEN(-1,1)),
   "Value not matched")))</f>
        <v>Value not matched</v>
      </c>
      <c r="R377" s="833" t="s">
        <v>213</v>
      </c>
      <c r="S377" s="834" t="str">
        <f ca="1">IF(G377&lt;0.6, "IS 14650 CPS 10748/GR2", "IS 14650 CPS 10748/GR3")</f>
        <v>IS 14650 CPS 10748/GR2</v>
      </c>
      <c r="T377" s="831" t="s">
        <v>769</v>
      </c>
      <c r="U377" s="825"/>
      <c r="V377" s="826"/>
      <c r="W377" s="206">
        <f>Prod.!B211</f>
        <v>0</v>
      </c>
      <c r="X377" s="469">
        <f>Prod.!C211</f>
        <v>0</v>
      </c>
      <c r="Y377" s="469">
        <f>Prod.!D211</f>
        <v>0</v>
      </c>
      <c r="Z377" s="469">
        <f>Prod.!E211</f>
        <v>0</v>
      </c>
      <c r="AA377" s="282">
        <f>Prod.!F211</f>
        <v>0</v>
      </c>
      <c r="AB377" s="282">
        <f>Prod.!G211</f>
        <v>0</v>
      </c>
      <c r="AC377" s="836">
        <f>Prod.!H211</f>
        <v>0</v>
      </c>
      <c r="AD377" s="282">
        <f>Prod.!AB211</f>
        <v>0</v>
      </c>
      <c r="AE377" s="282">
        <f>AD377-AF377</f>
        <v>0</v>
      </c>
      <c r="AF377" s="282">
        <f>Prod.!AA211</f>
        <v>0</v>
      </c>
    </row>
    <row r="378" spans="1:32" ht="15" customHeight="1">
      <c r="A378" s="1435">
        <v>11</v>
      </c>
      <c r="B378" s="818">
        <f>W379</f>
        <v>0</v>
      </c>
      <c r="C378" s="819" t="s">
        <v>765</v>
      </c>
      <c r="D378" s="822"/>
      <c r="E378" s="822"/>
      <c r="F378" s="821">
        <f ca="1">F379 + (RAND() * 0.02 - 0.01)</f>
        <v>4.7550961885904127E-3</v>
      </c>
      <c r="G378" s="821">
        <f ca="1">G379 + (RAND() * 0.06 - 0.03)</f>
        <v>0.57462544372721924</v>
      </c>
      <c r="H378" s="822">
        <f ca="1">H379 + (RAND() * 0.006 - 0.003)</f>
        <v>-2.4708663110359647E-3</v>
      </c>
      <c r="I378" s="822">
        <f ca="1">I379 + (RAND() * 0.006 - 0.003)</f>
        <v>2.7484290527874707E-3</v>
      </c>
      <c r="J378" s="821">
        <f ca="1">J379 + (RAND() * 0.02 - 0.01)</f>
        <v>4.8180368233436636E-3</v>
      </c>
      <c r="K378" s="821"/>
      <c r="L378" s="822"/>
      <c r="M378" s="821"/>
      <c r="N378" s="823"/>
      <c r="O378" s="823"/>
      <c r="P378" s="823"/>
      <c r="Q378" s="823"/>
      <c r="R378" s="839"/>
      <c r="S378" s="821"/>
      <c r="T378" s="821"/>
      <c r="U378" s="825"/>
      <c r="V378" s="826"/>
    </row>
    <row r="379" spans="1:32" ht="15" customHeight="1">
      <c r="A379" s="1435"/>
      <c r="B379" s="827">
        <f>B378</f>
        <v>0</v>
      </c>
      <c r="C379" s="828" t="s">
        <v>768</v>
      </c>
      <c r="D379" s="829" t="str">
        <f>IF(AC379=130, "130 × 130", IF(AC379=160, "160 × 160", IF(AC379=110, "110 × 110", "Value not 130, 160, or 110")))</f>
        <v>Value not 130, 160, or 110</v>
      </c>
      <c r="E379" s="830">
        <f>AD379</f>
        <v>0</v>
      </c>
      <c r="F379" s="831">
        <f ca="1">IF(X379 &gt; 0.1, RAND() * (0.1 - 0.06) + 0.06, X379)</f>
        <v>0</v>
      </c>
      <c r="G379" s="831">
        <f ca="1">IF(Y379 &lt; 0.5, 0.5 + RAND() * 0.1, Y379)</f>
        <v>0.55983936410504676</v>
      </c>
      <c r="H379" s="830">
        <f ca="1">IF(AB379&gt;0.04, 0.029 + (0.039-0.029)*RAND(), AB379)</f>
        <v>0</v>
      </c>
      <c r="I379" s="830">
        <f ca="1">IF(AA379&gt;0.04, 0.029 + (0.039-0.029)*RAND(), AA379)</f>
        <v>0</v>
      </c>
      <c r="J379" s="831">
        <f ca="1">IF(Z379&gt;0.15, 0.11 + (0.15-0.11) * RAND(), Z379)</f>
        <v>0</v>
      </c>
      <c r="K379" s="830">
        <f ca="1">0.004 + (RAND() * (0.001 - 0.004))</f>
        <v>3.2262442700718369E-3</v>
      </c>
      <c r="L379" s="830">
        <f ca="1">H379+I379</f>
        <v>0</v>
      </c>
      <c r="M379" s="831">
        <f ca="1">(G379/6)+F379</f>
        <v>9.3306560684174464E-2</v>
      </c>
      <c r="N379" s="831">
        <f ca="1">2 + RAND()</f>
        <v>2.3793826206940412</v>
      </c>
      <c r="O379" s="831">
        <f ca="1">1 + RAND()</f>
        <v>1.1586644615432564</v>
      </c>
      <c r="P379" s="831">
        <f ca="1">2.98 + (RAND() * (3.03 - 2.98))</f>
        <v>2.9988562280675968</v>
      </c>
      <c r="Q379" s="832" t="str">
        <f ca="1">IF(D379="130 × 130", (130 + RANDBETWEEN(-1,1)) &amp; " × " &amp; (130 + RANDBETWEEN(-1,1)),
   IF(D379="160 × 160", (160 + RANDBETWEEN(-1,1)) &amp; " × " &amp; (160 + RANDBETWEEN(-1,1)),
   IF(D379="110 × 110", (110 + RANDBETWEEN(-1,1)) &amp; " × " &amp; (110 + RANDBETWEEN(-1,1)),
   "Value not matched")))</f>
        <v>Value not matched</v>
      </c>
      <c r="R379" s="833" t="s">
        <v>213</v>
      </c>
      <c r="S379" s="834" t="str">
        <f ca="1">IF(G379&lt;0.6, "IS 14650 CPS 10748/GR2", "IS 14650 CPS 10748/GR3")</f>
        <v>IS 14650 CPS 10748/GR2</v>
      </c>
      <c r="T379" s="831" t="s">
        <v>769</v>
      </c>
      <c r="U379" s="825"/>
      <c r="V379" s="826"/>
      <c r="W379" s="206">
        <f>Prod.!B212</f>
        <v>0</v>
      </c>
      <c r="X379" s="469">
        <f>Prod.!C212</f>
        <v>0</v>
      </c>
      <c r="Y379" s="469">
        <f>Prod.!D212</f>
        <v>0</v>
      </c>
      <c r="Z379" s="469">
        <f>Prod.!E212</f>
        <v>0</v>
      </c>
      <c r="AA379" s="282">
        <f>Prod.!F212</f>
        <v>0</v>
      </c>
      <c r="AB379" s="282">
        <f>Prod.!G212</f>
        <v>0</v>
      </c>
      <c r="AC379" s="836">
        <f>Prod.!H212</f>
        <v>0</v>
      </c>
      <c r="AD379" s="282">
        <f>Prod.!AB212</f>
        <v>0</v>
      </c>
      <c r="AE379" s="282">
        <f>AD379-AF379</f>
        <v>0</v>
      </c>
      <c r="AF379" s="282">
        <f>Prod.!AA212</f>
        <v>0</v>
      </c>
    </row>
    <row r="380" spans="1:32" ht="15" customHeight="1">
      <c r="A380" s="1435">
        <v>12</v>
      </c>
      <c r="B380" s="818">
        <f>W381</f>
        <v>0</v>
      </c>
      <c r="C380" s="819" t="s">
        <v>765</v>
      </c>
      <c r="D380" s="822"/>
      <c r="E380" s="822"/>
      <c r="F380" s="821">
        <f ca="1">F381 + (RAND() * 0.02 - 0.01)</f>
        <v>-1.3912970407099177E-3</v>
      </c>
      <c r="G380" s="821">
        <f ca="1">G381 + (RAND() * 0.06 - 0.03)</f>
        <v>0.59689102521617221</v>
      </c>
      <c r="H380" s="822">
        <f ca="1">H381 + (RAND() * 0.006 - 0.003)</f>
        <v>-2.8544239401976975E-3</v>
      </c>
      <c r="I380" s="822">
        <f ca="1">I381 + (RAND() * 0.006 - 0.003)</f>
        <v>-2.3231474883001202E-3</v>
      </c>
      <c r="J380" s="821">
        <f ca="1">J381 + (RAND() * 0.02 - 0.01)</f>
        <v>8.4330478563416841E-5</v>
      </c>
      <c r="K380" s="821"/>
      <c r="L380" s="822"/>
      <c r="M380" s="821"/>
      <c r="N380" s="823"/>
      <c r="O380" s="823"/>
      <c r="P380" s="823"/>
      <c r="Q380" s="823"/>
      <c r="R380" s="839"/>
      <c r="S380" s="821"/>
      <c r="T380" s="821"/>
      <c r="U380" s="825"/>
      <c r="V380" s="826"/>
    </row>
    <row r="381" spans="1:32" ht="15" customHeight="1">
      <c r="A381" s="1435"/>
      <c r="B381" s="827">
        <f>B380</f>
        <v>0</v>
      </c>
      <c r="C381" s="828" t="s">
        <v>768</v>
      </c>
      <c r="D381" s="829" t="str">
        <f>IF(AC381=130, "130 × 130", IF(AC381=160, "160 × 160", IF(AC381=110, "110 × 110", "Value not 130, 160, or 110")))</f>
        <v>Value not 130, 160, or 110</v>
      </c>
      <c r="E381" s="830">
        <f>AD381</f>
        <v>0</v>
      </c>
      <c r="F381" s="831">
        <f ca="1">IF(X381 &gt; 0.1, RAND() * (0.1 - 0.06) + 0.06, X381)</f>
        <v>0</v>
      </c>
      <c r="G381" s="831">
        <f ca="1">IF(Y381 &lt; 0.5, 0.5 + RAND() * 0.1, Y381)</f>
        <v>0.57112361629204522</v>
      </c>
      <c r="H381" s="830">
        <f ca="1">IF(AB381&gt;0.04, 0.029 + (0.039-0.029)*RAND(), AB381)</f>
        <v>0</v>
      </c>
      <c r="I381" s="830">
        <f ca="1">IF(AA381&gt;0.04, 0.029 + (0.039-0.029)*RAND(), AA381)</f>
        <v>0</v>
      </c>
      <c r="J381" s="831">
        <f ca="1">IF(Z381&gt;0.15, 0.11 + (0.15-0.11) * RAND(), Z381)</f>
        <v>0</v>
      </c>
      <c r="K381" s="830">
        <f ca="1">0.004 + (RAND() * (0.001 - 0.004))</f>
        <v>3.6601185706413818E-3</v>
      </c>
      <c r="L381" s="830">
        <f ca="1">H381+I381</f>
        <v>0</v>
      </c>
      <c r="M381" s="831">
        <f ca="1">(G381/6)+F381</f>
        <v>9.5187269382007542E-2</v>
      </c>
      <c r="N381" s="831">
        <f ca="1">2 + RAND()</f>
        <v>2.1856415789377417</v>
      </c>
      <c r="O381" s="831">
        <f ca="1">1 + RAND()</f>
        <v>1.1742859696758465</v>
      </c>
      <c r="P381" s="831">
        <f ca="1">2.98 + (RAND() * (3.03 - 2.98))</f>
        <v>3.0215377891040172</v>
      </c>
      <c r="Q381" s="832" t="str">
        <f ca="1">IF(D381="130 × 130", (130 + RANDBETWEEN(-1,1)) &amp; " × " &amp; (130 + RANDBETWEEN(-1,1)),
   IF(D381="160 × 160", (160 + RANDBETWEEN(-1,1)) &amp; " × " &amp; (160 + RANDBETWEEN(-1,1)),
   IF(D381="110 × 110", (110 + RANDBETWEEN(-1,1)) &amp; " × " &amp; (110 + RANDBETWEEN(-1,1)),
   "Value not matched")))</f>
        <v>Value not matched</v>
      </c>
      <c r="R381" s="833" t="s">
        <v>213</v>
      </c>
      <c r="S381" s="834" t="str">
        <f ca="1">IF(G381&lt;0.6, "IS 14650 CPS 10748/GR2", "IS 14650 CPS 10748/GR3")</f>
        <v>IS 14650 CPS 10748/GR2</v>
      </c>
      <c r="T381" s="831" t="s">
        <v>769</v>
      </c>
      <c r="U381" s="825"/>
      <c r="V381" s="826"/>
      <c r="W381" s="206">
        <f>Prod.!B213</f>
        <v>0</v>
      </c>
      <c r="X381" s="469">
        <f>Prod.!C213</f>
        <v>0</v>
      </c>
      <c r="Y381" s="469">
        <f>Prod.!D213</f>
        <v>0</v>
      </c>
      <c r="Z381" s="469">
        <f>Prod.!E213</f>
        <v>0</v>
      </c>
      <c r="AA381" s="282">
        <f>Prod.!F213</f>
        <v>0</v>
      </c>
      <c r="AB381" s="282">
        <f>Prod.!G213</f>
        <v>0</v>
      </c>
      <c r="AC381" s="836">
        <f>Prod.!H213</f>
        <v>0</v>
      </c>
      <c r="AD381" s="282">
        <f>Prod.!AB213</f>
        <v>0</v>
      </c>
      <c r="AE381" s="282">
        <f>AD381-AF381</f>
        <v>0</v>
      </c>
      <c r="AF381" s="282">
        <f>Prod.!AA213</f>
        <v>0</v>
      </c>
    </row>
    <row r="382" spans="1:32" ht="15" customHeight="1">
      <c r="A382" s="1435"/>
      <c r="B382" s="818"/>
      <c r="C382" s="819"/>
      <c r="D382" s="822"/>
      <c r="E382" s="822"/>
      <c r="F382" s="821"/>
      <c r="G382" s="821"/>
      <c r="H382" s="840"/>
      <c r="I382" s="840"/>
      <c r="J382" s="821"/>
      <c r="K382" s="821"/>
      <c r="L382" s="822"/>
      <c r="M382" s="838"/>
      <c r="N382" s="821"/>
      <c r="O382" s="821"/>
      <c r="P382" s="821"/>
      <c r="Q382" s="821"/>
      <c r="R382" s="839"/>
      <c r="S382" s="841"/>
      <c r="T382" s="821"/>
      <c r="U382" s="825"/>
      <c r="V382" s="826"/>
    </row>
    <row r="383" spans="1:32" ht="15" customHeight="1">
      <c r="A383" s="1435"/>
      <c r="B383" s="827"/>
      <c r="C383" s="828"/>
      <c r="D383" s="842"/>
      <c r="E383" s="830"/>
      <c r="F383" s="831"/>
      <c r="G383" s="831"/>
      <c r="H383" s="843"/>
      <c r="I383" s="843"/>
      <c r="J383" s="831"/>
      <c r="K383" s="831"/>
      <c r="L383" s="830"/>
      <c r="M383" s="831"/>
      <c r="N383" s="831"/>
      <c r="O383" s="831"/>
      <c r="P383" s="831"/>
      <c r="Q383" s="831"/>
      <c r="R383" s="833"/>
      <c r="S383" s="834"/>
      <c r="T383" s="831"/>
      <c r="U383" s="825"/>
      <c r="V383" s="826"/>
    </row>
    <row r="384" spans="1:32" ht="15" customHeight="1">
      <c r="A384" s="180"/>
      <c r="B384" s="180"/>
      <c r="C384" s="180" t="s">
        <v>770</v>
      </c>
      <c r="D384" s="395"/>
      <c r="E384" s="844">
        <f>SUM(E358:E381)</f>
        <v>0</v>
      </c>
      <c r="F384" s="180"/>
      <c r="G384" s="180"/>
      <c r="H384" s="844"/>
      <c r="I384" s="180"/>
      <c r="J384" s="845"/>
      <c r="K384" s="845"/>
      <c r="L384" s="180"/>
      <c r="M384" s="845"/>
      <c r="N384" s="180"/>
      <c r="O384" s="180"/>
      <c r="P384" s="180"/>
      <c r="Q384" s="180"/>
      <c r="R384" s="263"/>
      <c r="S384" s="180"/>
      <c r="T384" s="180"/>
    </row>
    <row r="385" spans="1:32" ht="28.5" customHeight="1">
      <c r="A385" s="1436" t="s">
        <v>746</v>
      </c>
      <c r="B385" s="1436"/>
      <c r="C385" s="1436"/>
      <c r="D385" s="1436"/>
      <c r="E385" s="1436"/>
      <c r="F385" s="1436"/>
      <c r="G385" s="1436"/>
      <c r="H385" s="1436"/>
      <c r="I385" s="1436"/>
      <c r="J385" s="1436"/>
      <c r="K385" s="1436"/>
      <c r="L385" s="1436"/>
      <c r="M385" s="1436"/>
      <c r="N385" s="1436"/>
      <c r="O385" s="1436"/>
      <c r="P385" s="1436"/>
      <c r="Q385" s="1436"/>
      <c r="R385" s="1436"/>
      <c r="S385" s="1436"/>
      <c r="T385" s="1436"/>
      <c r="U385" s="515"/>
      <c r="V385" s="846"/>
    </row>
    <row r="386" spans="1:32" ht="15" customHeight="1">
      <c r="A386" s="1437" t="s">
        <v>747</v>
      </c>
      <c r="B386" s="1437"/>
      <c r="C386" s="1437"/>
      <c r="D386" s="1437"/>
      <c r="E386" s="1437"/>
      <c r="F386" s="1437"/>
      <c r="G386" s="1437"/>
      <c r="H386" s="1437"/>
      <c r="I386" s="1437"/>
      <c r="J386" s="1437"/>
      <c r="K386" s="1437"/>
      <c r="L386" s="1437"/>
      <c r="M386" s="1437"/>
      <c r="N386" s="1437"/>
      <c r="O386" s="1437"/>
      <c r="P386" s="1437"/>
      <c r="Q386" s="1437"/>
      <c r="R386" s="1437"/>
      <c r="S386" s="1437"/>
      <c r="T386" s="1437"/>
      <c r="U386" s="806"/>
      <c r="V386" s="807"/>
    </row>
    <row r="387" spans="1:32" ht="15" customHeight="1">
      <c r="A387" s="1438" t="str">
        <f>"DATE OF MANUFACTURING : " &amp; TEXT(V391, "DD-MM-YYYY")</f>
        <v>DATE OF MANUFACTURING : 00-01-1900</v>
      </c>
      <c r="B387" s="1438"/>
      <c r="C387" s="1438"/>
      <c r="D387" s="1438"/>
      <c r="E387" s="1438"/>
      <c r="F387" s="1438"/>
      <c r="G387" s="1438"/>
      <c r="H387" s="1438"/>
      <c r="I387" s="1438"/>
      <c r="J387" s="1438"/>
      <c r="K387" s="1438"/>
      <c r="L387" s="1438"/>
      <c r="M387" s="1438"/>
      <c r="N387" s="1437" t="s">
        <v>748</v>
      </c>
      <c r="O387" s="1437"/>
      <c r="P387" s="1437"/>
      <c r="Q387" s="1437"/>
      <c r="R387" s="1437"/>
      <c r="S387" s="1437"/>
      <c r="T387" s="1437"/>
      <c r="U387" s="808"/>
      <c r="V387" s="809"/>
    </row>
    <row r="388" spans="1:32" ht="29.25" customHeight="1">
      <c r="A388" s="1439" t="s">
        <v>749</v>
      </c>
      <c r="B388" s="1440" t="s">
        <v>750</v>
      </c>
      <c r="C388" s="1440"/>
      <c r="D388" s="1440" t="s">
        <v>751</v>
      </c>
      <c r="E388" s="1441" t="s">
        <v>752</v>
      </c>
      <c r="F388" s="1442" t="s">
        <v>753</v>
      </c>
      <c r="G388" s="1442"/>
      <c r="H388" s="1442"/>
      <c r="I388" s="1442"/>
      <c r="J388" s="1442"/>
      <c r="K388" s="1442"/>
      <c r="L388" s="1442"/>
      <c r="M388" s="1442"/>
      <c r="N388" s="1442" t="s">
        <v>754</v>
      </c>
      <c r="O388" s="1442"/>
      <c r="P388" s="1442"/>
      <c r="Q388" s="1442"/>
      <c r="R388" s="1443" t="s">
        <v>771</v>
      </c>
      <c r="S388" s="1441" t="s">
        <v>756</v>
      </c>
      <c r="T388" s="1440" t="s">
        <v>104</v>
      </c>
      <c r="U388" s="810"/>
      <c r="V388" s="811"/>
    </row>
    <row r="389" spans="1:32" ht="42.75" customHeight="1">
      <c r="A389" s="1439"/>
      <c r="B389" s="1440"/>
      <c r="C389" s="1440"/>
      <c r="D389" s="1440"/>
      <c r="E389" s="1440"/>
      <c r="F389" s="812" t="s">
        <v>40</v>
      </c>
      <c r="G389" s="812" t="s">
        <v>757</v>
      </c>
      <c r="H389" s="813" t="s">
        <v>758</v>
      </c>
      <c r="I389" s="812" t="s">
        <v>43</v>
      </c>
      <c r="J389" s="812" t="s">
        <v>42</v>
      </c>
      <c r="K389" s="812" t="s">
        <v>759</v>
      </c>
      <c r="L389" s="812" t="s">
        <v>760</v>
      </c>
      <c r="M389" s="812" t="s">
        <v>761</v>
      </c>
      <c r="N389" s="814" t="s">
        <v>762</v>
      </c>
      <c r="O389" s="815" t="s">
        <v>772</v>
      </c>
      <c r="P389" s="816" t="s">
        <v>773</v>
      </c>
      <c r="Q389" s="817" t="s">
        <v>764</v>
      </c>
      <c r="R389" s="1443"/>
      <c r="S389" s="1443"/>
      <c r="T389" s="1443"/>
      <c r="U389" s="810"/>
      <c r="V389" s="811"/>
    </row>
    <row r="390" spans="1:32" ht="15" customHeight="1">
      <c r="A390" s="1435">
        <v>1</v>
      </c>
      <c r="B390" s="818">
        <f>W391</f>
        <v>0</v>
      </c>
      <c r="C390" s="819" t="s">
        <v>765</v>
      </c>
      <c r="D390" s="820"/>
      <c r="E390" s="821"/>
      <c r="F390" s="821">
        <f ca="1">F391 + (RAND() * 0.02 - 0.01)</f>
        <v>-7.1499255419784748E-3</v>
      </c>
      <c r="G390" s="821">
        <f ca="1">G391 + (RAND() * 0.06 - 0.03)</f>
        <v>0.50709036899650373</v>
      </c>
      <c r="H390" s="822">
        <f ca="1">H391 + (RAND() * 0.006 - 0.003)</f>
        <v>1.7942863471752573E-3</v>
      </c>
      <c r="I390" s="822">
        <f ca="1">I391 + (RAND() * 0.006 - 0.003)</f>
        <v>-8.4830101022615985E-4</v>
      </c>
      <c r="J390" s="821">
        <f ca="1">J391 + (RAND() * 0.02 - 0.01)</f>
        <v>-9.0662708260880794E-3</v>
      </c>
      <c r="K390" s="821"/>
      <c r="L390" s="822"/>
      <c r="M390" s="821"/>
      <c r="N390" s="823"/>
      <c r="O390" s="823"/>
      <c r="P390" s="823"/>
      <c r="Q390" s="823"/>
      <c r="R390" s="824"/>
      <c r="S390" s="821"/>
      <c r="T390" s="821"/>
      <c r="U390" s="825"/>
      <c r="V390" s="826"/>
      <c r="AE390" t="s">
        <v>767</v>
      </c>
    </row>
    <row r="391" spans="1:32" ht="15" customHeight="1">
      <c r="A391" s="1435"/>
      <c r="B391" s="827">
        <f>B390</f>
        <v>0</v>
      </c>
      <c r="C391" s="828" t="s">
        <v>768</v>
      </c>
      <c r="D391" s="829" t="str">
        <f>IF(AC391=130, "130 × 130", IF(AC391=160, "160 × 160", IF(AC391=110, "110 × 110", "Value not 130, 160, or 110")))</f>
        <v>Value not 130, 160, or 110</v>
      </c>
      <c r="E391" s="830">
        <f>AD391</f>
        <v>0</v>
      </c>
      <c r="F391" s="831">
        <f ca="1">IF(X391 &gt; 0.1, RAND() * (0.1 - 0.06) + 0.06, X391)</f>
        <v>0</v>
      </c>
      <c r="G391" s="831">
        <f ca="1">IF(Y391 &lt; 0.5, 0.5 + RAND() * 0.1, Y391)</f>
        <v>0.53263217146634378</v>
      </c>
      <c r="H391" s="830">
        <f ca="1">IF(AB391&gt;0.04, 0.029 + (0.039-0.029)*RAND(), AB391)</f>
        <v>0</v>
      </c>
      <c r="I391" s="830">
        <f ca="1">IF(AA391&gt;0.04, 0.029 + (0.039-0.029)*RAND(), AA391)</f>
        <v>0</v>
      </c>
      <c r="J391" s="831">
        <f ca="1">IF(Z391&gt;0.15, 0.11 + (0.15-0.11) * RAND(), Z391)</f>
        <v>0</v>
      </c>
      <c r="K391" s="830">
        <f ca="1">0.004 + (RAND() * (0.001 - 0.004))</f>
        <v>1.051916028845933E-3</v>
      </c>
      <c r="L391" s="830">
        <f ca="1">H391+I391</f>
        <v>0</v>
      </c>
      <c r="M391" s="831">
        <f ca="1">(G391/6)+F391</f>
        <v>8.8772028577723969E-2</v>
      </c>
      <c r="N391" s="831">
        <f ca="1">2 + RAND()</f>
        <v>2.833629111990386</v>
      </c>
      <c r="O391" s="831">
        <f ca="1">1 + RAND()</f>
        <v>1.4760607699891883</v>
      </c>
      <c r="P391" s="831">
        <f ca="1">2.98 + (RAND() * (3.03 - 2.98))</f>
        <v>3.0201801431492226</v>
      </c>
      <c r="Q391" s="832" t="str">
        <f ca="1">IF(D391="130 × 130", (130 + RANDBETWEEN(-1,1)) &amp; " × " &amp; (130 + RANDBETWEEN(-1,1)),
   IF(D391="160 × 160", (160 + RANDBETWEEN(-1,1)) &amp; " × " &amp; (160 + RANDBETWEEN(-1,1)),
   IF(D391="110 × 110", (110 + RANDBETWEEN(-1,1)) &amp; " × " &amp; (110 + RANDBETWEEN(-1,1)),
   "Value not matched")))</f>
        <v>Value not matched</v>
      </c>
      <c r="R391" s="833" t="s">
        <v>213</v>
      </c>
      <c r="S391" s="834" t="str">
        <f ca="1">IF(G391&lt;0.6, "IS 14650 CPS 10748/GR2", "IS 14650 CPS 10748/GR3")</f>
        <v>IS 14650 CPS 10748/GR2</v>
      </c>
      <c r="T391" s="831" t="s">
        <v>769</v>
      </c>
      <c r="U391" s="825"/>
      <c r="V391" s="835">
        <f>Prod.!A220</f>
        <v>0</v>
      </c>
      <c r="W391" s="206">
        <f>Prod.!B220</f>
        <v>0</v>
      </c>
      <c r="X391" s="469">
        <f>Prod.!C220</f>
        <v>0</v>
      </c>
      <c r="Y391" s="469">
        <f>Prod.!D220</f>
        <v>0</v>
      </c>
      <c r="Z391" s="469">
        <f>Prod.!E220</f>
        <v>0</v>
      </c>
      <c r="AA391" s="282">
        <f>Prod.!F220</f>
        <v>0</v>
      </c>
      <c r="AB391" s="282">
        <f>Prod.!G220</f>
        <v>0</v>
      </c>
      <c r="AC391" s="836">
        <f>Prod.!H220</f>
        <v>0</v>
      </c>
      <c r="AD391" s="282">
        <f>Prod.!AB220</f>
        <v>0</v>
      </c>
      <c r="AE391" s="282">
        <f>AD391-AF391</f>
        <v>0</v>
      </c>
      <c r="AF391" s="282">
        <f>Prod.!AA220</f>
        <v>0</v>
      </c>
    </row>
    <row r="392" spans="1:32" ht="15" customHeight="1">
      <c r="A392" s="1435">
        <v>2</v>
      </c>
      <c r="B392" s="818">
        <f>W393</f>
        <v>0</v>
      </c>
      <c r="C392" s="819" t="s">
        <v>765</v>
      </c>
      <c r="D392" s="822"/>
      <c r="E392" s="822"/>
      <c r="F392" s="821">
        <f ca="1">F393 + (RAND() * 0.02 - 0.01)</f>
        <v>6.2776168664708098E-3</v>
      </c>
      <c r="G392" s="821">
        <f ca="1">G393 + (RAND() * 0.06 - 0.03)</f>
        <v>0.55603297118318284</v>
      </c>
      <c r="H392" s="822">
        <f ca="1">H393 + (RAND() * 0.006 - 0.003)</f>
        <v>-1.8110119274480044E-3</v>
      </c>
      <c r="I392" s="822">
        <f ca="1">I393 + (RAND() * 0.006 - 0.003)</f>
        <v>1.5521686816146888E-3</v>
      </c>
      <c r="J392" s="821">
        <f ca="1">J393 + (RAND() * 0.02 - 0.01)</f>
        <v>6.259862614526478E-3</v>
      </c>
      <c r="K392" s="821"/>
      <c r="L392" s="822"/>
      <c r="M392" s="821"/>
      <c r="N392" s="823"/>
      <c r="O392" s="823"/>
      <c r="P392" s="823"/>
      <c r="Q392" s="823"/>
      <c r="R392" s="837"/>
      <c r="S392" s="821"/>
      <c r="T392" s="838"/>
      <c r="U392" s="825"/>
      <c r="V392" s="826"/>
    </row>
    <row r="393" spans="1:32" ht="15" customHeight="1">
      <c r="A393" s="1435"/>
      <c r="B393" s="827">
        <f>B392</f>
        <v>0</v>
      </c>
      <c r="C393" s="828" t="s">
        <v>768</v>
      </c>
      <c r="D393" s="829" t="str">
        <f>IF(AC393=130, "130 × 130", IF(AC393=160, "160 × 160", IF(AC393=110, "110 × 110", "Value not 130, 160, or 110")))</f>
        <v>Value not 130, 160, or 110</v>
      </c>
      <c r="E393" s="830">
        <f>AD393</f>
        <v>0</v>
      </c>
      <c r="F393" s="831">
        <f ca="1">IF(X393 &gt; 0.1, RAND() * (0.1 - 0.06) + 0.06, X393)</f>
        <v>0</v>
      </c>
      <c r="G393" s="831">
        <f ca="1">IF(Y393 &lt; 0.5, 0.5 + RAND() * 0.1, Y393)</f>
        <v>0.56029929922797383</v>
      </c>
      <c r="H393" s="830">
        <f ca="1">IF(AB393&gt;0.04, 0.029 + (0.039-0.029)*RAND(), AB393)</f>
        <v>0</v>
      </c>
      <c r="I393" s="830">
        <f ca="1">IF(AA393&gt;0.04, 0.029 + (0.039-0.029)*RAND(), AA393)</f>
        <v>0</v>
      </c>
      <c r="J393" s="831">
        <f ca="1">IF(Z393&gt;0.15, 0.11 + (0.15-0.11) * RAND(), Z393)</f>
        <v>0</v>
      </c>
      <c r="K393" s="830">
        <f ca="1">0.004 + (RAND() * (0.001 - 0.004))</f>
        <v>2.8303434372405414E-3</v>
      </c>
      <c r="L393" s="830">
        <f ca="1">H393+I393</f>
        <v>0</v>
      </c>
      <c r="M393" s="831">
        <f ca="1">(G393/6)+F393</f>
        <v>9.3383216537995639E-2</v>
      </c>
      <c r="N393" s="831">
        <f ca="1">2 + RAND()</f>
        <v>2.1812706658096159</v>
      </c>
      <c r="O393" s="831">
        <f ca="1">1 + RAND()</f>
        <v>1.4204511638888009</v>
      </c>
      <c r="P393" s="831">
        <f ca="1">2.98 + (RAND() * (3.03 - 2.98))</f>
        <v>2.9961649913661392</v>
      </c>
      <c r="Q393" s="832" t="str">
        <f ca="1">IF(D393="130 × 130", (130 + RANDBETWEEN(-1,1)) &amp; " × " &amp; (130 + RANDBETWEEN(-1,1)),
   IF(D393="160 × 160", (160 + RANDBETWEEN(-1,1)) &amp; " × " &amp; (160 + RANDBETWEEN(-1,1)),
   IF(D393="110 × 110", (110 + RANDBETWEEN(-1,1)) &amp; " × " &amp; (110 + RANDBETWEEN(-1,1)),
   "Value not matched")))</f>
        <v>Value not matched</v>
      </c>
      <c r="R393" s="833" t="s">
        <v>213</v>
      </c>
      <c r="S393" s="834" t="str">
        <f ca="1">IF(G393&lt;0.6, "IS 14650 CPS 10748/GR2", "IS 14650 CPS 10748/GR3")</f>
        <v>IS 14650 CPS 10748/GR2</v>
      </c>
      <c r="T393" s="831" t="s">
        <v>769</v>
      </c>
      <c r="U393" s="825"/>
      <c r="V393" s="826"/>
      <c r="W393" s="206">
        <f>Prod.!B221</f>
        <v>0</v>
      </c>
      <c r="X393" s="469">
        <f>Prod.!C221</f>
        <v>0</v>
      </c>
      <c r="Y393" s="469">
        <f>Prod.!D221</f>
        <v>0</v>
      </c>
      <c r="Z393" s="469">
        <f>Prod.!E221</f>
        <v>0</v>
      </c>
      <c r="AA393" s="282">
        <f>Prod.!F221</f>
        <v>0</v>
      </c>
      <c r="AB393" s="282">
        <f>Prod.!G221</f>
        <v>0</v>
      </c>
      <c r="AC393" s="836">
        <f>Prod.!H221</f>
        <v>0</v>
      </c>
      <c r="AD393" s="282">
        <f>Prod.!AB221</f>
        <v>0</v>
      </c>
      <c r="AE393" s="282">
        <f>AD393-AF393</f>
        <v>0</v>
      </c>
      <c r="AF393" s="282">
        <f>Prod.!AA221</f>
        <v>0</v>
      </c>
    </row>
    <row r="394" spans="1:32" ht="15" customHeight="1">
      <c r="A394" s="1435">
        <v>3</v>
      </c>
      <c r="B394" s="818">
        <f>W395</f>
        <v>0</v>
      </c>
      <c r="C394" s="819" t="s">
        <v>765</v>
      </c>
      <c r="D394" s="822"/>
      <c r="E394" s="822"/>
      <c r="F394" s="821">
        <f ca="1">F395 + (RAND() * 0.02 - 0.01)</f>
        <v>7.8645592045406675E-3</v>
      </c>
      <c r="G394" s="821">
        <f ca="1">G395 + (RAND() * 0.06 - 0.03)</f>
        <v>0.53238163666272442</v>
      </c>
      <c r="H394" s="822">
        <f ca="1">H395 + (RAND() * 0.006 - 0.003)</f>
        <v>-5.4316808151585365E-4</v>
      </c>
      <c r="I394" s="822">
        <f ca="1">I395 + (RAND() * 0.006 - 0.003)</f>
        <v>-1.880130380394551E-3</v>
      </c>
      <c r="J394" s="821">
        <f ca="1">J395 + (RAND() * 0.02 - 0.01)</f>
        <v>-8.7767223445853661E-3</v>
      </c>
      <c r="K394" s="821"/>
      <c r="L394" s="822"/>
      <c r="M394" s="821"/>
      <c r="N394" s="823"/>
      <c r="O394" s="823"/>
      <c r="P394" s="823"/>
      <c r="Q394" s="823"/>
      <c r="R394" s="839"/>
      <c r="S394" s="821"/>
      <c r="T394" s="821"/>
      <c r="U394" s="825"/>
      <c r="V394" s="826"/>
    </row>
    <row r="395" spans="1:32" ht="15" customHeight="1">
      <c r="A395" s="1435"/>
      <c r="B395" s="827">
        <f>B394</f>
        <v>0</v>
      </c>
      <c r="C395" s="828" t="s">
        <v>768</v>
      </c>
      <c r="D395" s="829" t="str">
        <f>IF(AC395=130, "130 × 130", IF(AC395=160, "160 × 160", IF(AC395=110, "110 × 110", "Value not 130, 160, or 110")))</f>
        <v>Value not 130, 160, or 110</v>
      </c>
      <c r="E395" s="830">
        <f>AD395</f>
        <v>0</v>
      </c>
      <c r="F395" s="831">
        <f ca="1">IF(X395 &gt; 0.1, RAND() * (0.1 - 0.06) + 0.06, X395)</f>
        <v>0</v>
      </c>
      <c r="G395" s="831">
        <f ca="1">IF(Y395 &lt; 0.5, 0.5 + RAND() * 0.1, Y395)</f>
        <v>0.51947991547425443</v>
      </c>
      <c r="H395" s="830">
        <f ca="1">IF(AB395&gt;0.04, 0.029 + (0.039-0.029)*RAND(), AB395)</f>
        <v>0</v>
      </c>
      <c r="I395" s="830">
        <f ca="1">IF(AA395&gt;0.04, 0.029 + (0.039-0.029)*RAND(), AA395)</f>
        <v>0</v>
      </c>
      <c r="J395" s="831">
        <f ca="1">IF(Z395&gt;0.15, 0.11 + (0.15-0.11) * RAND(), Z395)</f>
        <v>0</v>
      </c>
      <c r="K395" s="830">
        <f ca="1">0.004 + (RAND() * (0.001 - 0.004))</f>
        <v>3.6738079266096699E-3</v>
      </c>
      <c r="L395" s="830">
        <f ca="1">H395+I395</f>
        <v>0</v>
      </c>
      <c r="M395" s="831">
        <f ca="1">(G395/6)+F395</f>
        <v>8.6579985912375743E-2</v>
      </c>
      <c r="N395" s="831">
        <f ca="1">2 + RAND()</f>
        <v>2.7679571425969618</v>
      </c>
      <c r="O395" s="831">
        <f ca="1">1 + RAND()</f>
        <v>1.00165249266181</v>
      </c>
      <c r="P395" s="831">
        <f ca="1">2.98 + (RAND() * (3.03 - 2.98))</f>
        <v>3.014991493784311</v>
      </c>
      <c r="Q395" s="832" t="str">
        <f ca="1">IF(D395="130 × 130", (130 + RANDBETWEEN(-1,1)) &amp; " × " &amp; (130 + RANDBETWEEN(-1,1)),
   IF(D395="160 × 160", (160 + RANDBETWEEN(-1,1)) &amp; " × " &amp; (160 + RANDBETWEEN(-1,1)),
   IF(D395="110 × 110", (110 + RANDBETWEEN(-1,1)) &amp; " × " &amp; (110 + RANDBETWEEN(-1,1)),
   "Value not matched")))</f>
        <v>Value not matched</v>
      </c>
      <c r="R395" s="833" t="s">
        <v>213</v>
      </c>
      <c r="S395" s="834" t="str">
        <f ca="1">IF(G395&lt;0.6, "IS 14650 CPS 10748/GR2", "IS 14650 CPS 10748/GR3")</f>
        <v>IS 14650 CPS 10748/GR2</v>
      </c>
      <c r="T395" s="831" t="s">
        <v>769</v>
      </c>
      <c r="U395" s="825"/>
      <c r="V395" s="826"/>
      <c r="W395" s="206">
        <f>Prod.!B222</f>
        <v>0</v>
      </c>
      <c r="X395" s="469">
        <f>Prod.!C222</f>
        <v>0</v>
      </c>
      <c r="Y395" s="469">
        <f>Prod.!D222</f>
        <v>0</v>
      </c>
      <c r="Z395" s="469">
        <f>Prod.!E222</f>
        <v>0</v>
      </c>
      <c r="AA395" s="282">
        <f>Prod.!F222</f>
        <v>0</v>
      </c>
      <c r="AB395" s="282">
        <f>Prod.!G222</f>
        <v>0</v>
      </c>
      <c r="AC395" s="836">
        <f>Prod.!H222</f>
        <v>0</v>
      </c>
      <c r="AD395" s="282">
        <f>Prod.!AB222</f>
        <v>0</v>
      </c>
      <c r="AE395" s="282">
        <f>AD395-AF395</f>
        <v>0</v>
      </c>
      <c r="AF395" s="282">
        <f>Prod.!AA222</f>
        <v>0</v>
      </c>
    </row>
    <row r="396" spans="1:32" ht="15" customHeight="1">
      <c r="A396" s="1435">
        <v>4</v>
      </c>
      <c r="B396" s="818">
        <f>W397</f>
        <v>0</v>
      </c>
      <c r="C396" s="819" t="s">
        <v>765</v>
      </c>
      <c r="D396" s="822"/>
      <c r="E396" s="822"/>
      <c r="F396" s="821">
        <f ca="1">F397 + (RAND() * 0.02 - 0.01)</f>
        <v>8.2410968543682028E-3</v>
      </c>
      <c r="G396" s="821">
        <f ca="1">G397 + (RAND() * 0.06 - 0.03)</f>
        <v>0.58254488093271539</v>
      </c>
      <c r="H396" s="822">
        <f ca="1">H397 + (RAND() * 0.006 - 0.003)</f>
        <v>2.9161054766359707E-3</v>
      </c>
      <c r="I396" s="822">
        <f ca="1">I397 + (RAND() * 0.006 - 0.003)</f>
        <v>1.9807407016036761E-3</v>
      </c>
      <c r="J396" s="821">
        <f ca="1">J397 + (RAND() * 0.02 - 0.01)</f>
        <v>9.4082554469943121E-3</v>
      </c>
      <c r="K396" s="821"/>
      <c r="L396" s="822"/>
      <c r="M396" s="821"/>
      <c r="N396" s="823"/>
      <c r="O396" s="823"/>
      <c r="P396" s="823"/>
      <c r="Q396" s="823"/>
      <c r="R396" s="839"/>
      <c r="S396" s="821"/>
      <c r="T396" s="821"/>
      <c r="U396" s="825"/>
      <c r="V396" s="826"/>
    </row>
    <row r="397" spans="1:32" ht="15" customHeight="1">
      <c r="A397" s="1435"/>
      <c r="B397" s="827">
        <f>B396</f>
        <v>0</v>
      </c>
      <c r="C397" s="828" t="s">
        <v>768</v>
      </c>
      <c r="D397" s="829" t="str">
        <f>IF(AC397=130, "130 × 130", IF(AC397=160, "160 × 160", IF(AC397=110, "110 × 110", "Value not 130, 160, or 110")))</f>
        <v>Value not 130, 160, or 110</v>
      </c>
      <c r="E397" s="830">
        <f>AD397</f>
        <v>0</v>
      </c>
      <c r="F397" s="831">
        <f ca="1">IF(X397 &gt; 0.1, RAND() * (0.1 - 0.06) + 0.06, X397)</f>
        <v>0</v>
      </c>
      <c r="G397" s="831">
        <f ca="1">IF(Y397 &lt; 0.5, 0.5 + RAND() * 0.1, Y397)</f>
        <v>0.5794553811656703</v>
      </c>
      <c r="H397" s="830">
        <f ca="1">IF(AB397&gt;0.04, 0.029 + (0.039-0.029)*RAND(), AB397)</f>
        <v>0</v>
      </c>
      <c r="I397" s="830">
        <f ca="1">IF(AA397&gt;0.04, 0.029 + (0.039-0.029)*RAND(), AA397)</f>
        <v>0</v>
      </c>
      <c r="J397" s="831">
        <f ca="1">IF(Z397&gt;0.15, 0.11 + (0.15-0.11) * RAND(), Z397)</f>
        <v>0</v>
      </c>
      <c r="K397" s="830">
        <f ca="1">0.004 + (RAND() * (0.001 - 0.004))</f>
        <v>1.1091426559674943E-3</v>
      </c>
      <c r="L397" s="830">
        <f ca="1">H397+I397</f>
        <v>0</v>
      </c>
      <c r="M397" s="831">
        <f ca="1">(G397/6)+F397</f>
        <v>9.6575896860945046E-2</v>
      </c>
      <c r="N397" s="831">
        <f ca="1">2 + RAND()</f>
        <v>2.9373255783131058</v>
      </c>
      <c r="O397" s="831">
        <f ca="1">1 + RAND()</f>
        <v>1.7464320850367938</v>
      </c>
      <c r="P397" s="831">
        <f ca="1">2.98 + (RAND() * (3.03 - 2.98))</f>
        <v>2.9867714545154906</v>
      </c>
      <c r="Q397" s="832" t="str">
        <f ca="1">IF(D397="130 × 130", (130 + RANDBETWEEN(-1,1)) &amp; " × " &amp; (130 + RANDBETWEEN(-1,1)),
   IF(D397="160 × 160", (160 + RANDBETWEEN(-1,1)) &amp; " × " &amp; (160 + RANDBETWEEN(-1,1)),
   IF(D397="110 × 110", (110 + RANDBETWEEN(-1,1)) &amp; " × " &amp; (110 + RANDBETWEEN(-1,1)),
   "Value not matched")))</f>
        <v>Value not matched</v>
      </c>
      <c r="R397" s="833" t="s">
        <v>213</v>
      </c>
      <c r="S397" s="834" t="str">
        <f ca="1">IF(G397&lt;0.6, "IS 14650 CPS 10748/GR2", "IS 14650 CPS 10748/GR3")</f>
        <v>IS 14650 CPS 10748/GR2</v>
      </c>
      <c r="T397" s="831" t="s">
        <v>769</v>
      </c>
      <c r="U397" s="825"/>
      <c r="V397" s="826"/>
      <c r="W397" s="206">
        <f>Prod.!B223</f>
        <v>0</v>
      </c>
      <c r="X397" s="469">
        <f>Prod.!C223</f>
        <v>0</v>
      </c>
      <c r="Y397" s="469">
        <f>Prod.!D223</f>
        <v>0</v>
      </c>
      <c r="Z397" s="469">
        <f>Prod.!E223</f>
        <v>0</v>
      </c>
      <c r="AA397" s="282">
        <f>Prod.!F223</f>
        <v>0</v>
      </c>
      <c r="AB397" s="282">
        <f>Prod.!G223</f>
        <v>0</v>
      </c>
      <c r="AC397" s="836">
        <f>Prod.!H223</f>
        <v>0</v>
      </c>
      <c r="AD397" s="282">
        <f>Prod.!AB223</f>
        <v>0</v>
      </c>
      <c r="AE397" s="282">
        <f>AD397-AF397</f>
        <v>0</v>
      </c>
      <c r="AF397" s="282">
        <f>Prod.!AA223</f>
        <v>0</v>
      </c>
    </row>
    <row r="398" spans="1:32" ht="15" customHeight="1">
      <c r="A398" s="1435">
        <v>5</v>
      </c>
      <c r="B398" s="818">
        <f>W399</f>
        <v>0</v>
      </c>
      <c r="C398" s="819" t="s">
        <v>765</v>
      </c>
      <c r="D398" s="822"/>
      <c r="E398" s="822"/>
      <c r="F398" s="821">
        <f ca="1">F399 + (RAND() * 0.02 - 0.01)</f>
        <v>-1.5275562010722468E-3</v>
      </c>
      <c r="G398" s="821">
        <f ca="1">G399 + (RAND() * 0.06 - 0.03)</f>
        <v>0.53795230355265411</v>
      </c>
      <c r="H398" s="822">
        <f ca="1">H399 + (RAND() * 0.006 - 0.003)</f>
        <v>4.8637699702158959E-4</v>
      </c>
      <c r="I398" s="822">
        <f ca="1">I399 + (RAND() * 0.006 - 0.003)</f>
        <v>-1.2275599362542803E-4</v>
      </c>
      <c r="J398" s="821">
        <f ca="1">J399 + (RAND() * 0.02 - 0.01)</f>
        <v>-6.9204535313003093E-4</v>
      </c>
      <c r="K398" s="821"/>
      <c r="L398" s="822"/>
      <c r="M398" s="821"/>
      <c r="N398" s="823"/>
      <c r="O398" s="823"/>
      <c r="P398" s="823"/>
      <c r="Q398" s="823"/>
      <c r="R398" s="839"/>
      <c r="S398" s="821"/>
      <c r="T398" s="821"/>
      <c r="U398" s="825"/>
      <c r="V398" s="826"/>
    </row>
    <row r="399" spans="1:32" ht="15" customHeight="1">
      <c r="A399" s="1435"/>
      <c r="B399" s="827">
        <f>B398</f>
        <v>0</v>
      </c>
      <c r="C399" s="828" t="s">
        <v>768</v>
      </c>
      <c r="D399" s="829" t="str">
        <f>IF(AC399=130, "130 × 130", IF(AC399=160, "160 × 160", IF(AC399=110, "110 × 110", "Value not 130, 160, or 110")))</f>
        <v>Value not 130, 160, or 110</v>
      </c>
      <c r="E399" s="830">
        <f>AD399</f>
        <v>0</v>
      </c>
      <c r="F399" s="831">
        <f ca="1">IF(X399 &gt; 0.1, RAND() * (0.1 - 0.06) + 0.06, X399)</f>
        <v>0</v>
      </c>
      <c r="G399" s="831">
        <f ca="1">IF(Y399 &lt; 0.5, 0.5 + RAND() * 0.1, Y399)</f>
        <v>0.54288736481187849</v>
      </c>
      <c r="H399" s="830">
        <f ca="1">IF(AB399&gt;0.04, 0.029 + (0.039-0.029)*RAND(), AB399)</f>
        <v>0</v>
      </c>
      <c r="I399" s="830">
        <f ca="1">IF(AA399&gt;0.04, 0.029 + (0.039-0.029)*RAND(), AA399)</f>
        <v>0</v>
      </c>
      <c r="J399" s="831">
        <f ca="1">IF(Z399&gt;0.15, 0.11 + (0.15-0.11) * RAND(), Z399)</f>
        <v>0</v>
      </c>
      <c r="K399" s="830">
        <f ca="1">0.004 + (RAND() * (0.001 - 0.004))</f>
        <v>1.8678980409637383E-3</v>
      </c>
      <c r="L399" s="830">
        <f ca="1">H399+I399</f>
        <v>0</v>
      </c>
      <c r="M399" s="831">
        <f ca="1">(G399/6)+F399</f>
        <v>9.0481227468646411E-2</v>
      </c>
      <c r="N399" s="831">
        <f ca="1">2 + RAND()</f>
        <v>2.8359671815389467</v>
      </c>
      <c r="O399" s="831">
        <f ca="1">1 + RAND()</f>
        <v>1.4377438540830989</v>
      </c>
      <c r="P399" s="831">
        <f ca="1">2.98 + (RAND() * (3.03 - 2.98))</f>
        <v>3.0234400763527409</v>
      </c>
      <c r="Q399" s="832" t="str">
        <f ca="1">IF(D399="130 × 130", (130 + RANDBETWEEN(-1,1)) &amp; " × " &amp; (130 + RANDBETWEEN(-1,1)),
   IF(D399="160 × 160", (160 + RANDBETWEEN(-1,1)) &amp; " × " &amp; (160 + RANDBETWEEN(-1,1)),
   IF(D399="110 × 110", (110 + RANDBETWEEN(-1,1)) &amp; " × " &amp; (110 + RANDBETWEEN(-1,1)),
   "Value not matched")))</f>
        <v>Value not matched</v>
      </c>
      <c r="R399" s="833" t="s">
        <v>213</v>
      </c>
      <c r="S399" s="834" t="str">
        <f ca="1">IF(G399&lt;0.6, "IS 14650 CPS 10748/GR2", "IS 14650 CPS 10748/GR3")</f>
        <v>IS 14650 CPS 10748/GR2</v>
      </c>
      <c r="T399" s="831" t="s">
        <v>769</v>
      </c>
      <c r="U399" s="825"/>
      <c r="V399" s="826"/>
      <c r="W399" s="206">
        <f>Prod.!B224</f>
        <v>0</v>
      </c>
      <c r="X399" s="469">
        <f>Prod.!C224</f>
        <v>0</v>
      </c>
      <c r="Y399" s="469">
        <f>Prod.!D224</f>
        <v>0</v>
      </c>
      <c r="Z399" s="469">
        <f>Prod.!E224</f>
        <v>0</v>
      </c>
      <c r="AA399" s="282">
        <f>Prod.!F224</f>
        <v>0</v>
      </c>
      <c r="AB399" s="282">
        <f>Prod.!G224</f>
        <v>0</v>
      </c>
      <c r="AC399" s="836">
        <f>Prod.!H224</f>
        <v>0</v>
      </c>
      <c r="AD399" s="282">
        <f>Prod.!AB224</f>
        <v>0</v>
      </c>
      <c r="AE399" s="282">
        <f>AD399-AF399</f>
        <v>0</v>
      </c>
      <c r="AF399" s="282">
        <f>Prod.!AA224</f>
        <v>0</v>
      </c>
    </row>
    <row r="400" spans="1:32" ht="15" customHeight="1">
      <c r="A400" s="1435">
        <v>6</v>
      </c>
      <c r="B400" s="818">
        <f>W401</f>
        <v>0</v>
      </c>
      <c r="C400" s="819" t="s">
        <v>765</v>
      </c>
      <c r="D400" s="822"/>
      <c r="E400" s="822"/>
      <c r="F400" s="821">
        <f ca="1">F401 + (RAND() * 0.02 - 0.01)</f>
        <v>7.0962459147894553E-3</v>
      </c>
      <c r="G400" s="821">
        <f ca="1">G401 + (RAND() * 0.06 - 0.03)</f>
        <v>0.53747165458797841</v>
      </c>
      <c r="H400" s="822">
        <f ca="1">H401 + (RAND() * 0.006 - 0.003)</f>
        <v>6.4288564632777618E-5</v>
      </c>
      <c r="I400" s="822">
        <f ca="1">I401 + (RAND() * 0.006 - 0.003)</f>
        <v>-1.2292381126510763E-3</v>
      </c>
      <c r="J400" s="821">
        <f ca="1">J401 + (RAND() * 0.02 - 0.01)</f>
        <v>-9.3785960452851067E-3</v>
      </c>
      <c r="K400" s="821"/>
      <c r="L400" s="822"/>
      <c r="M400" s="821"/>
      <c r="N400" s="823"/>
      <c r="O400" s="823"/>
      <c r="P400" s="823"/>
      <c r="Q400" s="823"/>
      <c r="R400" s="839"/>
      <c r="S400" s="821"/>
      <c r="T400" s="821"/>
      <c r="U400" s="825"/>
      <c r="V400" s="826"/>
    </row>
    <row r="401" spans="1:32" ht="15" customHeight="1">
      <c r="A401" s="1435"/>
      <c r="B401" s="827">
        <f>B400</f>
        <v>0</v>
      </c>
      <c r="C401" s="828" t="s">
        <v>768</v>
      </c>
      <c r="D401" s="829" t="str">
        <f>IF(AC401=130, "130 × 130", IF(AC401=160, "160 × 160", IF(AC401=110, "110 × 110", "Value not 130, 160, or 110")))</f>
        <v>Value not 130, 160, or 110</v>
      </c>
      <c r="E401" s="830">
        <f>AD401</f>
        <v>0</v>
      </c>
      <c r="F401" s="831">
        <f ca="1">IF(X401 &gt; 0.1, RAND() * (0.1 - 0.06) + 0.06, X401)</f>
        <v>0</v>
      </c>
      <c r="G401" s="831">
        <f ca="1">IF(Y401 &lt; 0.5, 0.5 + RAND() * 0.1, Y401)</f>
        <v>0.55926501093850856</v>
      </c>
      <c r="H401" s="830">
        <f ca="1">IF(AB401&gt;0.04, 0.029 + (0.039-0.029)*RAND(), AB401)</f>
        <v>0</v>
      </c>
      <c r="I401" s="830">
        <f ca="1">IF(AA401&gt;0.04, 0.029 + (0.039-0.029)*RAND(), AA401)</f>
        <v>0</v>
      </c>
      <c r="J401" s="831">
        <f ca="1">IF(Z401&gt;0.15, 0.11 + (0.15-0.11) * RAND(), Z401)</f>
        <v>0</v>
      </c>
      <c r="K401" s="830">
        <f ca="1">0.004 + (RAND() * (0.001 - 0.004))</f>
        <v>2.3758525758275414E-3</v>
      </c>
      <c r="L401" s="830">
        <f ca="1">H401+I401</f>
        <v>0</v>
      </c>
      <c r="M401" s="831">
        <f ca="1">(G401/6)+F401</f>
        <v>9.3210835156418093E-2</v>
      </c>
      <c r="N401" s="831">
        <f ca="1">2 + RAND()</f>
        <v>2.2191161008860063</v>
      </c>
      <c r="O401" s="831">
        <f ca="1">1 + RAND()</f>
        <v>1.7709815049136761</v>
      </c>
      <c r="P401" s="831">
        <f ca="1">2.98 + (RAND() * (3.03 - 2.98))</f>
        <v>2.9974006598600265</v>
      </c>
      <c r="Q401" s="832" t="str">
        <f ca="1">IF(D401="130 × 130", (130 + RANDBETWEEN(-1,1)) &amp; " × " &amp; (130 + RANDBETWEEN(-1,1)),
   IF(D401="160 × 160", (160 + RANDBETWEEN(-1,1)) &amp; " × " &amp; (160 + RANDBETWEEN(-1,1)),
   IF(D401="110 × 110", (110 + RANDBETWEEN(-1,1)) &amp; " × " &amp; (110 + RANDBETWEEN(-1,1)),
   "Value not matched")))</f>
        <v>Value not matched</v>
      </c>
      <c r="R401" s="833" t="s">
        <v>213</v>
      </c>
      <c r="S401" s="834" t="str">
        <f ca="1">IF(G401&lt;0.6, "IS 14650 CPS 10748/GR2", "IS 14650 CPS 10748/GR3")</f>
        <v>IS 14650 CPS 10748/GR2</v>
      </c>
      <c r="T401" s="831" t="s">
        <v>769</v>
      </c>
      <c r="U401" s="825"/>
      <c r="V401" s="826"/>
      <c r="W401" s="206">
        <f>Prod.!B225</f>
        <v>0</v>
      </c>
      <c r="X401" s="469">
        <f>Prod.!C225</f>
        <v>0</v>
      </c>
      <c r="Y401" s="469">
        <f>Prod.!D225</f>
        <v>0</v>
      </c>
      <c r="Z401" s="469">
        <f>Prod.!E225</f>
        <v>0</v>
      </c>
      <c r="AA401" s="282">
        <f>Prod.!F225</f>
        <v>0</v>
      </c>
      <c r="AB401" s="282">
        <f>Prod.!G225</f>
        <v>0</v>
      </c>
      <c r="AC401" s="836">
        <f>Prod.!H225</f>
        <v>0</v>
      </c>
      <c r="AD401" s="282">
        <f>Prod.!AB225</f>
        <v>0</v>
      </c>
      <c r="AE401" s="282">
        <f>AD401-AF401</f>
        <v>0</v>
      </c>
      <c r="AF401" s="282">
        <f>Prod.!AA225</f>
        <v>0</v>
      </c>
    </row>
    <row r="402" spans="1:32" ht="15" customHeight="1">
      <c r="A402" s="1435">
        <v>7</v>
      </c>
      <c r="B402" s="818">
        <f>W403</f>
        <v>0</v>
      </c>
      <c r="C402" s="819" t="s">
        <v>765</v>
      </c>
      <c r="D402" s="822"/>
      <c r="E402" s="822"/>
      <c r="F402" s="821">
        <f ca="1">F403 + (RAND() * 0.02 - 0.01)</f>
        <v>-8.9548953285567053E-3</v>
      </c>
      <c r="G402" s="821">
        <f ca="1">G403 + (RAND() * 0.06 - 0.03)</f>
        <v>0.49975731256506728</v>
      </c>
      <c r="H402" s="822">
        <f ca="1">H403 + (RAND() * 0.006 - 0.003)</f>
        <v>7.161888155798983E-4</v>
      </c>
      <c r="I402" s="822">
        <f ca="1">I403 + (RAND() * 0.006 - 0.003)</f>
        <v>2.6163291946639244E-3</v>
      </c>
      <c r="J402" s="821">
        <f ca="1">J403 + (RAND() * 0.02 - 0.01)</f>
        <v>6.6760039342440586E-3</v>
      </c>
      <c r="K402" s="821"/>
      <c r="L402" s="822"/>
      <c r="M402" s="821"/>
      <c r="N402" s="823"/>
      <c r="O402" s="823"/>
      <c r="P402" s="823"/>
      <c r="Q402" s="823"/>
      <c r="R402" s="839"/>
      <c r="S402" s="821"/>
      <c r="T402" s="821"/>
      <c r="U402" s="825"/>
      <c r="V402" s="826"/>
    </row>
    <row r="403" spans="1:32" ht="15" customHeight="1">
      <c r="A403" s="1435"/>
      <c r="B403" s="827">
        <f>B402</f>
        <v>0</v>
      </c>
      <c r="C403" s="828" t="s">
        <v>768</v>
      </c>
      <c r="D403" s="829" t="str">
        <f>IF(AC403=130, "130 × 130", IF(AC403=160, "160 × 160", IF(AC403=110, "110 × 110", "Value not 130, 160, or 110")))</f>
        <v>Value not 130, 160, or 110</v>
      </c>
      <c r="E403" s="830">
        <f>AD403</f>
        <v>0</v>
      </c>
      <c r="F403" s="831">
        <f ca="1">IF(X403 &gt; 0.1, RAND() * (0.1 - 0.06) + 0.06, X403)</f>
        <v>0</v>
      </c>
      <c r="G403" s="831">
        <f ca="1">IF(Y403 &lt; 0.5, 0.5 + RAND() * 0.1, Y403)</f>
        <v>0.50165207102512055</v>
      </c>
      <c r="H403" s="830">
        <f ca="1">IF(AB403&gt;0.04, 0.029 + (0.039-0.029)*RAND(), AB403)</f>
        <v>0</v>
      </c>
      <c r="I403" s="830">
        <f ca="1">IF(AA403&gt;0.04, 0.029 + (0.039-0.029)*RAND(), AA403)</f>
        <v>0</v>
      </c>
      <c r="J403" s="831">
        <f ca="1">IF(Z403&gt;0.15, 0.11 + (0.15-0.11) * RAND(), Z403)</f>
        <v>0</v>
      </c>
      <c r="K403" s="830">
        <f ca="1">0.004 + (RAND() * (0.001 - 0.004))</f>
        <v>3.7261565738173352E-3</v>
      </c>
      <c r="L403" s="830">
        <f ca="1">H403+I403</f>
        <v>0</v>
      </c>
      <c r="M403" s="831">
        <f ca="1">(G403/6)+F403</f>
        <v>8.3608678504186754E-2</v>
      </c>
      <c r="N403" s="831">
        <f ca="1">2 + RAND()</f>
        <v>2.6759254509480739</v>
      </c>
      <c r="O403" s="831">
        <f ca="1">1 + RAND()</f>
        <v>1.8732959556081221</v>
      </c>
      <c r="P403" s="831">
        <f ca="1">2.98 + (RAND() * (3.03 - 2.98))</f>
        <v>3.0084077894358585</v>
      </c>
      <c r="Q403" s="832" t="str">
        <f ca="1">IF(D403="130 × 130", (130 + RANDBETWEEN(-1,1)) &amp; " × " &amp; (130 + RANDBETWEEN(-1,1)),
   IF(D403="160 × 160", (160 + RANDBETWEEN(-1,1)) &amp; " × " &amp; (160 + RANDBETWEEN(-1,1)),
   IF(D403="110 × 110", (110 + RANDBETWEEN(-1,1)) &amp; " × " &amp; (110 + RANDBETWEEN(-1,1)),
   "Value not matched")))</f>
        <v>Value not matched</v>
      </c>
      <c r="R403" s="833" t="s">
        <v>213</v>
      </c>
      <c r="S403" s="834" t="str">
        <f ca="1">IF(G403&lt;0.6, "IS 14650 CPS 10748/GR2", "IS 14650 CPS 10748/GR3")</f>
        <v>IS 14650 CPS 10748/GR2</v>
      </c>
      <c r="T403" s="831" t="s">
        <v>769</v>
      </c>
      <c r="U403" s="825"/>
      <c r="V403" s="826"/>
      <c r="W403" s="206">
        <f>Prod.!B226</f>
        <v>0</v>
      </c>
      <c r="X403" s="469">
        <f>Prod.!C226</f>
        <v>0</v>
      </c>
      <c r="Y403" s="469">
        <f>Prod.!D226</f>
        <v>0</v>
      </c>
      <c r="Z403" s="469">
        <f>Prod.!E226</f>
        <v>0</v>
      </c>
      <c r="AA403" s="282">
        <f>Prod.!F226</f>
        <v>0</v>
      </c>
      <c r="AB403" s="282">
        <f>Prod.!G226</f>
        <v>0</v>
      </c>
      <c r="AC403" s="836">
        <f>Prod.!H226</f>
        <v>0</v>
      </c>
      <c r="AD403" s="282">
        <f>Prod.!AB226</f>
        <v>0</v>
      </c>
      <c r="AE403" s="282">
        <f>AD403-AF403</f>
        <v>0</v>
      </c>
      <c r="AF403" s="282">
        <f>Prod.!AA226</f>
        <v>0</v>
      </c>
    </row>
    <row r="404" spans="1:32" ht="15" customHeight="1">
      <c r="A404" s="1435">
        <v>8</v>
      </c>
      <c r="B404" s="818">
        <f>W405</f>
        <v>0</v>
      </c>
      <c r="C404" s="819" t="s">
        <v>765</v>
      </c>
      <c r="D404" s="822"/>
      <c r="E404" s="822"/>
      <c r="F404" s="821">
        <f ca="1">F405 + (RAND() * 0.02 - 0.01)</f>
        <v>-5.1748683628900973E-3</v>
      </c>
      <c r="G404" s="821">
        <f ca="1">G405 + (RAND() * 0.06 - 0.03)</f>
        <v>0.51299893489107162</v>
      </c>
      <c r="H404" s="822">
        <f ca="1">H405 + (RAND() * 0.006 - 0.003)</f>
        <v>-2.0710885681151851E-3</v>
      </c>
      <c r="I404" s="822">
        <f ca="1">I405 + (RAND() * 0.006 - 0.003)</f>
        <v>2.5480841759760765E-3</v>
      </c>
      <c r="J404" s="821">
        <f ca="1">J405 + (RAND() * 0.02 - 0.01)</f>
        <v>5.886856933057941E-3</v>
      </c>
      <c r="K404" s="821"/>
      <c r="L404" s="822"/>
      <c r="M404" s="821"/>
      <c r="N404" s="823"/>
      <c r="O404" s="823"/>
      <c r="P404" s="823"/>
      <c r="Q404" s="823"/>
      <c r="R404" s="839"/>
      <c r="S404" s="821"/>
      <c r="T404" s="821"/>
      <c r="U404" s="825"/>
      <c r="V404" s="826"/>
    </row>
    <row r="405" spans="1:32" ht="15" customHeight="1">
      <c r="A405" s="1435"/>
      <c r="B405" s="827">
        <f>B404</f>
        <v>0</v>
      </c>
      <c r="C405" s="828" t="s">
        <v>768</v>
      </c>
      <c r="D405" s="829" t="str">
        <f>IF(AC405=130, "130 × 130", IF(AC405=160, "160 × 160", IF(AC405=110, "110 × 110", "Value not 130, 160, or 110")))</f>
        <v>Value not 130, 160, or 110</v>
      </c>
      <c r="E405" s="830">
        <f>AD405</f>
        <v>0</v>
      </c>
      <c r="F405" s="831">
        <f ca="1">IF(X405 &gt; 0.1, RAND() * (0.1 - 0.06) + 0.06, X405)</f>
        <v>0</v>
      </c>
      <c r="G405" s="831">
        <f ca="1">IF(Y405 &lt; 0.5, 0.5 + RAND() * 0.1, Y405)</f>
        <v>0.52390079162977188</v>
      </c>
      <c r="H405" s="830">
        <f ca="1">IF(AB405&gt;0.04, 0.029 + (0.039-0.029)*RAND(), AB405)</f>
        <v>0</v>
      </c>
      <c r="I405" s="830">
        <f ca="1">IF(AA405&gt;0.04, 0.029 + (0.039-0.029)*RAND(), AA405)</f>
        <v>0</v>
      </c>
      <c r="J405" s="831">
        <f ca="1">IF(Z405&gt;0.15, 0.11 + (0.15-0.11) * RAND(), Z405)</f>
        <v>0</v>
      </c>
      <c r="K405" s="830">
        <f ca="1">0.004 + (RAND() * (0.001 - 0.004))</f>
        <v>2.3554906113471574E-3</v>
      </c>
      <c r="L405" s="830">
        <f ca="1">H405+I405</f>
        <v>0</v>
      </c>
      <c r="M405" s="831">
        <f ca="1">(G405/6)+F405</f>
        <v>8.7316798604961984E-2</v>
      </c>
      <c r="N405" s="831">
        <f ca="1">2 + RAND()</f>
        <v>2.7687175591590658</v>
      </c>
      <c r="O405" s="831">
        <f ca="1">1 + RAND()</f>
        <v>1.8913323383851419</v>
      </c>
      <c r="P405" s="831">
        <f ca="1">2.98 + (RAND() * (3.03 - 2.98))</f>
        <v>3.007389029026291</v>
      </c>
      <c r="Q405" s="832" t="str">
        <f ca="1">IF(D405="130 × 130", (130 + RANDBETWEEN(-1,1)) &amp; " × " &amp; (130 + RANDBETWEEN(-1,1)),
   IF(D405="160 × 160", (160 + RANDBETWEEN(-1,1)) &amp; " × " &amp; (160 + RANDBETWEEN(-1,1)),
   IF(D405="110 × 110", (110 + RANDBETWEEN(-1,1)) &amp; " × " &amp; (110 + RANDBETWEEN(-1,1)),
   "Value not matched")))</f>
        <v>Value not matched</v>
      </c>
      <c r="R405" s="833" t="s">
        <v>213</v>
      </c>
      <c r="S405" s="834" t="str">
        <f ca="1">IF(G405&lt;0.6, "IS 14650 CPS 10748/GR2", "IS 14650 CPS 10748/GR3")</f>
        <v>IS 14650 CPS 10748/GR2</v>
      </c>
      <c r="T405" s="831" t="s">
        <v>769</v>
      </c>
      <c r="U405" s="825"/>
      <c r="V405" s="826"/>
      <c r="W405" s="206">
        <f>Prod.!B227</f>
        <v>0</v>
      </c>
      <c r="X405" s="469">
        <f>Prod.!C227</f>
        <v>0</v>
      </c>
      <c r="Y405" s="469">
        <f>Prod.!D227</f>
        <v>0</v>
      </c>
      <c r="Z405" s="469">
        <f>Prod.!E227</f>
        <v>0</v>
      </c>
      <c r="AA405" s="282">
        <f>Prod.!F227</f>
        <v>0</v>
      </c>
      <c r="AB405" s="282">
        <f>Prod.!G227</f>
        <v>0</v>
      </c>
      <c r="AC405" s="836">
        <f>Prod.!H227</f>
        <v>0</v>
      </c>
      <c r="AD405" s="282">
        <f>Prod.!AB227</f>
        <v>0</v>
      </c>
      <c r="AE405" s="282">
        <f>AD405-AF405</f>
        <v>0</v>
      </c>
      <c r="AF405" s="282">
        <f>Prod.!AA227</f>
        <v>0</v>
      </c>
    </row>
    <row r="406" spans="1:32" ht="15" customHeight="1">
      <c r="A406" s="1435">
        <v>9</v>
      </c>
      <c r="B406" s="818">
        <f>W407</f>
        <v>0</v>
      </c>
      <c r="C406" s="819" t="s">
        <v>765</v>
      </c>
      <c r="D406" s="822"/>
      <c r="E406" s="822"/>
      <c r="F406" s="821">
        <f ca="1">F407 + (RAND() * 0.02 - 0.01)</f>
        <v>-5.103169429899173E-3</v>
      </c>
      <c r="G406" s="821">
        <f ca="1">G407 + (RAND() * 0.06 - 0.03)</f>
        <v>0.53372430657939873</v>
      </c>
      <c r="H406" s="822">
        <f ca="1">H407 + (RAND() * 0.006 - 0.003)</f>
        <v>-5.1509498832769162E-4</v>
      </c>
      <c r="I406" s="822">
        <f ca="1">I407 + (RAND() * 0.006 - 0.003)</f>
        <v>-1.8947968590149423E-4</v>
      </c>
      <c r="J406" s="821">
        <f ca="1">J407 + (RAND() * 0.02 - 0.01)</f>
        <v>-4.4420552096571496E-3</v>
      </c>
      <c r="K406" s="821"/>
      <c r="L406" s="822"/>
      <c r="M406" s="821"/>
      <c r="N406" s="823"/>
      <c r="O406" s="823"/>
      <c r="P406" s="823"/>
      <c r="Q406" s="823"/>
      <c r="R406" s="839"/>
      <c r="S406" s="821"/>
      <c r="T406" s="821"/>
      <c r="U406" s="825"/>
      <c r="V406" s="826"/>
    </row>
    <row r="407" spans="1:32" ht="15" customHeight="1">
      <c r="A407" s="1435"/>
      <c r="B407" s="827">
        <f>B406</f>
        <v>0</v>
      </c>
      <c r="C407" s="828" t="s">
        <v>768</v>
      </c>
      <c r="D407" s="829" t="str">
        <f>IF(AC407=130, "130 × 130", IF(AC407=160, "160 × 160", IF(AC407=110, "110 × 110", "Value not 130, 160, or 110")))</f>
        <v>Value not 130, 160, or 110</v>
      </c>
      <c r="E407" s="830">
        <f>AD407</f>
        <v>0</v>
      </c>
      <c r="F407" s="831">
        <f ca="1">IF(X407 &gt; 0.1, RAND() * (0.1 - 0.06) + 0.06, X407)</f>
        <v>0</v>
      </c>
      <c r="G407" s="831">
        <f ca="1">IF(Y407 &lt; 0.5, 0.5 + RAND() * 0.1, Y407)</f>
        <v>0.54618528533337862</v>
      </c>
      <c r="H407" s="830">
        <f ca="1">IF(AB407&gt;0.04, 0.029 + (0.039-0.029)*RAND(), AB407)</f>
        <v>0</v>
      </c>
      <c r="I407" s="830">
        <f ca="1">IF(AA407&gt;0.04, 0.029 + (0.039-0.029)*RAND(), AA407)</f>
        <v>0</v>
      </c>
      <c r="J407" s="831">
        <f ca="1">IF(Z407&gt;0.15, 0.11 + (0.15-0.11) * RAND(), Z407)</f>
        <v>0</v>
      </c>
      <c r="K407" s="830">
        <f ca="1">0.004 + (RAND() * (0.001 - 0.004))</f>
        <v>1.9415116648006411E-3</v>
      </c>
      <c r="L407" s="830">
        <f ca="1">H407+I407</f>
        <v>0</v>
      </c>
      <c r="M407" s="831">
        <f ca="1">(G407/6)+F407</f>
        <v>9.1030880888896437E-2</v>
      </c>
      <c r="N407" s="831">
        <f ca="1">2 + RAND()</f>
        <v>2.9510327566302021</v>
      </c>
      <c r="O407" s="831">
        <f ca="1">1 + RAND()</f>
        <v>1.4774818440469255</v>
      </c>
      <c r="P407" s="831">
        <f ca="1">2.98 + (RAND() * (3.03 - 2.98))</f>
        <v>2.9815247332173169</v>
      </c>
      <c r="Q407" s="832" t="str">
        <f ca="1">IF(D407="130 × 130", (130 + RANDBETWEEN(-1,1)) &amp; " × " &amp; (130 + RANDBETWEEN(-1,1)),
   IF(D407="160 × 160", (160 + RANDBETWEEN(-1,1)) &amp; " × " &amp; (160 + RANDBETWEEN(-1,1)),
   IF(D407="110 × 110", (110 + RANDBETWEEN(-1,1)) &amp; " × " &amp; (110 + RANDBETWEEN(-1,1)),
   "Value not matched")))</f>
        <v>Value not matched</v>
      </c>
      <c r="R407" s="833" t="s">
        <v>213</v>
      </c>
      <c r="S407" s="834" t="str">
        <f ca="1">IF(G407&lt;0.6, "IS 14650 CPS 10748/GR2", "IS 14650 CPS 10748/GR3")</f>
        <v>IS 14650 CPS 10748/GR2</v>
      </c>
      <c r="T407" s="831" t="s">
        <v>769</v>
      </c>
      <c r="U407" s="825"/>
      <c r="V407" s="826"/>
      <c r="W407" s="206">
        <f>Prod.!B228</f>
        <v>0</v>
      </c>
      <c r="X407" s="469">
        <f>Prod.!C228</f>
        <v>0</v>
      </c>
      <c r="Y407" s="469">
        <f>Prod.!D228</f>
        <v>0</v>
      </c>
      <c r="Z407" s="469">
        <f>Prod.!E228</f>
        <v>0</v>
      </c>
      <c r="AA407" s="282">
        <f>Prod.!F228</f>
        <v>0</v>
      </c>
      <c r="AB407" s="282">
        <f>Prod.!G228</f>
        <v>0</v>
      </c>
      <c r="AC407" s="836">
        <f>Prod.!H228</f>
        <v>0</v>
      </c>
      <c r="AD407" s="282">
        <f>Prod.!AB228</f>
        <v>0</v>
      </c>
      <c r="AE407" s="282">
        <f>AD407-AF407</f>
        <v>0</v>
      </c>
      <c r="AF407" s="282">
        <f>Prod.!AA228</f>
        <v>0</v>
      </c>
    </row>
    <row r="408" spans="1:32" ht="15" customHeight="1">
      <c r="A408" s="1435">
        <v>10</v>
      </c>
      <c r="B408" s="818">
        <f>W409</f>
        <v>0</v>
      </c>
      <c r="C408" s="819" t="s">
        <v>765</v>
      </c>
      <c r="D408" s="822"/>
      <c r="E408" s="822"/>
      <c r="F408" s="821">
        <f ca="1">F409 + (RAND() * 0.02 - 0.01)</f>
        <v>3.4705228779915599E-3</v>
      </c>
      <c r="G408" s="821">
        <f ca="1">G409 + (RAND() * 0.06 - 0.03)</f>
        <v>0.50518312824043277</v>
      </c>
      <c r="H408" s="822">
        <f ca="1">H409 + (RAND() * 0.006 - 0.003)</f>
        <v>-1.2628080245582767E-3</v>
      </c>
      <c r="I408" s="822">
        <f ca="1">I409 + (RAND() * 0.006 - 0.003)</f>
        <v>2.8561849983038444E-3</v>
      </c>
      <c r="J408" s="821">
        <f ca="1">J409 + (RAND() * 0.02 - 0.01)</f>
        <v>7.3802516808921196E-3</v>
      </c>
      <c r="K408" s="821"/>
      <c r="L408" s="822"/>
      <c r="M408" s="821"/>
      <c r="N408" s="823"/>
      <c r="O408" s="823"/>
      <c r="P408" s="823"/>
      <c r="Q408" s="823"/>
      <c r="R408" s="839"/>
      <c r="S408" s="821"/>
      <c r="T408" s="821"/>
      <c r="U408" s="825"/>
      <c r="V408" s="826"/>
    </row>
    <row r="409" spans="1:32" ht="15" customHeight="1">
      <c r="A409" s="1435"/>
      <c r="B409" s="827">
        <f>B408</f>
        <v>0</v>
      </c>
      <c r="C409" s="828" t="s">
        <v>768</v>
      </c>
      <c r="D409" s="829" t="str">
        <f>IF(AC409=130, "130 × 130", IF(AC409=160, "160 × 160", IF(AC409=110, "110 × 110", "Value not 130, 160, or 110")))</f>
        <v>Value not 130, 160, or 110</v>
      </c>
      <c r="E409" s="830">
        <f>AD409</f>
        <v>0</v>
      </c>
      <c r="F409" s="831">
        <f ca="1">IF(X409 &gt; 0.1, RAND() * (0.1 - 0.06) + 0.06, X409)</f>
        <v>0</v>
      </c>
      <c r="G409" s="831">
        <f ca="1">IF(Y409 &lt; 0.5, 0.5 + RAND() * 0.1, Y409)</f>
        <v>0.53209585448590047</v>
      </c>
      <c r="H409" s="830">
        <f ca="1">IF(AB409&gt;0.04, 0.029 + (0.039-0.029)*RAND(), AB409)</f>
        <v>0</v>
      </c>
      <c r="I409" s="830">
        <f ca="1">IF(AA409&gt;0.04, 0.029 + (0.039-0.029)*RAND(), AA409)</f>
        <v>0</v>
      </c>
      <c r="J409" s="831">
        <f ca="1">IF(Z409&gt;0.15, 0.11 + (0.15-0.11) * RAND(), Z409)</f>
        <v>0</v>
      </c>
      <c r="K409" s="830">
        <f ca="1">0.004 + (RAND() * (0.001 - 0.004))</f>
        <v>3.0293643118656463E-3</v>
      </c>
      <c r="L409" s="830">
        <f ca="1">H409+I409</f>
        <v>0</v>
      </c>
      <c r="M409" s="831">
        <f ca="1">(G409/6)+F409</f>
        <v>8.868264241431674E-2</v>
      </c>
      <c r="N409" s="831">
        <f ca="1">2 + RAND()</f>
        <v>2.0273580753639093</v>
      </c>
      <c r="O409" s="831">
        <f ca="1">1 + RAND()</f>
        <v>1.7942228910957487</v>
      </c>
      <c r="P409" s="831">
        <f ca="1">2.98 + (RAND() * (3.03 - 2.98))</f>
        <v>3.000559601701811</v>
      </c>
      <c r="Q409" s="832" t="str">
        <f ca="1">IF(D409="130 × 130", (130 + RANDBETWEEN(-1,1)) &amp; " × " &amp; (130 + RANDBETWEEN(-1,1)),
   IF(D409="160 × 160", (160 + RANDBETWEEN(-1,1)) &amp; " × " &amp; (160 + RANDBETWEEN(-1,1)),
   IF(D409="110 × 110", (110 + RANDBETWEEN(-1,1)) &amp; " × " &amp; (110 + RANDBETWEEN(-1,1)),
   "Value not matched")))</f>
        <v>Value not matched</v>
      </c>
      <c r="R409" s="833" t="s">
        <v>213</v>
      </c>
      <c r="S409" s="834" t="str">
        <f ca="1">IF(G409&lt;0.6, "IS 14650 CPS 10748/GR2", "IS 14650 CPS 10748/GR3")</f>
        <v>IS 14650 CPS 10748/GR2</v>
      </c>
      <c r="T409" s="831" t="s">
        <v>769</v>
      </c>
      <c r="U409" s="825"/>
      <c r="V409" s="826"/>
      <c r="W409" s="206">
        <f>Prod.!B229</f>
        <v>0</v>
      </c>
      <c r="X409" s="469">
        <f>Prod.!C229</f>
        <v>0</v>
      </c>
      <c r="Y409" s="469">
        <f>Prod.!D229</f>
        <v>0</v>
      </c>
      <c r="Z409" s="469">
        <f>Prod.!E229</f>
        <v>0</v>
      </c>
      <c r="AA409" s="282">
        <f>Prod.!F229</f>
        <v>0</v>
      </c>
      <c r="AB409" s="282">
        <f>Prod.!G229</f>
        <v>0</v>
      </c>
      <c r="AC409" s="836">
        <f>Prod.!H229</f>
        <v>0</v>
      </c>
      <c r="AD409" s="282">
        <f>Prod.!AB229</f>
        <v>0</v>
      </c>
      <c r="AE409" s="282">
        <f>AD409-AF409</f>
        <v>0</v>
      </c>
      <c r="AF409" s="282">
        <f>Prod.!AA229</f>
        <v>0</v>
      </c>
    </row>
    <row r="410" spans="1:32" ht="15" customHeight="1">
      <c r="A410" s="1435">
        <v>11</v>
      </c>
      <c r="B410" s="818">
        <f>W411</f>
        <v>0</v>
      </c>
      <c r="C410" s="819" t="s">
        <v>765</v>
      </c>
      <c r="D410" s="822"/>
      <c r="E410" s="822"/>
      <c r="F410" s="821">
        <f ca="1">F411 + (RAND() * 0.02 - 0.01)</f>
        <v>-1.0837563718009806E-3</v>
      </c>
      <c r="G410" s="821">
        <f ca="1">G411 + (RAND() * 0.06 - 0.03)</f>
        <v>0.50806480419209077</v>
      </c>
      <c r="H410" s="822">
        <f ca="1">H411 + (RAND() * 0.006 - 0.003)</f>
        <v>2.5892055110842615E-3</v>
      </c>
      <c r="I410" s="822">
        <f ca="1">I411 + (RAND() * 0.006 - 0.003)</f>
        <v>2.7532313565765305E-3</v>
      </c>
      <c r="J410" s="821">
        <f ca="1">J411 + (RAND() * 0.02 - 0.01)</f>
        <v>3.3013191592525352E-3</v>
      </c>
      <c r="K410" s="821"/>
      <c r="L410" s="822"/>
      <c r="M410" s="821"/>
      <c r="N410" s="823"/>
      <c r="O410" s="823"/>
      <c r="P410" s="823"/>
      <c r="Q410" s="823"/>
      <c r="R410" s="839"/>
      <c r="S410" s="821"/>
      <c r="T410" s="821"/>
      <c r="U410" s="825"/>
      <c r="V410" s="826"/>
    </row>
    <row r="411" spans="1:32" ht="15" customHeight="1">
      <c r="A411" s="1435"/>
      <c r="B411" s="827">
        <f>B410</f>
        <v>0</v>
      </c>
      <c r="C411" s="828" t="s">
        <v>768</v>
      </c>
      <c r="D411" s="829" t="str">
        <f>IF(AC411=130, "130 × 130", IF(AC411=160, "160 × 160", IF(AC411=110, "110 × 110", "Value not 130, 160, or 110")))</f>
        <v>Value not 130, 160, or 110</v>
      </c>
      <c r="E411" s="830">
        <f>AD411</f>
        <v>0</v>
      </c>
      <c r="F411" s="831">
        <f ca="1">IF(X411 &gt; 0.1, RAND() * (0.1 - 0.06) + 0.06, X411)</f>
        <v>0</v>
      </c>
      <c r="G411" s="831">
        <f ca="1">IF(Y411 &lt; 0.5, 0.5 + RAND() * 0.1, Y411)</f>
        <v>0.5195708738661966</v>
      </c>
      <c r="H411" s="830">
        <f ca="1">IF(AB411&gt;0.04, 0.029 + (0.039-0.029)*RAND(), AB411)</f>
        <v>0</v>
      </c>
      <c r="I411" s="830">
        <f ca="1">IF(AA411&gt;0.04, 0.029 + (0.039-0.029)*RAND(), AA411)</f>
        <v>0</v>
      </c>
      <c r="J411" s="831">
        <f ca="1">IF(Z411&gt;0.15, 0.11 + (0.15-0.11) * RAND(), Z411)</f>
        <v>0</v>
      </c>
      <c r="K411" s="830">
        <f ca="1">0.004 + (RAND() * (0.001 - 0.004))</f>
        <v>1.0919597775744948E-3</v>
      </c>
      <c r="L411" s="830">
        <f ca="1">H411+I411</f>
        <v>0</v>
      </c>
      <c r="M411" s="831">
        <f ca="1">(G411/6)+F411</f>
        <v>8.6595145644366101E-2</v>
      </c>
      <c r="N411" s="831">
        <f ca="1">2 + RAND()</f>
        <v>2.53483058834472</v>
      </c>
      <c r="O411" s="831">
        <f ca="1">1 + RAND()</f>
        <v>1.681126427554237</v>
      </c>
      <c r="P411" s="831">
        <f ca="1">2.98 + (RAND() * (3.03 - 2.98))</f>
        <v>3.0018449239147729</v>
      </c>
      <c r="Q411" s="832" t="str">
        <f ca="1">IF(D411="130 × 130", (130 + RANDBETWEEN(-1,1)) &amp; " × " &amp; (130 + RANDBETWEEN(-1,1)),
   IF(D411="160 × 160", (160 + RANDBETWEEN(-1,1)) &amp; " × " &amp; (160 + RANDBETWEEN(-1,1)),
   IF(D411="110 × 110", (110 + RANDBETWEEN(-1,1)) &amp; " × " &amp; (110 + RANDBETWEEN(-1,1)),
   "Value not matched")))</f>
        <v>Value not matched</v>
      </c>
      <c r="R411" s="833" t="s">
        <v>213</v>
      </c>
      <c r="S411" s="834" t="str">
        <f ca="1">IF(G411&lt;0.6, "IS 14650 CPS 10748/GR2", "IS 14650 CPS 10748/GR3")</f>
        <v>IS 14650 CPS 10748/GR2</v>
      </c>
      <c r="T411" s="831" t="s">
        <v>769</v>
      </c>
      <c r="U411" s="825"/>
      <c r="V411" s="826"/>
      <c r="W411" s="206">
        <f>Prod.!B230</f>
        <v>0</v>
      </c>
      <c r="X411" s="469">
        <f>Prod.!C230</f>
        <v>0</v>
      </c>
      <c r="Y411" s="469">
        <f>Prod.!D230</f>
        <v>0</v>
      </c>
      <c r="Z411" s="469">
        <f>Prod.!E230</f>
        <v>0</v>
      </c>
      <c r="AA411" s="282">
        <f>Prod.!F230</f>
        <v>0</v>
      </c>
      <c r="AB411" s="282">
        <f>Prod.!G230</f>
        <v>0</v>
      </c>
      <c r="AC411" s="836">
        <f>Prod.!H230</f>
        <v>0</v>
      </c>
      <c r="AD411" s="282">
        <f>Prod.!AB230</f>
        <v>0</v>
      </c>
      <c r="AE411" s="282">
        <f>AD411-AF411</f>
        <v>0</v>
      </c>
      <c r="AF411" s="282">
        <f>Prod.!AA230</f>
        <v>0</v>
      </c>
    </row>
    <row r="412" spans="1:32" ht="15" customHeight="1">
      <c r="A412" s="1435">
        <v>12</v>
      </c>
      <c r="B412" s="818">
        <f>W413</f>
        <v>0</v>
      </c>
      <c r="C412" s="819" t="s">
        <v>765</v>
      </c>
      <c r="D412" s="822"/>
      <c r="E412" s="822"/>
      <c r="F412" s="821">
        <f ca="1">F413 + (RAND() * 0.02 - 0.01)</f>
        <v>-6.6386259448857395E-3</v>
      </c>
      <c r="G412" s="821">
        <f ca="1">G413 + (RAND() * 0.06 - 0.03)</f>
        <v>0.58528772017241903</v>
      </c>
      <c r="H412" s="822">
        <f ca="1">H413 + (RAND() * 0.006 - 0.003)</f>
        <v>1.4740209600677019E-3</v>
      </c>
      <c r="I412" s="822">
        <f ca="1">I413 + (RAND() * 0.006 - 0.003)</f>
        <v>2.3989459151719456E-3</v>
      </c>
      <c r="J412" s="821">
        <f ca="1">J413 + (RAND() * 0.02 - 0.01)</f>
        <v>-4.5435761419693882E-4</v>
      </c>
      <c r="K412" s="821"/>
      <c r="L412" s="822"/>
      <c r="M412" s="821"/>
      <c r="N412" s="823"/>
      <c r="O412" s="823"/>
      <c r="P412" s="823"/>
      <c r="Q412" s="823"/>
      <c r="R412" s="839"/>
      <c r="S412" s="821"/>
      <c r="T412" s="821"/>
      <c r="U412" s="825"/>
      <c r="V412" s="826"/>
    </row>
    <row r="413" spans="1:32" ht="15" customHeight="1">
      <c r="A413" s="1435"/>
      <c r="B413" s="827">
        <f>B412</f>
        <v>0</v>
      </c>
      <c r="C413" s="828" t="s">
        <v>768</v>
      </c>
      <c r="D413" s="829" t="str">
        <f>IF(AC413=130, "130 × 130", IF(AC413=160, "160 × 160", IF(AC413=110, "110 × 110", "Value not 130, 160, or 110")))</f>
        <v>Value not 130, 160, or 110</v>
      </c>
      <c r="E413" s="830">
        <f>AD413</f>
        <v>0</v>
      </c>
      <c r="F413" s="831">
        <f ca="1">IF(X413 &gt; 0.1, RAND() * (0.1 - 0.06) + 0.06, X413)</f>
        <v>0</v>
      </c>
      <c r="G413" s="831">
        <f ca="1">IF(Y413 &lt; 0.5, 0.5 + RAND() * 0.1, Y413)</f>
        <v>0.57111807242222845</v>
      </c>
      <c r="H413" s="830">
        <f ca="1">IF(AB413&gt;0.04, 0.029 + (0.039-0.029)*RAND(), AB413)</f>
        <v>0</v>
      </c>
      <c r="I413" s="830">
        <f ca="1">IF(AA413&gt;0.04, 0.029 + (0.039-0.029)*RAND(), AA413)</f>
        <v>0</v>
      </c>
      <c r="J413" s="831">
        <f ca="1">IF(Z413&gt;0.15, 0.11 + (0.15-0.11) * RAND(), Z413)</f>
        <v>0</v>
      </c>
      <c r="K413" s="830">
        <f ca="1">0.004 + (RAND() * (0.001 - 0.004))</f>
        <v>1.277974661514645E-3</v>
      </c>
      <c r="L413" s="830">
        <f ca="1">H413+I413</f>
        <v>0</v>
      </c>
      <c r="M413" s="831">
        <f ca="1">(G413/6)+F413</f>
        <v>9.5186345403704742E-2</v>
      </c>
      <c r="N413" s="831">
        <f ca="1">2 + RAND()</f>
        <v>2.8262230092410094</v>
      </c>
      <c r="O413" s="831">
        <f ca="1">1 + RAND()</f>
        <v>1.1055025780755854</v>
      </c>
      <c r="P413" s="831">
        <f ca="1">2.98 + (RAND() * (3.03 - 2.98))</f>
        <v>3.0254130573574574</v>
      </c>
      <c r="Q413" s="832" t="str">
        <f ca="1">IF(D413="130 × 130", (130 + RANDBETWEEN(-1,1)) &amp; " × " &amp; (130 + RANDBETWEEN(-1,1)),
   IF(D413="160 × 160", (160 + RANDBETWEEN(-1,1)) &amp; " × " &amp; (160 + RANDBETWEEN(-1,1)),
   IF(D413="110 × 110", (110 + RANDBETWEEN(-1,1)) &amp; " × " &amp; (110 + RANDBETWEEN(-1,1)),
   "Value not matched")))</f>
        <v>Value not matched</v>
      </c>
      <c r="R413" s="833" t="s">
        <v>213</v>
      </c>
      <c r="S413" s="834" t="str">
        <f ca="1">IF(G413&lt;0.6, "IS 14650 CPS 10748/GR2", "IS 14650 CPS 10748/GR3")</f>
        <v>IS 14650 CPS 10748/GR2</v>
      </c>
      <c r="T413" s="831" t="s">
        <v>769</v>
      </c>
      <c r="U413" s="825"/>
      <c r="V413" s="826"/>
      <c r="W413" s="206">
        <f>Prod.!B231</f>
        <v>0</v>
      </c>
      <c r="X413" s="469">
        <f>Prod.!C231</f>
        <v>0</v>
      </c>
      <c r="Y413" s="469">
        <f>Prod.!D231</f>
        <v>0</v>
      </c>
      <c r="Z413" s="469">
        <f>Prod.!E231</f>
        <v>0</v>
      </c>
      <c r="AA413" s="282">
        <f>Prod.!F231</f>
        <v>0</v>
      </c>
      <c r="AB413" s="282">
        <f>Prod.!G231</f>
        <v>0</v>
      </c>
      <c r="AC413" s="836">
        <f>Prod.!H231</f>
        <v>0</v>
      </c>
      <c r="AD413" s="282">
        <f>Prod.!AB231</f>
        <v>0</v>
      </c>
      <c r="AE413" s="282">
        <f>AD413-AF413</f>
        <v>0</v>
      </c>
      <c r="AF413" s="282">
        <f>Prod.!AA231</f>
        <v>0</v>
      </c>
    </row>
    <row r="414" spans="1:32" ht="15" customHeight="1">
      <c r="A414" s="1435"/>
      <c r="B414" s="818"/>
      <c r="C414" s="819"/>
      <c r="D414" s="822"/>
      <c r="E414" s="822"/>
      <c r="F414" s="821"/>
      <c r="G414" s="821"/>
      <c r="H414" s="840"/>
      <c r="I414" s="840"/>
      <c r="J414" s="821"/>
      <c r="K414" s="821"/>
      <c r="L414" s="822"/>
      <c r="M414" s="838"/>
      <c r="N414" s="821"/>
      <c r="O414" s="821"/>
      <c r="P414" s="821"/>
      <c r="Q414" s="821"/>
      <c r="R414" s="839"/>
      <c r="S414" s="841"/>
      <c r="T414" s="821"/>
      <c r="U414" s="825"/>
      <c r="V414" s="826"/>
    </row>
    <row r="415" spans="1:32" ht="15" customHeight="1">
      <c r="A415" s="1435"/>
      <c r="B415" s="827"/>
      <c r="C415" s="828"/>
      <c r="D415" s="842"/>
      <c r="E415" s="830"/>
      <c r="F415" s="831"/>
      <c r="G415" s="831"/>
      <c r="H415" s="843"/>
      <c r="I415" s="843"/>
      <c r="J415" s="831"/>
      <c r="K415" s="831"/>
      <c r="L415" s="830"/>
      <c r="M415" s="831"/>
      <c r="N415" s="831"/>
      <c r="O415" s="831"/>
      <c r="P415" s="831"/>
      <c r="Q415" s="831"/>
      <c r="R415" s="833"/>
      <c r="S415" s="834"/>
      <c r="T415" s="831"/>
      <c r="U415" s="825"/>
      <c r="V415" s="826"/>
    </row>
    <row r="416" spans="1:32" ht="15" customHeight="1">
      <c r="A416" s="180"/>
      <c r="B416" s="180"/>
      <c r="C416" s="180" t="s">
        <v>770</v>
      </c>
      <c r="D416" s="395"/>
      <c r="E416" s="844">
        <f>SUM(E390:E413)</f>
        <v>0</v>
      </c>
      <c r="F416" s="180"/>
      <c r="G416" s="180"/>
      <c r="H416" s="844"/>
      <c r="I416" s="180"/>
      <c r="J416" s="845"/>
      <c r="K416" s="845"/>
      <c r="L416" s="180"/>
      <c r="M416" s="845"/>
      <c r="N416" s="180"/>
      <c r="O416" s="180"/>
      <c r="P416" s="180"/>
      <c r="Q416" s="180"/>
      <c r="R416" s="263"/>
      <c r="S416" s="180"/>
      <c r="T416" s="180"/>
    </row>
    <row r="417" spans="1:32" ht="28.5" customHeight="1">
      <c r="A417" s="1436" t="s">
        <v>746</v>
      </c>
      <c r="B417" s="1436"/>
      <c r="C417" s="1436"/>
      <c r="D417" s="1436"/>
      <c r="E417" s="1436"/>
      <c r="F417" s="1436"/>
      <c r="G417" s="1436"/>
      <c r="H417" s="1436"/>
      <c r="I417" s="1436"/>
      <c r="J417" s="1436"/>
      <c r="K417" s="1436"/>
      <c r="L417" s="1436"/>
      <c r="M417" s="1436"/>
      <c r="N417" s="1436"/>
      <c r="O417" s="1436"/>
      <c r="P417" s="1436"/>
      <c r="Q417" s="1436"/>
      <c r="R417" s="1436"/>
      <c r="S417" s="1436"/>
      <c r="T417" s="1436"/>
      <c r="U417" s="515"/>
      <c r="V417" s="846"/>
    </row>
    <row r="418" spans="1:32" ht="15" customHeight="1">
      <c r="A418" s="1437" t="s">
        <v>747</v>
      </c>
      <c r="B418" s="1437"/>
      <c r="C418" s="1437"/>
      <c r="D418" s="1437"/>
      <c r="E418" s="1437"/>
      <c r="F418" s="1437"/>
      <c r="G418" s="1437"/>
      <c r="H418" s="1437"/>
      <c r="I418" s="1437"/>
      <c r="J418" s="1437"/>
      <c r="K418" s="1437"/>
      <c r="L418" s="1437"/>
      <c r="M418" s="1437"/>
      <c r="N418" s="1437"/>
      <c r="O418" s="1437"/>
      <c r="P418" s="1437"/>
      <c r="Q418" s="1437"/>
      <c r="R418" s="1437"/>
      <c r="S418" s="1437"/>
      <c r="T418" s="1437"/>
      <c r="U418" s="806"/>
      <c r="V418" s="807"/>
    </row>
    <row r="419" spans="1:32" ht="15" customHeight="1">
      <c r="A419" s="1438" t="str">
        <f>"DATE OF MANUFACTURING : " &amp; TEXT(V423, "DD-MM-YYYY")</f>
        <v>DATE OF MANUFACTURING : 00-01-1900</v>
      </c>
      <c r="B419" s="1438"/>
      <c r="C419" s="1438"/>
      <c r="D419" s="1438"/>
      <c r="E419" s="1438"/>
      <c r="F419" s="1438"/>
      <c r="G419" s="1438"/>
      <c r="H419" s="1438"/>
      <c r="I419" s="1438"/>
      <c r="J419" s="1438"/>
      <c r="K419" s="1438"/>
      <c r="L419" s="1438"/>
      <c r="M419" s="1438"/>
      <c r="N419" s="1437" t="s">
        <v>748</v>
      </c>
      <c r="O419" s="1437"/>
      <c r="P419" s="1437"/>
      <c r="Q419" s="1437"/>
      <c r="R419" s="1437"/>
      <c r="S419" s="1437"/>
      <c r="T419" s="1437"/>
      <c r="U419" s="808"/>
      <c r="V419" s="809"/>
    </row>
    <row r="420" spans="1:32" ht="29.25" customHeight="1">
      <c r="A420" s="1439" t="s">
        <v>749</v>
      </c>
      <c r="B420" s="1440" t="s">
        <v>750</v>
      </c>
      <c r="C420" s="1440"/>
      <c r="D420" s="1440" t="s">
        <v>751</v>
      </c>
      <c r="E420" s="1441" t="s">
        <v>752</v>
      </c>
      <c r="F420" s="1442" t="s">
        <v>753</v>
      </c>
      <c r="G420" s="1442"/>
      <c r="H420" s="1442"/>
      <c r="I420" s="1442"/>
      <c r="J420" s="1442"/>
      <c r="K420" s="1442"/>
      <c r="L420" s="1442"/>
      <c r="M420" s="1442"/>
      <c r="N420" s="1442" t="s">
        <v>754</v>
      </c>
      <c r="O420" s="1442"/>
      <c r="P420" s="1442"/>
      <c r="Q420" s="1442"/>
      <c r="R420" s="1443" t="s">
        <v>771</v>
      </c>
      <c r="S420" s="1441" t="s">
        <v>756</v>
      </c>
      <c r="T420" s="1440" t="s">
        <v>104</v>
      </c>
      <c r="U420" s="810"/>
      <c r="V420" s="811"/>
    </row>
    <row r="421" spans="1:32" ht="42.75" customHeight="1">
      <c r="A421" s="1439"/>
      <c r="B421" s="1440"/>
      <c r="C421" s="1440"/>
      <c r="D421" s="1440"/>
      <c r="E421" s="1440"/>
      <c r="F421" s="812" t="s">
        <v>40</v>
      </c>
      <c r="G421" s="812" t="s">
        <v>757</v>
      </c>
      <c r="H421" s="813" t="s">
        <v>758</v>
      </c>
      <c r="I421" s="812" t="s">
        <v>43</v>
      </c>
      <c r="J421" s="812" t="s">
        <v>42</v>
      </c>
      <c r="K421" s="812" t="s">
        <v>759</v>
      </c>
      <c r="L421" s="812" t="s">
        <v>760</v>
      </c>
      <c r="M421" s="812" t="s">
        <v>761</v>
      </c>
      <c r="N421" s="814" t="s">
        <v>762</v>
      </c>
      <c r="O421" s="815" t="s">
        <v>772</v>
      </c>
      <c r="P421" s="816" t="s">
        <v>773</v>
      </c>
      <c r="Q421" s="817" t="s">
        <v>764</v>
      </c>
      <c r="R421" s="1443"/>
      <c r="S421" s="1443"/>
      <c r="T421" s="1443"/>
      <c r="U421" s="810"/>
      <c r="V421" s="811"/>
    </row>
    <row r="422" spans="1:32" ht="15" customHeight="1">
      <c r="A422" s="1435">
        <v>1</v>
      </c>
      <c r="B422" s="818">
        <f>W423</f>
        <v>0</v>
      </c>
      <c r="C422" s="819" t="s">
        <v>765</v>
      </c>
      <c r="D422" s="820"/>
      <c r="E422" s="821"/>
      <c r="F422" s="821">
        <f ca="1">F423 + (RAND() * 0.02 - 0.01)</f>
        <v>7.0311653167685773E-3</v>
      </c>
      <c r="G422" s="821">
        <f ca="1">G423 + (RAND() * 0.06 - 0.03)</f>
        <v>0.53226334307991274</v>
      </c>
      <c r="H422" s="822">
        <f ca="1">H423 + (RAND() * 0.006 - 0.003)</f>
        <v>-1.5043919361770815E-3</v>
      </c>
      <c r="I422" s="822">
        <f ca="1">I423 + (RAND() * 0.006 - 0.003)</f>
        <v>-8.9785390184410167E-5</v>
      </c>
      <c r="J422" s="821">
        <f ca="1">J423 + (RAND() * 0.02 - 0.01)</f>
        <v>7.0774449977015989E-3</v>
      </c>
      <c r="K422" s="821"/>
      <c r="L422" s="822"/>
      <c r="M422" s="821"/>
      <c r="N422" s="823"/>
      <c r="O422" s="823"/>
      <c r="P422" s="823"/>
      <c r="Q422" s="823"/>
      <c r="R422" s="824"/>
      <c r="S422" s="821"/>
      <c r="T422" s="821"/>
      <c r="U422" s="825"/>
      <c r="V422" s="826"/>
      <c r="AE422" t="s">
        <v>767</v>
      </c>
    </row>
    <row r="423" spans="1:32" ht="15" customHeight="1">
      <c r="A423" s="1435"/>
      <c r="B423" s="827">
        <f>B422</f>
        <v>0</v>
      </c>
      <c r="C423" s="828" t="s">
        <v>768</v>
      </c>
      <c r="D423" s="829" t="str">
        <f>IF(AC423=130, "130 × 130", IF(AC423=160, "160 × 160", IF(AC423=110, "110 × 110", "Value not 130, 160, or 110")))</f>
        <v>Value not 130, 160, or 110</v>
      </c>
      <c r="E423" s="830">
        <f>AD423</f>
        <v>0</v>
      </c>
      <c r="F423" s="831">
        <f ca="1">IF(X423 &gt; 0.1, RAND() * (0.1 - 0.06) + 0.06, X423)</f>
        <v>0</v>
      </c>
      <c r="G423" s="831">
        <f ca="1">IF(Y423 &lt; 0.5, 0.5 + RAND() * 0.1, Y423)</f>
        <v>0.53476939029853854</v>
      </c>
      <c r="H423" s="830">
        <f ca="1">IF(AB423&gt;0.04, 0.029 + (0.039-0.029)*RAND(), AB423)</f>
        <v>0</v>
      </c>
      <c r="I423" s="830">
        <f ca="1">IF(AA423&gt;0.04, 0.029 + (0.039-0.029)*RAND(), AA423)</f>
        <v>0</v>
      </c>
      <c r="J423" s="831">
        <f ca="1">IF(Z423&gt;0.15, 0.11 + (0.15-0.11) * RAND(), Z423)</f>
        <v>0</v>
      </c>
      <c r="K423" s="830">
        <f ca="1">0.004 + (RAND() * (0.001 - 0.004))</f>
        <v>2.9539869245262399E-3</v>
      </c>
      <c r="L423" s="830">
        <f ca="1">H423+I423</f>
        <v>0</v>
      </c>
      <c r="M423" s="831">
        <f ca="1">(G423/6)+F423</f>
        <v>8.912823171642309E-2</v>
      </c>
      <c r="N423" s="831">
        <f ca="1">2 + RAND()</f>
        <v>2.9297148975478353</v>
      </c>
      <c r="O423" s="831">
        <f ca="1">1 + RAND()</f>
        <v>1.8812141717691242</v>
      </c>
      <c r="P423" s="831">
        <f ca="1">2.98 + (RAND() * (3.03 - 2.98))</f>
        <v>2.9813235781990497</v>
      </c>
      <c r="Q423" s="832" t="str">
        <f ca="1">IF(D423="130 × 130", (130 + RANDBETWEEN(-1,1)) &amp; " × " &amp; (130 + RANDBETWEEN(-1,1)),
   IF(D423="160 × 160", (160 + RANDBETWEEN(-1,1)) &amp; " × " &amp; (160 + RANDBETWEEN(-1,1)),
   IF(D423="110 × 110", (110 + RANDBETWEEN(-1,1)) &amp; " × " &amp; (110 + RANDBETWEEN(-1,1)),
   "Value not matched")))</f>
        <v>Value not matched</v>
      </c>
      <c r="R423" s="833" t="s">
        <v>213</v>
      </c>
      <c r="S423" s="834" t="str">
        <f ca="1">IF(G423&lt;0.6, "IS 14650 CPS 10748/GR2", "IS 14650 CPS 10748/GR3")</f>
        <v>IS 14650 CPS 10748/GR2</v>
      </c>
      <c r="T423" s="831" t="s">
        <v>769</v>
      </c>
      <c r="U423" s="825"/>
      <c r="V423" s="835">
        <f>Prod.!A238</f>
        <v>0</v>
      </c>
      <c r="W423" s="206">
        <f>Prod.!B238</f>
        <v>0</v>
      </c>
      <c r="X423" s="469">
        <f>Prod.!C238</f>
        <v>0</v>
      </c>
      <c r="Y423" s="469">
        <f>Prod.!D238</f>
        <v>0</v>
      </c>
      <c r="Z423" s="469">
        <f>Prod.!E238</f>
        <v>0</v>
      </c>
      <c r="AA423" s="282">
        <f>Prod.!F238</f>
        <v>0</v>
      </c>
      <c r="AB423" s="282">
        <f>Prod.!G238</f>
        <v>0</v>
      </c>
      <c r="AC423" s="836">
        <f>Prod.!H238</f>
        <v>0</v>
      </c>
      <c r="AD423" s="282">
        <f>Prod.!AB238</f>
        <v>0</v>
      </c>
      <c r="AE423" s="282">
        <f>AD423-AF423</f>
        <v>0</v>
      </c>
      <c r="AF423" s="282">
        <f>Prod.!AA238</f>
        <v>0</v>
      </c>
    </row>
    <row r="424" spans="1:32" ht="15" customHeight="1">
      <c r="A424" s="1435">
        <v>2</v>
      </c>
      <c r="B424" s="818">
        <f>W425</f>
        <v>0</v>
      </c>
      <c r="C424" s="819" t="s">
        <v>765</v>
      </c>
      <c r="D424" s="822"/>
      <c r="E424" s="822"/>
      <c r="F424" s="821">
        <f ca="1">F425 + (RAND() * 0.02 - 0.01)</f>
        <v>-6.2662145685099709E-4</v>
      </c>
      <c r="G424" s="821">
        <f ca="1">G425 + (RAND() * 0.06 - 0.03)</f>
        <v>0.59701973867210645</v>
      </c>
      <c r="H424" s="822">
        <f ca="1">H425 + (RAND() * 0.006 - 0.003)</f>
        <v>1.263990319270848E-3</v>
      </c>
      <c r="I424" s="822">
        <f ca="1">I425 + (RAND() * 0.006 - 0.003)</f>
        <v>-2.7554347927855449E-3</v>
      </c>
      <c r="J424" s="821">
        <f ca="1">J425 + (RAND() * 0.02 - 0.01)</f>
        <v>-8.1223231352308151E-3</v>
      </c>
      <c r="K424" s="821"/>
      <c r="L424" s="822"/>
      <c r="M424" s="821"/>
      <c r="N424" s="823"/>
      <c r="O424" s="823"/>
      <c r="P424" s="823"/>
      <c r="Q424" s="823"/>
      <c r="R424" s="837"/>
      <c r="S424" s="821"/>
      <c r="T424" s="838"/>
      <c r="U424" s="825"/>
      <c r="V424" s="826"/>
    </row>
    <row r="425" spans="1:32" ht="15" customHeight="1">
      <c r="A425" s="1435"/>
      <c r="B425" s="827">
        <f>B424</f>
        <v>0</v>
      </c>
      <c r="C425" s="828" t="s">
        <v>768</v>
      </c>
      <c r="D425" s="829" t="str">
        <f>IF(AC425=130, "130 × 130", IF(AC425=160, "160 × 160", IF(AC425=110, "110 × 110", "Value not 130, 160, or 110")))</f>
        <v>Value not 130, 160, or 110</v>
      </c>
      <c r="E425" s="830">
        <f>AD425</f>
        <v>0</v>
      </c>
      <c r="F425" s="831">
        <f ca="1">IF(X425 &gt; 0.1, RAND() * (0.1 - 0.06) + 0.06, X425)</f>
        <v>0</v>
      </c>
      <c r="G425" s="831">
        <f ca="1">IF(Y425 &lt; 0.5, 0.5 + RAND() * 0.1, Y425)</f>
        <v>0.58501546231075063</v>
      </c>
      <c r="H425" s="830">
        <f ca="1">IF(AB425&gt;0.04, 0.029 + (0.039-0.029)*RAND(), AB425)</f>
        <v>0</v>
      </c>
      <c r="I425" s="830">
        <f ca="1">IF(AA425&gt;0.04, 0.029 + (0.039-0.029)*RAND(), AA425)</f>
        <v>0</v>
      </c>
      <c r="J425" s="831">
        <f ca="1">IF(Z425&gt;0.15, 0.11 + (0.15-0.11) * RAND(), Z425)</f>
        <v>0</v>
      </c>
      <c r="K425" s="830">
        <f ca="1">0.004 + (RAND() * (0.001 - 0.004))</f>
        <v>2.5287134188372523E-3</v>
      </c>
      <c r="L425" s="830">
        <f ca="1">H425+I425</f>
        <v>0</v>
      </c>
      <c r="M425" s="831">
        <f ca="1">(G425/6)+F425</f>
        <v>9.7502577051791772E-2</v>
      </c>
      <c r="N425" s="831">
        <f ca="1">2 + RAND()</f>
        <v>2.5617534019629273</v>
      </c>
      <c r="O425" s="831">
        <f ca="1">1 + RAND()</f>
        <v>1.9136862359193731</v>
      </c>
      <c r="P425" s="831">
        <f ca="1">2.98 + (RAND() * (3.03 - 2.98))</f>
        <v>3.0008341210672849</v>
      </c>
      <c r="Q425" s="832" t="str">
        <f ca="1">IF(D425="130 × 130", (130 + RANDBETWEEN(-1,1)) &amp; " × " &amp; (130 + RANDBETWEEN(-1,1)),
   IF(D425="160 × 160", (160 + RANDBETWEEN(-1,1)) &amp; " × " &amp; (160 + RANDBETWEEN(-1,1)),
   IF(D425="110 × 110", (110 + RANDBETWEEN(-1,1)) &amp; " × " &amp; (110 + RANDBETWEEN(-1,1)),
   "Value not matched")))</f>
        <v>Value not matched</v>
      </c>
      <c r="R425" s="833" t="s">
        <v>213</v>
      </c>
      <c r="S425" s="834" t="str">
        <f ca="1">IF(G425&lt;0.6, "IS 14650 CPS 10748/GR2", "IS 14650 CPS 10748/GR3")</f>
        <v>IS 14650 CPS 10748/GR2</v>
      </c>
      <c r="T425" s="831" t="s">
        <v>769</v>
      </c>
      <c r="U425" s="825"/>
      <c r="V425" s="826"/>
      <c r="W425" s="206">
        <f>Prod.!B239</f>
        <v>0</v>
      </c>
      <c r="X425" s="469">
        <f>Prod.!C239</f>
        <v>0</v>
      </c>
      <c r="Y425" s="469">
        <f>Prod.!D239</f>
        <v>0</v>
      </c>
      <c r="Z425" s="469">
        <f>Prod.!E239</f>
        <v>0</v>
      </c>
      <c r="AA425" s="282">
        <f>Prod.!F239</f>
        <v>0</v>
      </c>
      <c r="AB425" s="282">
        <f>Prod.!G239</f>
        <v>0</v>
      </c>
      <c r="AC425" s="836">
        <f>Prod.!H239</f>
        <v>0</v>
      </c>
      <c r="AD425" s="282">
        <f>Prod.!AB239</f>
        <v>0</v>
      </c>
      <c r="AE425" s="282">
        <f>AD425-AF425</f>
        <v>0</v>
      </c>
      <c r="AF425" s="282">
        <f>Prod.!AA239</f>
        <v>0</v>
      </c>
    </row>
    <row r="426" spans="1:32" ht="15" customHeight="1">
      <c r="A426" s="1435">
        <v>3</v>
      </c>
      <c r="B426" s="818">
        <f>W427</f>
        <v>0</v>
      </c>
      <c r="C426" s="819" t="s">
        <v>765</v>
      </c>
      <c r="D426" s="822"/>
      <c r="E426" s="822"/>
      <c r="F426" s="821">
        <f ca="1">F427 + (RAND() * 0.02 - 0.01)</f>
        <v>4.6426801617735752E-3</v>
      </c>
      <c r="G426" s="821">
        <f ca="1">G427 + (RAND() * 0.06 - 0.03)</f>
        <v>0.58384659951527595</v>
      </c>
      <c r="H426" s="822">
        <f ca="1">H427 + (RAND() * 0.006 - 0.003)</f>
        <v>1.6612908745762406E-3</v>
      </c>
      <c r="I426" s="822">
        <f ca="1">I427 + (RAND() * 0.006 - 0.003)</f>
        <v>7.0084120723601156E-4</v>
      </c>
      <c r="J426" s="821">
        <f ca="1">J427 + (RAND() * 0.02 - 0.01)</f>
        <v>9.9779585716742985E-3</v>
      </c>
      <c r="K426" s="821"/>
      <c r="L426" s="822"/>
      <c r="M426" s="821"/>
      <c r="N426" s="823"/>
      <c r="O426" s="823"/>
      <c r="P426" s="823"/>
      <c r="Q426" s="823"/>
      <c r="R426" s="839"/>
      <c r="S426" s="821"/>
      <c r="T426" s="821"/>
      <c r="U426" s="825"/>
      <c r="V426" s="826"/>
    </row>
    <row r="427" spans="1:32" ht="15" customHeight="1">
      <c r="A427" s="1435"/>
      <c r="B427" s="827">
        <f>B426</f>
        <v>0</v>
      </c>
      <c r="C427" s="828" t="s">
        <v>768</v>
      </c>
      <c r="D427" s="829" t="str">
        <f>IF(AC427=130, "130 × 130", IF(AC427=160, "160 × 160", IF(AC427=110, "110 × 110", "Value not 130, 160, or 110")))</f>
        <v>Value not 130, 160, or 110</v>
      </c>
      <c r="E427" s="830">
        <f>AD427</f>
        <v>0</v>
      </c>
      <c r="F427" s="831">
        <f ca="1">IF(X427 &gt; 0.1, RAND() * (0.1 - 0.06) + 0.06, X427)</f>
        <v>0</v>
      </c>
      <c r="G427" s="831">
        <f ca="1">IF(Y427 &lt; 0.5, 0.5 + RAND() * 0.1, Y427)</f>
        <v>0.57228228861421071</v>
      </c>
      <c r="H427" s="830">
        <f ca="1">IF(AB427&gt;0.04, 0.029 + (0.039-0.029)*RAND(), AB427)</f>
        <v>0</v>
      </c>
      <c r="I427" s="830">
        <f ca="1">IF(AA427&gt;0.04, 0.029 + (0.039-0.029)*RAND(), AA427)</f>
        <v>0</v>
      </c>
      <c r="J427" s="831">
        <f ca="1">IF(Z427&gt;0.15, 0.11 + (0.15-0.11) * RAND(), Z427)</f>
        <v>0</v>
      </c>
      <c r="K427" s="830">
        <f ca="1">0.004 + (RAND() * (0.001 - 0.004))</f>
        <v>3.0164268827192206E-3</v>
      </c>
      <c r="L427" s="830">
        <f ca="1">H427+I427</f>
        <v>0</v>
      </c>
      <c r="M427" s="831">
        <f ca="1">(G427/6)+F427</f>
        <v>9.538038143570178E-2</v>
      </c>
      <c r="N427" s="831">
        <f ca="1">2 + RAND()</f>
        <v>2.899834274768462</v>
      </c>
      <c r="O427" s="831">
        <f ca="1">1 + RAND()</f>
        <v>1.2689317692327862</v>
      </c>
      <c r="P427" s="831">
        <f ca="1">2.98 + (RAND() * (3.03 - 2.98))</f>
        <v>2.9879422893839784</v>
      </c>
      <c r="Q427" s="832" t="str">
        <f ca="1">IF(D427="130 × 130", (130 + RANDBETWEEN(-1,1)) &amp; " × " &amp; (130 + RANDBETWEEN(-1,1)),
   IF(D427="160 × 160", (160 + RANDBETWEEN(-1,1)) &amp; " × " &amp; (160 + RANDBETWEEN(-1,1)),
   IF(D427="110 × 110", (110 + RANDBETWEEN(-1,1)) &amp; " × " &amp; (110 + RANDBETWEEN(-1,1)),
   "Value not matched")))</f>
        <v>Value not matched</v>
      </c>
      <c r="R427" s="833" t="s">
        <v>213</v>
      </c>
      <c r="S427" s="834" t="str">
        <f ca="1">IF(G427&lt;0.6, "IS 14650 CPS 10748/GR2", "IS 14650 CPS 10748/GR3")</f>
        <v>IS 14650 CPS 10748/GR2</v>
      </c>
      <c r="T427" s="831" t="s">
        <v>769</v>
      </c>
      <c r="U427" s="825"/>
      <c r="V427" s="826"/>
      <c r="W427" s="206">
        <f>Prod.!B240</f>
        <v>0</v>
      </c>
      <c r="X427" s="469">
        <f>Prod.!C240</f>
        <v>0</v>
      </c>
      <c r="Y427" s="469">
        <f>Prod.!D240</f>
        <v>0</v>
      </c>
      <c r="Z427" s="469">
        <f>Prod.!E240</f>
        <v>0</v>
      </c>
      <c r="AA427" s="282">
        <f>Prod.!F240</f>
        <v>0</v>
      </c>
      <c r="AB427" s="282">
        <f>Prod.!G240</f>
        <v>0</v>
      </c>
      <c r="AC427" s="836">
        <f>Prod.!H240</f>
        <v>0</v>
      </c>
      <c r="AD427" s="282">
        <f>Prod.!AB240</f>
        <v>0</v>
      </c>
      <c r="AE427" s="282">
        <f>AD427-AF427</f>
        <v>0</v>
      </c>
      <c r="AF427" s="282">
        <f>Prod.!AA240</f>
        <v>0</v>
      </c>
    </row>
    <row r="428" spans="1:32" ht="15" customHeight="1">
      <c r="A428" s="1435">
        <v>4</v>
      </c>
      <c r="B428" s="818">
        <f>W429</f>
        <v>0</v>
      </c>
      <c r="C428" s="819" t="s">
        <v>765</v>
      </c>
      <c r="D428" s="822"/>
      <c r="E428" s="822"/>
      <c r="F428" s="821">
        <f ca="1">F429 + (RAND() * 0.02 - 0.01)</f>
        <v>5.4643426900016188E-3</v>
      </c>
      <c r="G428" s="821">
        <f ca="1">G429 + (RAND() * 0.06 - 0.03)</f>
        <v>0.61047603404613859</v>
      </c>
      <c r="H428" s="822">
        <f ca="1">H429 + (RAND() * 0.006 - 0.003)</f>
        <v>1.9629015030564285E-3</v>
      </c>
      <c r="I428" s="822">
        <f ca="1">I429 + (RAND() * 0.006 - 0.003)</f>
        <v>-1.0622412544673966E-3</v>
      </c>
      <c r="J428" s="821">
        <f ca="1">J429 + (RAND() * 0.02 - 0.01)</f>
        <v>6.5520293131553792E-3</v>
      </c>
      <c r="K428" s="821"/>
      <c r="L428" s="822"/>
      <c r="M428" s="821"/>
      <c r="N428" s="823"/>
      <c r="O428" s="823"/>
      <c r="P428" s="823"/>
      <c r="Q428" s="823"/>
      <c r="R428" s="839"/>
      <c r="S428" s="821"/>
      <c r="T428" s="821"/>
      <c r="U428" s="825"/>
      <c r="V428" s="826"/>
    </row>
    <row r="429" spans="1:32" ht="15" customHeight="1">
      <c r="A429" s="1435"/>
      <c r="B429" s="827">
        <f>B428</f>
        <v>0</v>
      </c>
      <c r="C429" s="828" t="s">
        <v>768</v>
      </c>
      <c r="D429" s="829" t="str">
        <f>IF(AC429=130, "130 × 130", IF(AC429=160, "160 × 160", IF(AC429=110, "110 × 110", "Value not 130, 160, or 110")))</f>
        <v>Value not 130, 160, or 110</v>
      </c>
      <c r="E429" s="830">
        <f>AD429</f>
        <v>0</v>
      </c>
      <c r="F429" s="831">
        <f ca="1">IF(X429 &gt; 0.1, RAND() * (0.1 - 0.06) + 0.06, X429)</f>
        <v>0</v>
      </c>
      <c r="G429" s="831">
        <f ca="1">IF(Y429 &lt; 0.5, 0.5 + RAND() * 0.1, Y429)</f>
        <v>0.58103169871536675</v>
      </c>
      <c r="H429" s="830">
        <f ca="1">IF(AB429&gt;0.04, 0.029 + (0.039-0.029)*RAND(), AB429)</f>
        <v>0</v>
      </c>
      <c r="I429" s="830">
        <f ca="1">IF(AA429&gt;0.04, 0.029 + (0.039-0.029)*RAND(), AA429)</f>
        <v>0</v>
      </c>
      <c r="J429" s="831">
        <f ca="1">IF(Z429&gt;0.15, 0.11 + (0.15-0.11) * RAND(), Z429)</f>
        <v>0</v>
      </c>
      <c r="K429" s="830">
        <f ca="1">0.004 + (RAND() * (0.001 - 0.004))</f>
        <v>3.3237100218806923E-3</v>
      </c>
      <c r="L429" s="830">
        <f ca="1">H429+I429</f>
        <v>0</v>
      </c>
      <c r="M429" s="831">
        <f ca="1">(G429/6)+F429</f>
        <v>9.683861645256113E-2</v>
      </c>
      <c r="N429" s="831">
        <f ca="1">2 + RAND()</f>
        <v>2.6131382427198879</v>
      </c>
      <c r="O429" s="831">
        <f ca="1">1 + RAND()</f>
        <v>1.7437620538049057</v>
      </c>
      <c r="P429" s="831">
        <f ca="1">2.98 + (RAND() * (3.03 - 2.98))</f>
        <v>3.0072538985579134</v>
      </c>
      <c r="Q429" s="832" t="str">
        <f ca="1">IF(D429="130 × 130", (130 + RANDBETWEEN(-1,1)) &amp; " × " &amp; (130 + RANDBETWEEN(-1,1)),
   IF(D429="160 × 160", (160 + RANDBETWEEN(-1,1)) &amp; " × " &amp; (160 + RANDBETWEEN(-1,1)),
   IF(D429="110 × 110", (110 + RANDBETWEEN(-1,1)) &amp; " × " &amp; (110 + RANDBETWEEN(-1,1)),
   "Value not matched")))</f>
        <v>Value not matched</v>
      </c>
      <c r="R429" s="833" t="s">
        <v>213</v>
      </c>
      <c r="S429" s="834" t="str">
        <f ca="1">IF(G429&lt;0.6, "IS 14650 CPS 10748/GR2", "IS 14650 CPS 10748/GR3")</f>
        <v>IS 14650 CPS 10748/GR2</v>
      </c>
      <c r="T429" s="831" t="s">
        <v>769</v>
      </c>
      <c r="U429" s="825"/>
      <c r="V429" s="826"/>
      <c r="W429" s="206">
        <f>Prod.!B241</f>
        <v>0</v>
      </c>
      <c r="X429" s="469">
        <f>Prod.!C241</f>
        <v>0</v>
      </c>
      <c r="Y429" s="469">
        <f>Prod.!D241</f>
        <v>0</v>
      </c>
      <c r="Z429" s="469">
        <f>Prod.!E241</f>
        <v>0</v>
      </c>
      <c r="AA429" s="282">
        <f>Prod.!F241</f>
        <v>0</v>
      </c>
      <c r="AB429" s="282">
        <f>Prod.!G241</f>
        <v>0</v>
      </c>
      <c r="AC429" s="836">
        <f>Prod.!H241</f>
        <v>0</v>
      </c>
      <c r="AD429" s="282">
        <f>Prod.!AB241</f>
        <v>0</v>
      </c>
      <c r="AE429" s="282">
        <f>AD429-AF429</f>
        <v>0</v>
      </c>
      <c r="AF429" s="282">
        <f>Prod.!AA241</f>
        <v>0</v>
      </c>
    </row>
    <row r="430" spans="1:32" ht="15" customHeight="1">
      <c r="A430" s="1435">
        <v>5</v>
      </c>
      <c r="B430" s="818">
        <f>W431</f>
        <v>0</v>
      </c>
      <c r="C430" s="819" t="s">
        <v>765</v>
      </c>
      <c r="D430" s="822"/>
      <c r="E430" s="822"/>
      <c r="F430" s="821">
        <f ca="1">F431 + (RAND() * 0.02 - 0.01)</f>
        <v>-7.3680133247016168E-3</v>
      </c>
      <c r="G430" s="821">
        <f ca="1">G431 + (RAND() * 0.06 - 0.03)</f>
        <v>0.54393024885496299</v>
      </c>
      <c r="H430" s="822">
        <f ca="1">H431 + (RAND() * 0.006 - 0.003)</f>
        <v>-1.8596221413122013E-3</v>
      </c>
      <c r="I430" s="822">
        <f ca="1">I431 + (RAND() * 0.006 - 0.003)</f>
        <v>-5.9394446405558248E-4</v>
      </c>
      <c r="J430" s="821">
        <f ca="1">J431 + (RAND() * 0.02 - 0.01)</f>
        <v>4.5245575724543064E-3</v>
      </c>
      <c r="K430" s="821"/>
      <c r="L430" s="822"/>
      <c r="M430" s="821"/>
      <c r="N430" s="823"/>
      <c r="O430" s="823"/>
      <c r="P430" s="823"/>
      <c r="Q430" s="823"/>
      <c r="R430" s="839"/>
      <c r="S430" s="821"/>
      <c r="T430" s="821"/>
      <c r="U430" s="825"/>
      <c r="V430" s="826"/>
    </row>
    <row r="431" spans="1:32" ht="15" customHeight="1">
      <c r="A431" s="1435"/>
      <c r="B431" s="827">
        <f>B430</f>
        <v>0</v>
      </c>
      <c r="C431" s="828" t="s">
        <v>768</v>
      </c>
      <c r="D431" s="829" t="str">
        <f>IF(AC431=130, "130 × 130", IF(AC431=160, "160 × 160", IF(AC431=110, "110 × 110", "Value not 130, 160, or 110")))</f>
        <v>Value not 130, 160, or 110</v>
      </c>
      <c r="E431" s="830">
        <f>AD431</f>
        <v>0</v>
      </c>
      <c r="F431" s="831">
        <f ca="1">IF(X431 &gt; 0.1, RAND() * (0.1 - 0.06) + 0.06, X431)</f>
        <v>0</v>
      </c>
      <c r="G431" s="831">
        <f ca="1">IF(Y431 &lt; 0.5, 0.5 + RAND() * 0.1, Y431)</f>
        <v>0.53304455284404917</v>
      </c>
      <c r="H431" s="830">
        <f ca="1">IF(AB431&gt;0.04, 0.029 + (0.039-0.029)*RAND(), AB431)</f>
        <v>0</v>
      </c>
      <c r="I431" s="830">
        <f ca="1">IF(AA431&gt;0.04, 0.029 + (0.039-0.029)*RAND(), AA431)</f>
        <v>0</v>
      </c>
      <c r="J431" s="831">
        <f ca="1">IF(Z431&gt;0.15, 0.11 + (0.15-0.11) * RAND(), Z431)</f>
        <v>0</v>
      </c>
      <c r="K431" s="830">
        <f ca="1">0.004 + (RAND() * (0.001 - 0.004))</f>
        <v>1.910123990834971E-3</v>
      </c>
      <c r="L431" s="830">
        <f ca="1">H431+I431</f>
        <v>0</v>
      </c>
      <c r="M431" s="831">
        <f ca="1">(G431/6)+F431</f>
        <v>8.8840758807341533E-2</v>
      </c>
      <c r="N431" s="831">
        <f ca="1">2 + RAND()</f>
        <v>2.9369868338172527</v>
      </c>
      <c r="O431" s="831">
        <f ca="1">1 + RAND()</f>
        <v>1.9752629192074174</v>
      </c>
      <c r="P431" s="831">
        <f ca="1">2.98 + (RAND() * (3.03 - 2.98))</f>
        <v>2.9954220969252643</v>
      </c>
      <c r="Q431" s="832" t="str">
        <f ca="1">IF(D431="130 × 130", (130 + RANDBETWEEN(-1,1)) &amp; " × " &amp; (130 + RANDBETWEEN(-1,1)),
   IF(D431="160 × 160", (160 + RANDBETWEEN(-1,1)) &amp; " × " &amp; (160 + RANDBETWEEN(-1,1)),
   IF(D431="110 × 110", (110 + RANDBETWEEN(-1,1)) &amp; " × " &amp; (110 + RANDBETWEEN(-1,1)),
   "Value not matched")))</f>
        <v>Value not matched</v>
      </c>
      <c r="R431" s="833" t="s">
        <v>213</v>
      </c>
      <c r="S431" s="834" t="str">
        <f ca="1">IF(G431&lt;0.6, "IS 14650 CPS 10748/GR2", "IS 14650 CPS 10748/GR3")</f>
        <v>IS 14650 CPS 10748/GR2</v>
      </c>
      <c r="T431" s="831" t="s">
        <v>769</v>
      </c>
      <c r="U431" s="825"/>
      <c r="V431" s="826"/>
      <c r="W431" s="206">
        <f>Prod.!B242</f>
        <v>0</v>
      </c>
      <c r="X431" s="469">
        <f>Prod.!C242</f>
        <v>0</v>
      </c>
      <c r="Y431" s="469">
        <f>Prod.!D242</f>
        <v>0</v>
      </c>
      <c r="Z431" s="469">
        <f>Prod.!E242</f>
        <v>0</v>
      </c>
      <c r="AA431" s="282">
        <f>Prod.!F242</f>
        <v>0</v>
      </c>
      <c r="AB431" s="282">
        <f>Prod.!G242</f>
        <v>0</v>
      </c>
      <c r="AC431" s="836">
        <f>Prod.!H242</f>
        <v>0</v>
      </c>
      <c r="AD431" s="282">
        <f>Prod.!AB242</f>
        <v>0</v>
      </c>
      <c r="AE431" s="282">
        <f>AD431-AF431</f>
        <v>0</v>
      </c>
      <c r="AF431" s="282">
        <f>Prod.!AA242</f>
        <v>0</v>
      </c>
    </row>
    <row r="432" spans="1:32" ht="15" customHeight="1">
      <c r="A432" s="1435">
        <v>6</v>
      </c>
      <c r="B432" s="818">
        <f>W433</f>
        <v>0</v>
      </c>
      <c r="C432" s="819" t="s">
        <v>765</v>
      </c>
      <c r="D432" s="822"/>
      <c r="E432" s="822"/>
      <c r="F432" s="821">
        <f ca="1">F433 + (RAND() * 0.02 - 0.01)</f>
        <v>-8.1862563760973332E-3</v>
      </c>
      <c r="G432" s="821">
        <f ca="1">G433 + (RAND() * 0.06 - 0.03)</f>
        <v>0.50126536910448583</v>
      </c>
      <c r="H432" s="822">
        <f ca="1">H433 + (RAND() * 0.006 - 0.003)</f>
        <v>5.3091596730004504E-4</v>
      </c>
      <c r="I432" s="822">
        <f ca="1">I433 + (RAND() * 0.006 - 0.003)</f>
        <v>2.6616234255465616E-3</v>
      </c>
      <c r="J432" s="821">
        <f ca="1">J433 + (RAND() * 0.02 - 0.01)</f>
        <v>-3.4867554304477142E-3</v>
      </c>
      <c r="K432" s="821"/>
      <c r="L432" s="822"/>
      <c r="M432" s="821"/>
      <c r="N432" s="823"/>
      <c r="O432" s="823"/>
      <c r="P432" s="823"/>
      <c r="Q432" s="823"/>
      <c r="R432" s="839"/>
      <c r="S432" s="821"/>
      <c r="T432" s="821"/>
      <c r="U432" s="825"/>
      <c r="V432" s="826"/>
    </row>
    <row r="433" spans="1:32" ht="15" customHeight="1">
      <c r="A433" s="1435"/>
      <c r="B433" s="827">
        <f>B432</f>
        <v>0</v>
      </c>
      <c r="C433" s="828" t="s">
        <v>768</v>
      </c>
      <c r="D433" s="829" t="str">
        <f>IF(AC433=130, "130 × 130", IF(AC433=160, "160 × 160", IF(AC433=110, "110 × 110", "Value not 130, 160, or 110")))</f>
        <v>Value not 130, 160, or 110</v>
      </c>
      <c r="E433" s="830">
        <f>AD433</f>
        <v>0</v>
      </c>
      <c r="F433" s="831">
        <f ca="1">IF(X433 &gt; 0.1, RAND() * (0.1 - 0.06) + 0.06, X433)</f>
        <v>0</v>
      </c>
      <c r="G433" s="831">
        <f ca="1">IF(Y433 &lt; 0.5, 0.5 + RAND() * 0.1, Y433)</f>
        <v>0.51335723540879796</v>
      </c>
      <c r="H433" s="830">
        <f ca="1">IF(AB433&gt;0.04, 0.029 + (0.039-0.029)*RAND(), AB433)</f>
        <v>0</v>
      </c>
      <c r="I433" s="830">
        <f ca="1">IF(AA433&gt;0.04, 0.029 + (0.039-0.029)*RAND(), AA433)</f>
        <v>0</v>
      </c>
      <c r="J433" s="831">
        <f ca="1">IF(Z433&gt;0.15, 0.11 + (0.15-0.11) * RAND(), Z433)</f>
        <v>0</v>
      </c>
      <c r="K433" s="830">
        <f ca="1">0.004 + (RAND() * (0.001 - 0.004))</f>
        <v>2.8902260248948857E-3</v>
      </c>
      <c r="L433" s="830">
        <f ca="1">H433+I433</f>
        <v>0</v>
      </c>
      <c r="M433" s="831">
        <f ca="1">(G433/6)+F433</f>
        <v>8.5559539234799656E-2</v>
      </c>
      <c r="N433" s="831">
        <f ca="1">2 + RAND()</f>
        <v>2.0671401273348589</v>
      </c>
      <c r="O433" s="831">
        <f ca="1">1 + RAND()</f>
        <v>1.8731581820603047</v>
      </c>
      <c r="P433" s="831">
        <f ca="1">2.98 + (RAND() * (3.03 - 2.98))</f>
        <v>3.0258981182280462</v>
      </c>
      <c r="Q433" s="832" t="str">
        <f ca="1">IF(D433="130 × 130", (130 + RANDBETWEEN(-1,1)) &amp; " × " &amp; (130 + RANDBETWEEN(-1,1)),
   IF(D433="160 × 160", (160 + RANDBETWEEN(-1,1)) &amp; " × " &amp; (160 + RANDBETWEEN(-1,1)),
   IF(D433="110 × 110", (110 + RANDBETWEEN(-1,1)) &amp; " × " &amp; (110 + RANDBETWEEN(-1,1)),
   "Value not matched")))</f>
        <v>Value not matched</v>
      </c>
      <c r="R433" s="833" t="s">
        <v>213</v>
      </c>
      <c r="S433" s="834" t="str">
        <f ca="1">IF(G433&lt;0.6, "IS 14650 CPS 10748/GR2", "IS 14650 CPS 10748/GR3")</f>
        <v>IS 14650 CPS 10748/GR2</v>
      </c>
      <c r="T433" s="831" t="s">
        <v>769</v>
      </c>
      <c r="U433" s="825"/>
      <c r="V433" s="826"/>
      <c r="W433" s="206">
        <f>Prod.!B243</f>
        <v>0</v>
      </c>
      <c r="X433" s="469">
        <f>Prod.!C243</f>
        <v>0</v>
      </c>
      <c r="Y433" s="469">
        <f>Prod.!D243</f>
        <v>0</v>
      </c>
      <c r="Z433" s="469">
        <f>Prod.!E243</f>
        <v>0</v>
      </c>
      <c r="AA433" s="282">
        <f>Prod.!F243</f>
        <v>0</v>
      </c>
      <c r="AB433" s="282">
        <f>Prod.!G243</f>
        <v>0</v>
      </c>
      <c r="AC433" s="836">
        <f>Prod.!H243</f>
        <v>0</v>
      </c>
      <c r="AD433" s="282">
        <f>Prod.!AB243</f>
        <v>0</v>
      </c>
      <c r="AE433" s="282">
        <f>AD433-AF433</f>
        <v>0</v>
      </c>
      <c r="AF433" s="282">
        <f>Prod.!AA243</f>
        <v>0</v>
      </c>
    </row>
    <row r="434" spans="1:32" ht="15" customHeight="1">
      <c r="A434" s="1435">
        <v>7</v>
      </c>
      <c r="B434" s="818">
        <f>W435</f>
        <v>0</v>
      </c>
      <c r="C434" s="819" t="s">
        <v>765</v>
      </c>
      <c r="D434" s="822"/>
      <c r="E434" s="822"/>
      <c r="F434" s="821">
        <f ca="1">F435 + (RAND() * 0.02 - 0.01)</f>
        <v>-3.6190438857600336E-3</v>
      </c>
      <c r="G434" s="821">
        <f ca="1">G435 + (RAND() * 0.06 - 0.03)</f>
        <v>0.55131085133102564</v>
      </c>
      <c r="H434" s="822">
        <f ca="1">H435 + (RAND() * 0.006 - 0.003)</f>
        <v>5.5649081312325339E-4</v>
      </c>
      <c r="I434" s="822">
        <f ca="1">I435 + (RAND() * 0.006 - 0.003)</f>
        <v>1.2849555165784284E-3</v>
      </c>
      <c r="J434" s="821">
        <f ca="1">J435 + (RAND() * 0.02 - 0.01)</f>
        <v>8.2113869094629695E-3</v>
      </c>
      <c r="K434" s="821"/>
      <c r="L434" s="822"/>
      <c r="M434" s="821"/>
      <c r="N434" s="823"/>
      <c r="O434" s="823"/>
      <c r="P434" s="823"/>
      <c r="Q434" s="823"/>
      <c r="R434" s="839"/>
      <c r="S434" s="821"/>
      <c r="T434" s="821"/>
      <c r="U434" s="825"/>
      <c r="V434" s="826"/>
    </row>
    <row r="435" spans="1:32" ht="15" customHeight="1">
      <c r="A435" s="1435"/>
      <c r="B435" s="827">
        <f>B434</f>
        <v>0</v>
      </c>
      <c r="C435" s="828" t="s">
        <v>768</v>
      </c>
      <c r="D435" s="829" t="str">
        <f>IF(AC435=130, "130 × 130", IF(AC435=160, "160 × 160", IF(AC435=110, "110 × 110", "Value not 130, 160, or 110")))</f>
        <v>Value not 130, 160, or 110</v>
      </c>
      <c r="E435" s="830">
        <f>AD435</f>
        <v>0</v>
      </c>
      <c r="F435" s="831">
        <f ca="1">IF(X435 &gt; 0.1, RAND() * (0.1 - 0.06) + 0.06, X435)</f>
        <v>0</v>
      </c>
      <c r="G435" s="831">
        <f ca="1">IF(Y435 &lt; 0.5, 0.5 + RAND() * 0.1, Y435)</f>
        <v>0.58099150392799515</v>
      </c>
      <c r="H435" s="830">
        <f ca="1">IF(AB435&gt;0.04, 0.029 + (0.039-0.029)*RAND(), AB435)</f>
        <v>0</v>
      </c>
      <c r="I435" s="830">
        <f ca="1">IF(AA435&gt;0.04, 0.029 + (0.039-0.029)*RAND(), AA435)</f>
        <v>0</v>
      </c>
      <c r="J435" s="831">
        <f ca="1">IF(Z435&gt;0.15, 0.11 + (0.15-0.11) * RAND(), Z435)</f>
        <v>0</v>
      </c>
      <c r="K435" s="830">
        <f ca="1">0.004 + (RAND() * (0.001 - 0.004))</f>
        <v>3.7248313233238543E-3</v>
      </c>
      <c r="L435" s="830">
        <f ca="1">H435+I435</f>
        <v>0</v>
      </c>
      <c r="M435" s="831">
        <f ca="1">(G435/6)+F435</f>
        <v>9.683191732133252E-2</v>
      </c>
      <c r="N435" s="831">
        <f ca="1">2 + RAND()</f>
        <v>2.3068550332719333</v>
      </c>
      <c r="O435" s="831">
        <f ca="1">1 + RAND()</f>
        <v>1.1947661396577889</v>
      </c>
      <c r="P435" s="831">
        <f ca="1">2.98 + (RAND() * (3.03 - 2.98))</f>
        <v>3.0279729719999251</v>
      </c>
      <c r="Q435" s="832" t="str">
        <f ca="1">IF(D435="130 × 130", (130 + RANDBETWEEN(-1,1)) &amp; " × " &amp; (130 + RANDBETWEEN(-1,1)),
   IF(D435="160 × 160", (160 + RANDBETWEEN(-1,1)) &amp; " × " &amp; (160 + RANDBETWEEN(-1,1)),
   IF(D435="110 × 110", (110 + RANDBETWEEN(-1,1)) &amp; " × " &amp; (110 + RANDBETWEEN(-1,1)),
   "Value not matched")))</f>
        <v>Value not matched</v>
      </c>
      <c r="R435" s="833" t="s">
        <v>213</v>
      </c>
      <c r="S435" s="834" t="str">
        <f ca="1">IF(G435&lt;0.6, "IS 14650 CPS 10748/GR2", "IS 14650 CPS 10748/GR3")</f>
        <v>IS 14650 CPS 10748/GR2</v>
      </c>
      <c r="T435" s="831" t="s">
        <v>769</v>
      </c>
      <c r="U435" s="825"/>
      <c r="V435" s="826"/>
      <c r="W435" s="206">
        <f>Prod.!B244</f>
        <v>0</v>
      </c>
      <c r="X435" s="469">
        <f>Prod.!C244</f>
        <v>0</v>
      </c>
      <c r="Y435" s="469">
        <f>Prod.!D244</f>
        <v>0</v>
      </c>
      <c r="Z435" s="469">
        <f>Prod.!E244</f>
        <v>0</v>
      </c>
      <c r="AA435" s="282">
        <f>Prod.!F244</f>
        <v>0</v>
      </c>
      <c r="AB435" s="282">
        <f>Prod.!G244</f>
        <v>0</v>
      </c>
      <c r="AC435" s="836">
        <f>Prod.!H244</f>
        <v>0</v>
      </c>
      <c r="AD435" s="282">
        <f>Prod.!AB244</f>
        <v>0</v>
      </c>
      <c r="AE435" s="282">
        <f>AD435-AF435</f>
        <v>0</v>
      </c>
      <c r="AF435" s="282">
        <f>Prod.!AA244</f>
        <v>0</v>
      </c>
    </row>
    <row r="436" spans="1:32" ht="15" customHeight="1">
      <c r="A436" s="1435">
        <v>8</v>
      </c>
      <c r="B436" s="818">
        <f>W437</f>
        <v>0</v>
      </c>
      <c r="C436" s="819" t="s">
        <v>765</v>
      </c>
      <c r="D436" s="822"/>
      <c r="E436" s="822"/>
      <c r="F436" s="821">
        <f ca="1">F437 + (RAND() * 0.02 - 0.01)</f>
        <v>-7.3397523589278091E-3</v>
      </c>
      <c r="G436" s="821">
        <f ca="1">G437 + (RAND() * 0.06 - 0.03)</f>
        <v>0.55983514282244506</v>
      </c>
      <c r="H436" s="822">
        <f ca="1">H437 + (RAND() * 0.006 - 0.003)</f>
        <v>-6.996407063060775E-5</v>
      </c>
      <c r="I436" s="822">
        <f ca="1">I437 + (RAND() * 0.006 - 0.003)</f>
        <v>-1.2505826194293141E-3</v>
      </c>
      <c r="J436" s="821">
        <f ca="1">J437 + (RAND() * 0.02 - 0.01)</f>
        <v>5.3089666225493177E-3</v>
      </c>
      <c r="K436" s="821"/>
      <c r="L436" s="822"/>
      <c r="M436" s="821"/>
      <c r="N436" s="823"/>
      <c r="O436" s="823"/>
      <c r="P436" s="823"/>
      <c r="Q436" s="823"/>
      <c r="R436" s="839"/>
      <c r="S436" s="821"/>
      <c r="T436" s="821"/>
      <c r="U436" s="825"/>
      <c r="V436" s="826"/>
    </row>
    <row r="437" spans="1:32" ht="15" customHeight="1">
      <c r="A437" s="1435"/>
      <c r="B437" s="827">
        <f>B436</f>
        <v>0</v>
      </c>
      <c r="C437" s="828" t="s">
        <v>768</v>
      </c>
      <c r="D437" s="829" t="str">
        <f>IF(AC437=130, "130 × 130", IF(AC437=160, "160 × 160", IF(AC437=110, "110 × 110", "Value not 130, 160, or 110")))</f>
        <v>Value not 130, 160, or 110</v>
      </c>
      <c r="E437" s="830">
        <f>AD437</f>
        <v>0</v>
      </c>
      <c r="F437" s="831">
        <f ca="1">IF(X437 &gt; 0.1, RAND() * (0.1 - 0.06) + 0.06, X437)</f>
        <v>0</v>
      </c>
      <c r="G437" s="831">
        <f ca="1">IF(Y437 &lt; 0.5, 0.5 + RAND() * 0.1, Y437)</f>
        <v>0.55101341482303678</v>
      </c>
      <c r="H437" s="830">
        <f ca="1">IF(AB437&gt;0.04, 0.029 + (0.039-0.029)*RAND(), AB437)</f>
        <v>0</v>
      </c>
      <c r="I437" s="830">
        <f ca="1">IF(AA437&gt;0.04, 0.029 + (0.039-0.029)*RAND(), AA437)</f>
        <v>0</v>
      </c>
      <c r="J437" s="831">
        <f ca="1">IF(Z437&gt;0.15, 0.11 + (0.15-0.11) * RAND(), Z437)</f>
        <v>0</v>
      </c>
      <c r="K437" s="830">
        <f ca="1">0.004 + (RAND() * (0.001 - 0.004))</f>
        <v>3.9589612824003223E-3</v>
      </c>
      <c r="L437" s="830">
        <f ca="1">H437+I437</f>
        <v>0</v>
      </c>
      <c r="M437" s="831">
        <f ca="1">(G437/6)+F437</f>
        <v>9.1835569137172793E-2</v>
      </c>
      <c r="N437" s="831">
        <f ca="1">2 + RAND()</f>
        <v>2.8997051860079157</v>
      </c>
      <c r="O437" s="831">
        <f ca="1">1 + RAND()</f>
        <v>1.1004447840390363</v>
      </c>
      <c r="P437" s="831">
        <f ca="1">2.98 + (RAND() * (3.03 - 2.98))</f>
        <v>3.0023574969394717</v>
      </c>
      <c r="Q437" s="832" t="str">
        <f ca="1">IF(D437="130 × 130", (130 + RANDBETWEEN(-1,1)) &amp; " × " &amp; (130 + RANDBETWEEN(-1,1)),
   IF(D437="160 × 160", (160 + RANDBETWEEN(-1,1)) &amp; " × " &amp; (160 + RANDBETWEEN(-1,1)),
   IF(D437="110 × 110", (110 + RANDBETWEEN(-1,1)) &amp; " × " &amp; (110 + RANDBETWEEN(-1,1)),
   "Value not matched")))</f>
        <v>Value not matched</v>
      </c>
      <c r="R437" s="833" t="s">
        <v>213</v>
      </c>
      <c r="S437" s="834" t="str">
        <f ca="1">IF(G437&lt;0.6, "IS 14650 CPS 10748/GR2", "IS 14650 CPS 10748/GR3")</f>
        <v>IS 14650 CPS 10748/GR2</v>
      </c>
      <c r="T437" s="831" t="s">
        <v>769</v>
      </c>
      <c r="U437" s="825"/>
      <c r="V437" s="826"/>
      <c r="W437" s="206">
        <f>Prod.!B245</f>
        <v>0</v>
      </c>
      <c r="X437" s="469">
        <f>Prod.!C245</f>
        <v>0</v>
      </c>
      <c r="Y437" s="469">
        <f>Prod.!D245</f>
        <v>0</v>
      </c>
      <c r="Z437" s="469">
        <f>Prod.!E245</f>
        <v>0</v>
      </c>
      <c r="AA437" s="282">
        <f>Prod.!F245</f>
        <v>0</v>
      </c>
      <c r="AB437" s="282">
        <f>Prod.!G245</f>
        <v>0</v>
      </c>
      <c r="AC437" s="836">
        <f>Prod.!H245</f>
        <v>0</v>
      </c>
      <c r="AD437" s="282">
        <f>Prod.!AB245</f>
        <v>0</v>
      </c>
      <c r="AE437" s="282">
        <f>AD437-AF437</f>
        <v>0</v>
      </c>
      <c r="AF437" s="282">
        <f>Prod.!AA245</f>
        <v>0</v>
      </c>
    </row>
    <row r="438" spans="1:32" ht="15" customHeight="1">
      <c r="A438" s="1435">
        <v>9</v>
      </c>
      <c r="B438" s="818">
        <f>W439</f>
        <v>0</v>
      </c>
      <c r="C438" s="819" t="s">
        <v>765</v>
      </c>
      <c r="D438" s="822"/>
      <c r="E438" s="822"/>
      <c r="F438" s="821">
        <f ca="1">F439 + (RAND() * 0.02 - 0.01)</f>
        <v>9.1091643735346627E-3</v>
      </c>
      <c r="G438" s="821">
        <f ca="1">G439 + (RAND() * 0.06 - 0.03)</f>
        <v>0.55786192989907279</v>
      </c>
      <c r="H438" s="822">
        <f ca="1">H439 + (RAND() * 0.006 - 0.003)</f>
        <v>-2.629755447045596E-4</v>
      </c>
      <c r="I438" s="822">
        <f ca="1">I439 + (RAND() * 0.006 - 0.003)</f>
        <v>1.5715187435607235E-3</v>
      </c>
      <c r="J438" s="821">
        <f ca="1">J439 + (RAND() * 0.02 - 0.01)</f>
        <v>4.4531705438784173E-3</v>
      </c>
      <c r="K438" s="821"/>
      <c r="L438" s="822"/>
      <c r="M438" s="821"/>
      <c r="N438" s="823"/>
      <c r="O438" s="823"/>
      <c r="P438" s="823"/>
      <c r="Q438" s="823"/>
      <c r="R438" s="839"/>
      <c r="S438" s="821"/>
      <c r="T438" s="821"/>
      <c r="U438" s="825"/>
      <c r="V438" s="826"/>
    </row>
    <row r="439" spans="1:32" ht="15" customHeight="1">
      <c r="A439" s="1435"/>
      <c r="B439" s="827">
        <f>B438</f>
        <v>0</v>
      </c>
      <c r="C439" s="828" t="s">
        <v>768</v>
      </c>
      <c r="D439" s="829" t="str">
        <f>IF(AC439=130, "130 × 130", IF(AC439=160, "160 × 160", IF(AC439=110, "110 × 110", "Value not 130, 160, or 110")))</f>
        <v>Value not 130, 160, or 110</v>
      </c>
      <c r="E439" s="830">
        <f>AD439</f>
        <v>0</v>
      </c>
      <c r="F439" s="831">
        <f ca="1">IF(X439 &gt; 0.1, RAND() * (0.1 - 0.06) + 0.06, X439)</f>
        <v>0</v>
      </c>
      <c r="G439" s="831">
        <f ca="1">IF(Y439 &lt; 0.5, 0.5 + RAND() * 0.1, Y439)</f>
        <v>0.56355500997953489</v>
      </c>
      <c r="H439" s="830">
        <f ca="1">IF(AB439&gt;0.04, 0.029 + (0.039-0.029)*RAND(), AB439)</f>
        <v>0</v>
      </c>
      <c r="I439" s="830">
        <f ca="1">IF(AA439&gt;0.04, 0.029 + (0.039-0.029)*RAND(), AA439)</f>
        <v>0</v>
      </c>
      <c r="J439" s="831">
        <f ca="1">IF(Z439&gt;0.15, 0.11 + (0.15-0.11) * RAND(), Z439)</f>
        <v>0</v>
      </c>
      <c r="K439" s="830">
        <f ca="1">0.004 + (RAND() * (0.001 - 0.004))</f>
        <v>1.9834343448901768E-3</v>
      </c>
      <c r="L439" s="830">
        <f ca="1">H439+I439</f>
        <v>0</v>
      </c>
      <c r="M439" s="831">
        <f ca="1">(G439/6)+F439</f>
        <v>9.3925834996589144E-2</v>
      </c>
      <c r="N439" s="831">
        <f ca="1">2 + RAND()</f>
        <v>2.1994853361113171</v>
      </c>
      <c r="O439" s="831">
        <f ca="1">1 + RAND()</f>
        <v>1.718112106834474</v>
      </c>
      <c r="P439" s="831">
        <f ca="1">2.98 + (RAND() * (3.03 - 2.98))</f>
        <v>3.0175312650834805</v>
      </c>
      <c r="Q439" s="832" t="str">
        <f ca="1">IF(D439="130 × 130", (130 + RANDBETWEEN(-1,1)) &amp; " × " &amp; (130 + RANDBETWEEN(-1,1)),
   IF(D439="160 × 160", (160 + RANDBETWEEN(-1,1)) &amp; " × " &amp; (160 + RANDBETWEEN(-1,1)),
   IF(D439="110 × 110", (110 + RANDBETWEEN(-1,1)) &amp; " × " &amp; (110 + RANDBETWEEN(-1,1)),
   "Value not matched")))</f>
        <v>Value not matched</v>
      </c>
      <c r="R439" s="833" t="s">
        <v>213</v>
      </c>
      <c r="S439" s="834" t="str">
        <f ca="1">IF(G439&lt;0.6, "IS 14650 CPS 10748/GR2", "IS 14650 CPS 10748/GR3")</f>
        <v>IS 14650 CPS 10748/GR2</v>
      </c>
      <c r="T439" s="831" t="s">
        <v>769</v>
      </c>
      <c r="U439" s="825"/>
      <c r="V439" s="826"/>
      <c r="W439" s="206">
        <f>Prod.!B246</f>
        <v>0</v>
      </c>
      <c r="X439" s="469">
        <f>Prod.!C246</f>
        <v>0</v>
      </c>
      <c r="Y439" s="469">
        <f>Prod.!D246</f>
        <v>0</v>
      </c>
      <c r="Z439" s="469">
        <f>Prod.!E246</f>
        <v>0</v>
      </c>
      <c r="AA439" s="282">
        <f>Prod.!F246</f>
        <v>0</v>
      </c>
      <c r="AB439" s="282">
        <f>Prod.!G246</f>
        <v>0</v>
      </c>
      <c r="AC439" s="836">
        <f>Prod.!H246</f>
        <v>0</v>
      </c>
      <c r="AD439" s="282">
        <f>Prod.!AB246</f>
        <v>0</v>
      </c>
      <c r="AE439" s="282">
        <f>AD439-AF439</f>
        <v>0</v>
      </c>
      <c r="AF439" s="282">
        <f>Prod.!AA246</f>
        <v>0</v>
      </c>
    </row>
    <row r="440" spans="1:32" ht="15" customHeight="1">
      <c r="A440" s="1435">
        <v>10</v>
      </c>
      <c r="B440" s="818">
        <f>W441</f>
        <v>0</v>
      </c>
      <c r="C440" s="819" t="s">
        <v>765</v>
      </c>
      <c r="D440" s="822"/>
      <c r="E440" s="822"/>
      <c r="F440" s="821">
        <f ca="1">F441 + (RAND() * 0.02 - 0.01)</f>
        <v>-3.8868774450178693E-3</v>
      </c>
      <c r="G440" s="821">
        <f ca="1">G441 + (RAND() * 0.06 - 0.03)</f>
        <v>0.51219536348109496</v>
      </c>
      <c r="H440" s="822">
        <f ca="1">H441 + (RAND() * 0.006 - 0.003)</f>
        <v>2.3452375030293786E-3</v>
      </c>
      <c r="I440" s="822">
        <f ca="1">I441 + (RAND() * 0.006 - 0.003)</f>
        <v>-1.4884079359692884E-3</v>
      </c>
      <c r="J440" s="821">
        <f ca="1">J441 + (RAND() * 0.02 - 0.01)</f>
        <v>-8.2482558037596989E-3</v>
      </c>
      <c r="K440" s="821"/>
      <c r="L440" s="822"/>
      <c r="M440" s="821"/>
      <c r="N440" s="823"/>
      <c r="O440" s="823"/>
      <c r="P440" s="823"/>
      <c r="Q440" s="823"/>
      <c r="R440" s="839"/>
      <c r="S440" s="821"/>
      <c r="T440" s="821"/>
      <c r="U440" s="825"/>
      <c r="V440" s="826"/>
    </row>
    <row r="441" spans="1:32" ht="15" customHeight="1">
      <c r="A441" s="1435"/>
      <c r="B441" s="827">
        <f>B440</f>
        <v>0</v>
      </c>
      <c r="C441" s="828" t="s">
        <v>768</v>
      </c>
      <c r="D441" s="829" t="str">
        <f>IF(AC441=130, "130 × 130", IF(AC441=160, "160 × 160", IF(AC441=110, "110 × 110", "Value not 130, 160, or 110")))</f>
        <v>Value not 130, 160, or 110</v>
      </c>
      <c r="E441" s="830">
        <f>AD441</f>
        <v>0</v>
      </c>
      <c r="F441" s="831">
        <f ca="1">IF(X441 &gt; 0.1, RAND() * (0.1 - 0.06) + 0.06, X441)</f>
        <v>0</v>
      </c>
      <c r="G441" s="831">
        <f ca="1">IF(Y441 &lt; 0.5, 0.5 + RAND() * 0.1, Y441)</f>
        <v>0.53486143321880841</v>
      </c>
      <c r="H441" s="830">
        <f ca="1">IF(AB441&gt;0.04, 0.029 + (0.039-0.029)*RAND(), AB441)</f>
        <v>0</v>
      </c>
      <c r="I441" s="830">
        <f ca="1">IF(AA441&gt;0.04, 0.029 + (0.039-0.029)*RAND(), AA441)</f>
        <v>0</v>
      </c>
      <c r="J441" s="831">
        <f ca="1">IF(Z441&gt;0.15, 0.11 + (0.15-0.11) * RAND(), Z441)</f>
        <v>0</v>
      </c>
      <c r="K441" s="830">
        <f ca="1">0.004 + (RAND() * (0.001 - 0.004))</f>
        <v>2.521604399284953E-3</v>
      </c>
      <c r="L441" s="830">
        <f ca="1">H441+I441</f>
        <v>0</v>
      </c>
      <c r="M441" s="831">
        <f ca="1">(G441/6)+F441</f>
        <v>8.9143572203134736E-2</v>
      </c>
      <c r="N441" s="831">
        <f ca="1">2 + RAND()</f>
        <v>2.933167451344489</v>
      </c>
      <c r="O441" s="831">
        <f ca="1">1 + RAND()</f>
        <v>1.1210543869584324</v>
      </c>
      <c r="P441" s="831">
        <f ca="1">2.98 + (RAND() * (3.03 - 2.98))</f>
        <v>3.0016563014601059</v>
      </c>
      <c r="Q441" s="832" t="str">
        <f ca="1">IF(D441="130 × 130", (130 + RANDBETWEEN(-1,1)) &amp; " × " &amp; (130 + RANDBETWEEN(-1,1)),
   IF(D441="160 × 160", (160 + RANDBETWEEN(-1,1)) &amp; " × " &amp; (160 + RANDBETWEEN(-1,1)),
   IF(D441="110 × 110", (110 + RANDBETWEEN(-1,1)) &amp; " × " &amp; (110 + RANDBETWEEN(-1,1)),
   "Value not matched")))</f>
        <v>Value not matched</v>
      </c>
      <c r="R441" s="833" t="s">
        <v>213</v>
      </c>
      <c r="S441" s="834" t="str">
        <f ca="1">IF(G441&lt;0.6, "IS 14650 CPS 10748/GR2", "IS 14650 CPS 10748/GR3")</f>
        <v>IS 14650 CPS 10748/GR2</v>
      </c>
      <c r="T441" s="831" t="s">
        <v>769</v>
      </c>
      <c r="U441" s="825"/>
      <c r="V441" s="826"/>
      <c r="W441" s="206">
        <f>Prod.!B247</f>
        <v>0</v>
      </c>
      <c r="X441" s="469">
        <f>Prod.!C247</f>
        <v>0</v>
      </c>
      <c r="Y441" s="469">
        <f>Prod.!D247</f>
        <v>0</v>
      </c>
      <c r="Z441" s="469">
        <f>Prod.!E247</f>
        <v>0</v>
      </c>
      <c r="AA441" s="282">
        <f>Prod.!F247</f>
        <v>0</v>
      </c>
      <c r="AB441" s="282">
        <f>Prod.!G247</f>
        <v>0</v>
      </c>
      <c r="AC441" s="836">
        <f>Prod.!H247</f>
        <v>0</v>
      </c>
      <c r="AD441" s="282">
        <f>Prod.!AB247</f>
        <v>0</v>
      </c>
      <c r="AE441" s="282">
        <f>AD441-AF441</f>
        <v>0</v>
      </c>
      <c r="AF441" s="282">
        <f>Prod.!AA247</f>
        <v>0</v>
      </c>
    </row>
    <row r="442" spans="1:32" ht="15" customHeight="1">
      <c r="A442" s="1435">
        <v>11</v>
      </c>
      <c r="B442" s="818">
        <f>W443</f>
        <v>0</v>
      </c>
      <c r="C442" s="819" t="s">
        <v>765</v>
      </c>
      <c r="D442" s="822"/>
      <c r="E442" s="822"/>
      <c r="F442" s="821">
        <f ca="1">F443 + (RAND() * 0.02 - 0.01)</f>
        <v>-2.2898342993575051E-3</v>
      </c>
      <c r="G442" s="821">
        <f ca="1">G443 + (RAND() * 0.06 - 0.03)</f>
        <v>0.54210075208696795</v>
      </c>
      <c r="H442" s="822">
        <f ca="1">H443 + (RAND() * 0.006 - 0.003)</f>
        <v>-6.2387780389229746E-4</v>
      </c>
      <c r="I442" s="822">
        <f ca="1">I443 + (RAND() * 0.006 - 0.003)</f>
        <v>3.1689842988264372E-5</v>
      </c>
      <c r="J442" s="821">
        <f ca="1">J443 + (RAND() * 0.02 - 0.01)</f>
        <v>-5.0693630181954212E-3</v>
      </c>
      <c r="K442" s="821"/>
      <c r="L442" s="822"/>
      <c r="M442" s="821"/>
      <c r="N442" s="823"/>
      <c r="O442" s="823"/>
      <c r="P442" s="823"/>
      <c r="Q442" s="823"/>
      <c r="R442" s="839"/>
      <c r="S442" s="821"/>
      <c r="T442" s="821"/>
      <c r="U442" s="825"/>
      <c r="V442" s="826"/>
    </row>
    <row r="443" spans="1:32" ht="15" customHeight="1">
      <c r="A443" s="1435"/>
      <c r="B443" s="827">
        <f>B442</f>
        <v>0</v>
      </c>
      <c r="C443" s="828" t="s">
        <v>768</v>
      </c>
      <c r="D443" s="829" t="str">
        <f>IF(AC443=130, "130 × 130", IF(AC443=160, "160 × 160", IF(AC443=110, "110 × 110", "Value not 130, 160, or 110")))</f>
        <v>Value not 130, 160, or 110</v>
      </c>
      <c r="E443" s="830">
        <f>AD443</f>
        <v>0</v>
      </c>
      <c r="F443" s="831">
        <f ca="1">IF(X443 &gt; 0.1, RAND() * (0.1 - 0.06) + 0.06, X443)</f>
        <v>0</v>
      </c>
      <c r="G443" s="831">
        <f ca="1">IF(Y443 &lt; 0.5, 0.5 + RAND() * 0.1, Y443)</f>
        <v>0.54285109855147728</v>
      </c>
      <c r="H443" s="830">
        <f ca="1">IF(AB443&gt;0.04, 0.029 + (0.039-0.029)*RAND(), AB443)</f>
        <v>0</v>
      </c>
      <c r="I443" s="830">
        <f ca="1">IF(AA443&gt;0.04, 0.029 + (0.039-0.029)*RAND(), AA443)</f>
        <v>0</v>
      </c>
      <c r="J443" s="831">
        <f ca="1">IF(Z443&gt;0.15, 0.11 + (0.15-0.11) * RAND(), Z443)</f>
        <v>0</v>
      </c>
      <c r="K443" s="830">
        <f ca="1">0.004 + (RAND() * (0.001 - 0.004))</f>
        <v>1.926282887093391E-3</v>
      </c>
      <c r="L443" s="830">
        <f ca="1">H443+I443</f>
        <v>0</v>
      </c>
      <c r="M443" s="831">
        <f ca="1">(G443/6)+F443</f>
        <v>9.0475183091912881E-2</v>
      </c>
      <c r="N443" s="831">
        <f ca="1">2 + RAND()</f>
        <v>2.6178955908825285</v>
      </c>
      <c r="O443" s="831">
        <f ca="1">1 + RAND()</f>
        <v>1.284736244591274</v>
      </c>
      <c r="P443" s="831">
        <f ca="1">2.98 + (RAND() * (3.03 - 2.98))</f>
        <v>2.999791812062365</v>
      </c>
      <c r="Q443" s="832" t="str">
        <f ca="1">IF(D443="130 × 130", (130 + RANDBETWEEN(-1,1)) &amp; " × " &amp; (130 + RANDBETWEEN(-1,1)),
   IF(D443="160 × 160", (160 + RANDBETWEEN(-1,1)) &amp; " × " &amp; (160 + RANDBETWEEN(-1,1)),
   IF(D443="110 × 110", (110 + RANDBETWEEN(-1,1)) &amp; " × " &amp; (110 + RANDBETWEEN(-1,1)),
   "Value not matched")))</f>
        <v>Value not matched</v>
      </c>
      <c r="R443" s="833" t="s">
        <v>213</v>
      </c>
      <c r="S443" s="834" t="str">
        <f ca="1">IF(G443&lt;0.6, "IS 14650 CPS 10748/GR2", "IS 14650 CPS 10748/GR3")</f>
        <v>IS 14650 CPS 10748/GR2</v>
      </c>
      <c r="T443" s="831" t="s">
        <v>769</v>
      </c>
      <c r="U443" s="825"/>
      <c r="V443" s="826"/>
      <c r="W443" s="206">
        <f>Prod.!B248</f>
        <v>0</v>
      </c>
      <c r="X443" s="469">
        <f>Prod.!C248</f>
        <v>0</v>
      </c>
      <c r="Y443" s="469">
        <f>Prod.!D248</f>
        <v>0</v>
      </c>
      <c r="Z443" s="469">
        <f>Prod.!E248</f>
        <v>0</v>
      </c>
      <c r="AA443" s="282">
        <f>Prod.!F248</f>
        <v>0</v>
      </c>
      <c r="AB443" s="282">
        <f>Prod.!G248</f>
        <v>0</v>
      </c>
      <c r="AC443" s="836">
        <f>Prod.!H248</f>
        <v>0</v>
      </c>
      <c r="AD443" s="282">
        <f>Prod.!AB248</f>
        <v>0</v>
      </c>
      <c r="AE443" s="282">
        <f>AD443-AF443</f>
        <v>0</v>
      </c>
      <c r="AF443" s="282">
        <f>Prod.!AA248</f>
        <v>0</v>
      </c>
    </row>
    <row r="444" spans="1:32" ht="15" customHeight="1">
      <c r="A444" s="1435">
        <v>12</v>
      </c>
      <c r="B444" s="818">
        <f>W445</f>
        <v>0</v>
      </c>
      <c r="C444" s="819" t="s">
        <v>765</v>
      </c>
      <c r="D444" s="822"/>
      <c r="E444" s="822"/>
      <c r="F444" s="821">
        <f ca="1">F445 + (RAND() * 0.02 - 0.01)</f>
        <v>-8.3111654472644188E-3</v>
      </c>
      <c r="G444" s="821">
        <f ca="1">G445 + (RAND() * 0.06 - 0.03)</f>
        <v>0.54118969147940033</v>
      </c>
      <c r="H444" s="822">
        <f ca="1">H445 + (RAND() * 0.006 - 0.003)</f>
        <v>2.1022066961827015E-3</v>
      </c>
      <c r="I444" s="822">
        <f ca="1">I445 + (RAND() * 0.006 - 0.003)</f>
        <v>-1.3049310707386034E-3</v>
      </c>
      <c r="J444" s="821">
        <f ca="1">J445 + (RAND() * 0.02 - 0.01)</f>
        <v>6.168780605481065E-3</v>
      </c>
      <c r="K444" s="821"/>
      <c r="L444" s="822"/>
      <c r="M444" s="821"/>
      <c r="N444" s="823"/>
      <c r="O444" s="823"/>
      <c r="P444" s="823"/>
      <c r="Q444" s="823"/>
      <c r="R444" s="839"/>
      <c r="S444" s="821"/>
      <c r="T444" s="821"/>
      <c r="U444" s="825"/>
      <c r="V444" s="826"/>
    </row>
    <row r="445" spans="1:32" ht="15" customHeight="1">
      <c r="A445" s="1435"/>
      <c r="B445" s="827">
        <f>B444</f>
        <v>0</v>
      </c>
      <c r="C445" s="828" t="s">
        <v>768</v>
      </c>
      <c r="D445" s="829" t="str">
        <f>IF(AC445=130, "130 × 130", IF(AC445=160, "160 × 160", IF(AC445=110, "110 × 110", "Value not 130, 160, or 110")))</f>
        <v>Value not 130, 160, or 110</v>
      </c>
      <c r="E445" s="830">
        <f>AD445</f>
        <v>0</v>
      </c>
      <c r="F445" s="831">
        <f ca="1">IF(X445 &gt; 0.1, RAND() * (0.1 - 0.06) + 0.06, X445)</f>
        <v>0</v>
      </c>
      <c r="G445" s="831">
        <f ca="1">IF(Y445 &lt; 0.5, 0.5 + RAND() * 0.1, Y445)</f>
        <v>0.54677009887625128</v>
      </c>
      <c r="H445" s="830">
        <f ca="1">IF(AB445&gt;0.04, 0.029 + (0.039-0.029)*RAND(), AB445)</f>
        <v>0</v>
      </c>
      <c r="I445" s="830">
        <f ca="1">IF(AA445&gt;0.04, 0.029 + (0.039-0.029)*RAND(), AA445)</f>
        <v>0</v>
      </c>
      <c r="J445" s="831">
        <f ca="1">IF(Z445&gt;0.15, 0.11 + (0.15-0.11) * RAND(), Z445)</f>
        <v>0</v>
      </c>
      <c r="K445" s="830">
        <f ca="1">0.004 + (RAND() * (0.001 - 0.004))</f>
        <v>1.7957172244617045E-3</v>
      </c>
      <c r="L445" s="830">
        <f ca="1">H445+I445</f>
        <v>0</v>
      </c>
      <c r="M445" s="831">
        <f ca="1">(G445/6)+F445</f>
        <v>9.1128349812708551E-2</v>
      </c>
      <c r="N445" s="831">
        <f ca="1">2 + RAND()</f>
        <v>2.0644696388696859</v>
      </c>
      <c r="O445" s="831">
        <f ca="1">1 + RAND()</f>
        <v>1.53950665674998</v>
      </c>
      <c r="P445" s="831">
        <f ca="1">2.98 + (RAND() * (3.03 - 2.98))</f>
        <v>2.9889717173319101</v>
      </c>
      <c r="Q445" s="832" t="str">
        <f ca="1">IF(D445="130 × 130", (130 + RANDBETWEEN(-1,1)) &amp; " × " &amp; (130 + RANDBETWEEN(-1,1)),
   IF(D445="160 × 160", (160 + RANDBETWEEN(-1,1)) &amp; " × " &amp; (160 + RANDBETWEEN(-1,1)),
   IF(D445="110 × 110", (110 + RANDBETWEEN(-1,1)) &amp; " × " &amp; (110 + RANDBETWEEN(-1,1)),
   "Value not matched")))</f>
        <v>Value not matched</v>
      </c>
      <c r="R445" s="833" t="s">
        <v>213</v>
      </c>
      <c r="S445" s="834" t="str">
        <f ca="1">IF(G445&lt;0.6, "IS 14650 CPS 10748/GR2", "IS 14650 CPS 10748/GR3")</f>
        <v>IS 14650 CPS 10748/GR2</v>
      </c>
      <c r="T445" s="831" t="s">
        <v>769</v>
      </c>
      <c r="U445" s="825"/>
      <c r="V445" s="826"/>
      <c r="W445" s="206">
        <f>Prod.!B249</f>
        <v>0</v>
      </c>
      <c r="X445" s="469">
        <f>Prod.!C249</f>
        <v>0</v>
      </c>
      <c r="Y445" s="469">
        <f>Prod.!D249</f>
        <v>0</v>
      </c>
      <c r="Z445" s="469">
        <f>Prod.!E249</f>
        <v>0</v>
      </c>
      <c r="AA445" s="282">
        <f>Prod.!F249</f>
        <v>0</v>
      </c>
      <c r="AB445" s="282">
        <f>Prod.!G249</f>
        <v>0</v>
      </c>
      <c r="AC445" s="836">
        <f>Prod.!H249</f>
        <v>0</v>
      </c>
      <c r="AD445" s="282">
        <f>Prod.!AB249</f>
        <v>0</v>
      </c>
      <c r="AE445" s="282">
        <f>AD445-AF445</f>
        <v>0</v>
      </c>
      <c r="AF445" s="282">
        <f>Prod.!AA249</f>
        <v>0</v>
      </c>
    </row>
    <row r="446" spans="1:32" ht="15" customHeight="1">
      <c r="A446" s="1435"/>
      <c r="B446" s="818"/>
      <c r="C446" s="819"/>
      <c r="D446" s="822"/>
      <c r="E446" s="822"/>
      <c r="F446" s="821"/>
      <c r="G446" s="821"/>
      <c r="H446" s="840"/>
      <c r="I446" s="840"/>
      <c r="J446" s="821"/>
      <c r="K446" s="821"/>
      <c r="L446" s="822"/>
      <c r="M446" s="838"/>
      <c r="N446" s="821"/>
      <c r="O446" s="821"/>
      <c r="P446" s="821"/>
      <c r="Q446" s="821"/>
      <c r="R446" s="839"/>
      <c r="S446" s="841"/>
      <c r="T446" s="821"/>
      <c r="U446" s="825"/>
      <c r="V446" s="826"/>
    </row>
    <row r="447" spans="1:32" ht="15" customHeight="1">
      <c r="A447" s="1435"/>
      <c r="B447" s="827"/>
      <c r="C447" s="828"/>
      <c r="D447" s="842"/>
      <c r="E447" s="830"/>
      <c r="F447" s="831"/>
      <c r="G447" s="831"/>
      <c r="H447" s="843"/>
      <c r="I447" s="843"/>
      <c r="J447" s="831"/>
      <c r="K447" s="831"/>
      <c r="L447" s="830"/>
      <c r="M447" s="831"/>
      <c r="N447" s="831"/>
      <c r="O447" s="831"/>
      <c r="P447" s="831"/>
      <c r="Q447" s="831"/>
      <c r="R447" s="833"/>
      <c r="S447" s="834"/>
      <c r="T447" s="831"/>
      <c r="U447" s="825"/>
      <c r="V447" s="826"/>
    </row>
    <row r="448" spans="1:32" ht="15" customHeight="1">
      <c r="A448" s="180"/>
      <c r="B448" s="180"/>
      <c r="C448" s="180" t="s">
        <v>770</v>
      </c>
      <c r="D448" s="395"/>
      <c r="E448" s="844">
        <f>SUM(E422:E445)</f>
        <v>0</v>
      </c>
      <c r="F448" s="180"/>
      <c r="G448" s="180"/>
      <c r="H448" s="844"/>
      <c r="I448" s="180"/>
      <c r="J448" s="845"/>
      <c r="K448" s="845"/>
      <c r="L448" s="180"/>
      <c r="M448" s="845"/>
      <c r="N448" s="180"/>
      <c r="O448" s="180"/>
      <c r="P448" s="180"/>
      <c r="Q448" s="180"/>
      <c r="R448" s="263"/>
      <c r="S448" s="180"/>
      <c r="T448" s="180"/>
    </row>
    <row r="449" spans="1:32" ht="28.5" customHeight="1">
      <c r="A449" s="1436" t="s">
        <v>746</v>
      </c>
      <c r="B449" s="1436"/>
      <c r="C449" s="1436"/>
      <c r="D449" s="1436"/>
      <c r="E449" s="1436"/>
      <c r="F449" s="1436"/>
      <c r="G449" s="1436"/>
      <c r="H449" s="1436"/>
      <c r="I449" s="1436"/>
      <c r="J449" s="1436"/>
      <c r="K449" s="1436"/>
      <c r="L449" s="1436"/>
      <c r="M449" s="1436"/>
      <c r="N449" s="1436"/>
      <c r="O449" s="1436"/>
      <c r="P449" s="1436"/>
      <c r="Q449" s="1436"/>
      <c r="R449" s="1436"/>
      <c r="S449" s="1436"/>
      <c r="T449" s="1436"/>
      <c r="U449" s="515"/>
      <c r="V449" s="846"/>
    </row>
    <row r="450" spans="1:32" ht="15" customHeight="1">
      <c r="A450" s="1437" t="s">
        <v>747</v>
      </c>
      <c r="B450" s="1437"/>
      <c r="C450" s="1437"/>
      <c r="D450" s="1437"/>
      <c r="E450" s="1437"/>
      <c r="F450" s="1437"/>
      <c r="G450" s="1437"/>
      <c r="H450" s="1437"/>
      <c r="I450" s="1437"/>
      <c r="J450" s="1437"/>
      <c r="K450" s="1437"/>
      <c r="L450" s="1437"/>
      <c r="M450" s="1437"/>
      <c r="N450" s="1437"/>
      <c r="O450" s="1437"/>
      <c r="P450" s="1437"/>
      <c r="Q450" s="1437"/>
      <c r="R450" s="1437"/>
      <c r="S450" s="1437"/>
      <c r="T450" s="1437"/>
      <c r="U450" s="806"/>
      <c r="V450" s="807"/>
    </row>
    <row r="451" spans="1:32" ht="15" customHeight="1">
      <c r="A451" s="1438" t="str">
        <f>"DATE OF MANUFACTURING : " &amp; TEXT(V455, "DD-MM-YYYY")</f>
        <v>DATE OF MANUFACTURING : 00-01-1900</v>
      </c>
      <c r="B451" s="1438"/>
      <c r="C451" s="1438"/>
      <c r="D451" s="1438"/>
      <c r="E451" s="1438"/>
      <c r="F451" s="1438"/>
      <c r="G451" s="1438"/>
      <c r="H451" s="1438"/>
      <c r="I451" s="1438"/>
      <c r="J451" s="1438"/>
      <c r="K451" s="1438"/>
      <c r="L451" s="1438"/>
      <c r="M451" s="1438"/>
      <c r="N451" s="1437" t="s">
        <v>748</v>
      </c>
      <c r="O451" s="1437"/>
      <c r="P451" s="1437"/>
      <c r="Q451" s="1437"/>
      <c r="R451" s="1437"/>
      <c r="S451" s="1437"/>
      <c r="T451" s="1437"/>
      <c r="U451" s="808"/>
      <c r="V451" s="809"/>
    </row>
    <row r="452" spans="1:32" ht="29.25" customHeight="1">
      <c r="A452" s="1439" t="s">
        <v>749</v>
      </c>
      <c r="B452" s="1440" t="s">
        <v>750</v>
      </c>
      <c r="C452" s="1440"/>
      <c r="D452" s="1440" t="s">
        <v>751</v>
      </c>
      <c r="E452" s="1441" t="s">
        <v>752</v>
      </c>
      <c r="F452" s="1442" t="s">
        <v>753</v>
      </c>
      <c r="G452" s="1442"/>
      <c r="H452" s="1442"/>
      <c r="I452" s="1442"/>
      <c r="J452" s="1442"/>
      <c r="K452" s="1442"/>
      <c r="L452" s="1442"/>
      <c r="M452" s="1442"/>
      <c r="N452" s="1442" t="s">
        <v>754</v>
      </c>
      <c r="O452" s="1442"/>
      <c r="P452" s="1442"/>
      <c r="Q452" s="1442"/>
      <c r="R452" s="1443" t="s">
        <v>771</v>
      </c>
      <c r="S452" s="1441" t="s">
        <v>756</v>
      </c>
      <c r="T452" s="1440" t="s">
        <v>104</v>
      </c>
      <c r="U452" s="810"/>
      <c r="V452" s="811"/>
    </row>
    <row r="453" spans="1:32" ht="42.75" customHeight="1">
      <c r="A453" s="1439"/>
      <c r="B453" s="1440"/>
      <c r="C453" s="1440"/>
      <c r="D453" s="1440"/>
      <c r="E453" s="1440"/>
      <c r="F453" s="812" t="s">
        <v>40</v>
      </c>
      <c r="G453" s="812" t="s">
        <v>757</v>
      </c>
      <c r="H453" s="813" t="s">
        <v>758</v>
      </c>
      <c r="I453" s="812" t="s">
        <v>43</v>
      </c>
      <c r="J453" s="812" t="s">
        <v>42</v>
      </c>
      <c r="K453" s="812" t="s">
        <v>759</v>
      </c>
      <c r="L453" s="812" t="s">
        <v>760</v>
      </c>
      <c r="M453" s="812" t="s">
        <v>761</v>
      </c>
      <c r="N453" s="814" t="s">
        <v>762</v>
      </c>
      <c r="O453" s="815" t="s">
        <v>772</v>
      </c>
      <c r="P453" s="816" t="s">
        <v>773</v>
      </c>
      <c r="Q453" s="817" t="s">
        <v>764</v>
      </c>
      <c r="R453" s="1443"/>
      <c r="S453" s="1443"/>
      <c r="T453" s="1443"/>
      <c r="U453" s="810"/>
      <c r="V453" s="811"/>
    </row>
    <row r="454" spans="1:32" ht="15" customHeight="1">
      <c r="A454" s="1435">
        <v>1</v>
      </c>
      <c r="B454" s="818">
        <f>W455</f>
        <v>0</v>
      </c>
      <c r="C454" s="819" t="s">
        <v>765</v>
      </c>
      <c r="D454" s="820"/>
      <c r="E454" s="821"/>
      <c r="F454" s="821">
        <f ca="1">F455 + (RAND() * 0.02 - 0.01)</f>
        <v>-8.7259401168602556E-3</v>
      </c>
      <c r="G454" s="821">
        <f ca="1">G455 + (RAND() * 0.06 - 0.03)</f>
        <v>0.55622288767437544</v>
      </c>
      <c r="H454" s="822">
        <f ca="1">H455 + (RAND() * 0.006 - 0.003)</f>
        <v>2.3957899887259845E-3</v>
      </c>
      <c r="I454" s="822">
        <f ca="1">I455 + (RAND() * 0.006 - 0.003)</f>
        <v>-2.1716066428170136E-4</v>
      </c>
      <c r="J454" s="821">
        <f ca="1">J455 + (RAND() * 0.02 - 0.01)</f>
        <v>-5.7019378789495857E-3</v>
      </c>
      <c r="K454" s="821"/>
      <c r="L454" s="822"/>
      <c r="M454" s="821"/>
      <c r="N454" s="823"/>
      <c r="O454" s="823"/>
      <c r="P454" s="823"/>
      <c r="Q454" s="823"/>
      <c r="R454" s="824"/>
      <c r="S454" s="821"/>
      <c r="T454" s="821"/>
      <c r="U454" s="825"/>
      <c r="V454" s="826"/>
      <c r="AE454" t="s">
        <v>767</v>
      </c>
    </row>
    <row r="455" spans="1:32" ht="15" customHeight="1">
      <c r="A455" s="1435"/>
      <c r="B455" s="827">
        <f>B454</f>
        <v>0</v>
      </c>
      <c r="C455" s="828" t="s">
        <v>768</v>
      </c>
      <c r="D455" s="829" t="str">
        <f>IF(AC455=130, "130 × 130", IF(AC455=160, "160 × 160", IF(AC455=110, "110 × 110", "Value not 130, 160, or 110")))</f>
        <v>Value not 130, 160, or 110</v>
      </c>
      <c r="E455" s="830">
        <f>AD455</f>
        <v>0</v>
      </c>
      <c r="F455" s="831">
        <f ca="1">IF(X455 &gt; 0.1, RAND() * (0.1 - 0.06) + 0.06, X455)</f>
        <v>0</v>
      </c>
      <c r="G455" s="831">
        <f ca="1">IF(Y455 &lt; 0.5, 0.5 + RAND() * 0.1, Y455)</f>
        <v>0.58077912853828795</v>
      </c>
      <c r="H455" s="830">
        <f ca="1">IF(AB455&gt;0.04, 0.029 + (0.039-0.029)*RAND(), AB455)</f>
        <v>0</v>
      </c>
      <c r="I455" s="830">
        <f ca="1">IF(AA455&gt;0.04, 0.029 + (0.039-0.029)*RAND(), AA455)</f>
        <v>0</v>
      </c>
      <c r="J455" s="831">
        <f ca="1">IF(Z455&gt;0.15, 0.11 + (0.15-0.11) * RAND(), Z455)</f>
        <v>0</v>
      </c>
      <c r="K455" s="830">
        <f ca="1">0.004 + (RAND() * (0.001 - 0.004))</f>
        <v>2.2930083172856917E-3</v>
      </c>
      <c r="L455" s="830">
        <f ca="1">H455+I455</f>
        <v>0</v>
      </c>
      <c r="M455" s="831">
        <f ca="1">(G455/6)+F455</f>
        <v>9.6796521423047996E-2</v>
      </c>
      <c r="N455" s="831">
        <f ca="1">2 + RAND()</f>
        <v>2.7465709057468914</v>
      </c>
      <c r="O455" s="831">
        <f ca="1">1 + RAND()</f>
        <v>1.4122584904629609</v>
      </c>
      <c r="P455" s="831">
        <f ca="1">2.98 + (RAND() * (3.03 - 2.98))</f>
        <v>2.9968632250401517</v>
      </c>
      <c r="Q455" s="832" t="str">
        <f ca="1">IF(D455="130 × 130", (130 + RANDBETWEEN(-1,1)) &amp; " × " &amp; (130 + RANDBETWEEN(-1,1)),
   IF(D455="160 × 160", (160 + RANDBETWEEN(-1,1)) &amp; " × " &amp; (160 + RANDBETWEEN(-1,1)),
   IF(D455="110 × 110", (110 + RANDBETWEEN(-1,1)) &amp; " × " &amp; (110 + RANDBETWEEN(-1,1)),
   "Value not matched")))</f>
        <v>Value not matched</v>
      </c>
      <c r="R455" s="833" t="s">
        <v>213</v>
      </c>
      <c r="S455" s="834" t="str">
        <f ca="1">IF(G455&lt;0.6, "IS 14650 CPS 10748/GR2", "IS 14650 CPS 10748/GR3")</f>
        <v>IS 14650 CPS 10748/GR2</v>
      </c>
      <c r="T455" s="831" t="s">
        <v>769</v>
      </c>
      <c r="U455" s="825"/>
      <c r="V455" s="835">
        <f>Prod.!A256</f>
        <v>0</v>
      </c>
      <c r="W455" s="206">
        <f>Prod.!B256</f>
        <v>0</v>
      </c>
      <c r="X455" s="469">
        <f>Prod.!C256</f>
        <v>0</v>
      </c>
      <c r="Y455" s="469">
        <f>Prod.!D256</f>
        <v>0</v>
      </c>
      <c r="Z455" s="469">
        <f>Prod.!E256</f>
        <v>0</v>
      </c>
      <c r="AA455" s="282">
        <f>Prod.!F256</f>
        <v>0</v>
      </c>
      <c r="AB455" s="282">
        <f>Prod.!G256</f>
        <v>0</v>
      </c>
      <c r="AC455" s="836">
        <f>Prod.!H256</f>
        <v>0</v>
      </c>
      <c r="AD455" s="282">
        <f>Prod.!AB256</f>
        <v>0</v>
      </c>
      <c r="AE455" s="282">
        <f>AD455-AF455</f>
        <v>0</v>
      </c>
      <c r="AF455" s="282">
        <f>Prod.!AA256</f>
        <v>0</v>
      </c>
    </row>
    <row r="456" spans="1:32" ht="15" customHeight="1">
      <c r="A456" s="1435">
        <v>2</v>
      </c>
      <c r="B456" s="818">
        <f>W457</f>
        <v>0</v>
      </c>
      <c r="C456" s="819" t="s">
        <v>765</v>
      </c>
      <c r="D456" s="822"/>
      <c r="E456" s="822"/>
      <c r="F456" s="821">
        <f ca="1">F457 + (RAND() * 0.02 - 0.01)</f>
        <v>-7.3902762429732616E-3</v>
      </c>
      <c r="G456" s="821">
        <f ca="1">G457 + (RAND() * 0.06 - 0.03)</f>
        <v>0.52502664290328027</v>
      </c>
      <c r="H456" s="822">
        <f ca="1">H457 + (RAND() * 0.006 - 0.003)</f>
        <v>3.3603226199794937E-4</v>
      </c>
      <c r="I456" s="822">
        <f ca="1">I457 + (RAND() * 0.006 - 0.003)</f>
        <v>-3.7069338292439712E-4</v>
      </c>
      <c r="J456" s="821">
        <f ca="1">J457 + (RAND() * 0.02 - 0.01)</f>
        <v>-9.1177228830242926E-3</v>
      </c>
      <c r="K456" s="821"/>
      <c r="L456" s="822"/>
      <c r="M456" s="821"/>
      <c r="N456" s="823"/>
      <c r="O456" s="823"/>
      <c r="P456" s="823"/>
      <c r="Q456" s="823"/>
      <c r="R456" s="837"/>
      <c r="S456" s="821"/>
      <c r="T456" s="838"/>
      <c r="U456" s="825"/>
      <c r="V456" s="826"/>
    </row>
    <row r="457" spans="1:32" ht="15" customHeight="1">
      <c r="A457" s="1435"/>
      <c r="B457" s="827">
        <f>B456</f>
        <v>0</v>
      </c>
      <c r="C457" s="828" t="s">
        <v>768</v>
      </c>
      <c r="D457" s="829" t="str">
        <f>IF(AC457=130, "130 × 130", IF(AC457=160, "160 × 160", IF(AC457=110, "110 × 110", "Value not 130, 160, or 110")))</f>
        <v>Value not 130, 160, or 110</v>
      </c>
      <c r="E457" s="830">
        <f>AD457</f>
        <v>0</v>
      </c>
      <c r="F457" s="831">
        <f ca="1">IF(X457 &gt; 0.1, RAND() * (0.1 - 0.06) + 0.06, X457)</f>
        <v>0</v>
      </c>
      <c r="G457" s="831">
        <f ca="1">IF(Y457 &lt; 0.5, 0.5 + RAND() * 0.1, Y457)</f>
        <v>0.51157557009071319</v>
      </c>
      <c r="H457" s="830">
        <f ca="1">IF(AB457&gt;0.04, 0.029 + (0.039-0.029)*RAND(), AB457)</f>
        <v>0</v>
      </c>
      <c r="I457" s="830">
        <f ca="1">IF(AA457&gt;0.04, 0.029 + (0.039-0.029)*RAND(), AA457)</f>
        <v>0</v>
      </c>
      <c r="J457" s="831">
        <f ca="1">IF(Z457&gt;0.15, 0.11 + (0.15-0.11) * RAND(), Z457)</f>
        <v>0</v>
      </c>
      <c r="K457" s="830">
        <f ca="1">0.004 + (RAND() * (0.001 - 0.004))</f>
        <v>2.0282483031590038E-3</v>
      </c>
      <c r="L457" s="830">
        <f ca="1">H457+I457</f>
        <v>0</v>
      </c>
      <c r="M457" s="831">
        <f ca="1">(G457/6)+F457</f>
        <v>8.5262595015118861E-2</v>
      </c>
      <c r="N457" s="831">
        <f ca="1">2 + RAND()</f>
        <v>2.5600773118415523</v>
      </c>
      <c r="O457" s="831">
        <f ca="1">1 + RAND()</f>
        <v>1.7347130591757352</v>
      </c>
      <c r="P457" s="831">
        <f ca="1">2.98 + (RAND() * (3.03 - 2.98))</f>
        <v>2.9914852740567084</v>
      </c>
      <c r="Q457" s="832" t="str">
        <f ca="1">IF(D457="130 × 130", (130 + RANDBETWEEN(-1,1)) &amp; " × " &amp; (130 + RANDBETWEEN(-1,1)),
   IF(D457="160 × 160", (160 + RANDBETWEEN(-1,1)) &amp; " × " &amp; (160 + RANDBETWEEN(-1,1)),
   IF(D457="110 × 110", (110 + RANDBETWEEN(-1,1)) &amp; " × " &amp; (110 + RANDBETWEEN(-1,1)),
   "Value not matched")))</f>
        <v>Value not matched</v>
      </c>
      <c r="R457" s="833" t="s">
        <v>213</v>
      </c>
      <c r="S457" s="834" t="str">
        <f ca="1">IF(G457&lt;0.6, "IS 14650 CPS 10748/GR2", "IS 14650 CPS 10748/GR3")</f>
        <v>IS 14650 CPS 10748/GR2</v>
      </c>
      <c r="T457" s="831" t="s">
        <v>769</v>
      </c>
      <c r="U457" s="825"/>
      <c r="V457" s="826"/>
      <c r="W457" s="206">
        <f>Prod.!B257</f>
        <v>0</v>
      </c>
      <c r="X457" s="469">
        <f>Prod.!C257</f>
        <v>0</v>
      </c>
      <c r="Y457" s="469">
        <f>Prod.!D257</f>
        <v>0</v>
      </c>
      <c r="Z457" s="469">
        <f>Prod.!E257</f>
        <v>0</v>
      </c>
      <c r="AA457" s="282">
        <f>Prod.!F257</f>
        <v>0</v>
      </c>
      <c r="AB457" s="282">
        <f>Prod.!G257</f>
        <v>0</v>
      </c>
      <c r="AC457" s="836">
        <f>Prod.!H257</f>
        <v>0</v>
      </c>
      <c r="AD457" s="282">
        <f>Prod.!AB257</f>
        <v>0</v>
      </c>
      <c r="AE457" s="282">
        <f>AD457-AF457</f>
        <v>0</v>
      </c>
      <c r="AF457" s="282">
        <f>Prod.!AA257</f>
        <v>0</v>
      </c>
    </row>
    <row r="458" spans="1:32" ht="15" customHeight="1">
      <c r="A458" s="1435">
        <v>3</v>
      </c>
      <c r="B458" s="818">
        <f>W459</f>
        <v>0</v>
      </c>
      <c r="C458" s="819" t="s">
        <v>765</v>
      </c>
      <c r="D458" s="822"/>
      <c r="E458" s="822"/>
      <c r="F458" s="821">
        <f ca="1">F459 + (RAND() * 0.02 - 0.01)</f>
        <v>6.9060710182540213E-3</v>
      </c>
      <c r="G458" s="821">
        <f ca="1">G459 + (RAND() * 0.06 - 0.03)</f>
        <v>0.55658211394541568</v>
      </c>
      <c r="H458" s="822">
        <f ca="1">H459 + (RAND() * 0.006 - 0.003)</f>
        <v>6.2519413810861431E-4</v>
      </c>
      <c r="I458" s="822">
        <f ca="1">I459 + (RAND() * 0.006 - 0.003)</f>
        <v>-6.268226803284923E-4</v>
      </c>
      <c r="J458" s="821">
        <f ca="1">J459 + (RAND() * 0.02 - 0.01)</f>
        <v>3.2305531411123637E-3</v>
      </c>
      <c r="K458" s="821"/>
      <c r="L458" s="822"/>
      <c r="M458" s="821"/>
      <c r="N458" s="823"/>
      <c r="O458" s="823"/>
      <c r="P458" s="823"/>
      <c r="Q458" s="823"/>
      <c r="R458" s="839"/>
      <c r="S458" s="821"/>
      <c r="T458" s="821"/>
      <c r="U458" s="825"/>
      <c r="V458" s="826"/>
    </row>
    <row r="459" spans="1:32" ht="15" customHeight="1">
      <c r="A459" s="1435"/>
      <c r="B459" s="827">
        <f>B458</f>
        <v>0</v>
      </c>
      <c r="C459" s="828" t="s">
        <v>768</v>
      </c>
      <c r="D459" s="829" t="str">
        <f>IF(AC459=130, "130 × 130", IF(AC459=160, "160 × 160", IF(AC459=110, "110 × 110", "Value not 130, 160, or 110")))</f>
        <v>Value not 130, 160, or 110</v>
      </c>
      <c r="E459" s="830">
        <f>AD459</f>
        <v>0</v>
      </c>
      <c r="F459" s="831">
        <f ca="1">IF(X459 &gt; 0.1, RAND() * (0.1 - 0.06) + 0.06, X459)</f>
        <v>0</v>
      </c>
      <c r="G459" s="831">
        <f ca="1">IF(Y459 &lt; 0.5, 0.5 + RAND() * 0.1, Y459)</f>
        <v>0.57788770548670365</v>
      </c>
      <c r="H459" s="830">
        <f ca="1">IF(AB459&gt;0.04, 0.029 + (0.039-0.029)*RAND(), AB459)</f>
        <v>0</v>
      </c>
      <c r="I459" s="830">
        <f ca="1">IF(AA459&gt;0.04, 0.029 + (0.039-0.029)*RAND(), AA459)</f>
        <v>0</v>
      </c>
      <c r="J459" s="831">
        <f ca="1">IF(Z459&gt;0.15, 0.11 + (0.15-0.11) * RAND(), Z459)</f>
        <v>0</v>
      </c>
      <c r="K459" s="830">
        <f ca="1">0.004 + (RAND() * (0.001 - 0.004))</f>
        <v>3.154570933676059E-3</v>
      </c>
      <c r="L459" s="830">
        <f ca="1">H459+I459</f>
        <v>0</v>
      </c>
      <c r="M459" s="831">
        <f ca="1">(G459/6)+F459</f>
        <v>9.6314617581117271E-2</v>
      </c>
      <c r="N459" s="831">
        <f ca="1">2 + RAND()</f>
        <v>2.693547672671186</v>
      </c>
      <c r="O459" s="831">
        <f ca="1">1 + RAND()</f>
        <v>1.7126428111730787</v>
      </c>
      <c r="P459" s="831">
        <f ca="1">2.98 + (RAND() * (3.03 - 2.98))</f>
        <v>3.0212349432840599</v>
      </c>
      <c r="Q459" s="832" t="str">
        <f ca="1">IF(D459="130 × 130", (130 + RANDBETWEEN(-1,1)) &amp; " × " &amp; (130 + RANDBETWEEN(-1,1)),
   IF(D459="160 × 160", (160 + RANDBETWEEN(-1,1)) &amp; " × " &amp; (160 + RANDBETWEEN(-1,1)),
   IF(D459="110 × 110", (110 + RANDBETWEEN(-1,1)) &amp; " × " &amp; (110 + RANDBETWEEN(-1,1)),
   "Value not matched")))</f>
        <v>Value not matched</v>
      </c>
      <c r="R459" s="833" t="s">
        <v>213</v>
      </c>
      <c r="S459" s="834" t="str">
        <f ca="1">IF(G459&lt;0.6, "IS 14650 CPS 10748/GR2", "IS 14650 CPS 10748/GR3")</f>
        <v>IS 14650 CPS 10748/GR2</v>
      </c>
      <c r="T459" s="831" t="s">
        <v>769</v>
      </c>
      <c r="U459" s="825"/>
      <c r="V459" s="826"/>
      <c r="W459" s="206">
        <f>Prod.!B258</f>
        <v>0</v>
      </c>
      <c r="X459" s="469">
        <f>Prod.!C258</f>
        <v>0</v>
      </c>
      <c r="Y459" s="469">
        <f>Prod.!D258</f>
        <v>0</v>
      </c>
      <c r="Z459" s="469">
        <f>Prod.!E258</f>
        <v>0</v>
      </c>
      <c r="AA459" s="282">
        <f>Prod.!F258</f>
        <v>0</v>
      </c>
      <c r="AB459" s="282">
        <f>Prod.!G258</f>
        <v>0</v>
      </c>
      <c r="AC459" s="836">
        <f>Prod.!H258</f>
        <v>0</v>
      </c>
      <c r="AD459" s="282">
        <f>Prod.!AB258</f>
        <v>0</v>
      </c>
      <c r="AE459" s="282">
        <f>AD459-AF459</f>
        <v>0</v>
      </c>
      <c r="AF459" s="282">
        <f>Prod.!AA258</f>
        <v>0</v>
      </c>
    </row>
    <row r="460" spans="1:32" ht="15" customHeight="1">
      <c r="A460" s="1435">
        <v>4</v>
      </c>
      <c r="B460" s="818">
        <f>W461</f>
        <v>0</v>
      </c>
      <c r="C460" s="819" t="s">
        <v>765</v>
      </c>
      <c r="D460" s="822"/>
      <c r="E460" s="822"/>
      <c r="F460" s="821">
        <f ca="1">F461 + (RAND() * 0.02 - 0.01)</f>
        <v>-1.1782360079756506E-3</v>
      </c>
      <c r="G460" s="821">
        <f ca="1">G461 + (RAND() * 0.06 - 0.03)</f>
        <v>0.57015965397030954</v>
      </c>
      <c r="H460" s="822">
        <f ca="1">H461 + (RAND() * 0.006 - 0.003)</f>
        <v>2.1544225144875841E-3</v>
      </c>
      <c r="I460" s="822">
        <f ca="1">I461 + (RAND() * 0.006 - 0.003)</f>
        <v>1.7120247676468128E-3</v>
      </c>
      <c r="J460" s="821">
        <f ca="1">J461 + (RAND() * 0.02 - 0.01)</f>
        <v>1.8243047358506067E-3</v>
      </c>
      <c r="K460" s="821"/>
      <c r="L460" s="822"/>
      <c r="M460" s="821"/>
      <c r="N460" s="823"/>
      <c r="O460" s="823"/>
      <c r="P460" s="823"/>
      <c r="Q460" s="823"/>
      <c r="R460" s="839"/>
      <c r="S460" s="821"/>
      <c r="T460" s="821"/>
      <c r="U460" s="825"/>
      <c r="V460" s="826"/>
    </row>
    <row r="461" spans="1:32" ht="15" customHeight="1">
      <c r="A461" s="1435"/>
      <c r="B461" s="827">
        <f>B460</f>
        <v>0</v>
      </c>
      <c r="C461" s="828" t="s">
        <v>768</v>
      </c>
      <c r="D461" s="829" t="str">
        <f>IF(AC461=130, "130 × 130", IF(AC461=160, "160 × 160", IF(AC461=110, "110 × 110", "Value not 130, 160, or 110")))</f>
        <v>Value not 130, 160, or 110</v>
      </c>
      <c r="E461" s="830">
        <f>AD461</f>
        <v>0</v>
      </c>
      <c r="F461" s="831">
        <f ca="1">IF(X461 &gt; 0.1, RAND() * (0.1 - 0.06) + 0.06, X461)</f>
        <v>0</v>
      </c>
      <c r="G461" s="831">
        <f ca="1">IF(Y461 &lt; 0.5, 0.5 + RAND() * 0.1, Y461)</f>
        <v>0.57900154373788937</v>
      </c>
      <c r="H461" s="830">
        <f ca="1">IF(AB461&gt;0.04, 0.029 + (0.039-0.029)*RAND(), AB461)</f>
        <v>0</v>
      </c>
      <c r="I461" s="830">
        <f ca="1">IF(AA461&gt;0.04, 0.029 + (0.039-0.029)*RAND(), AA461)</f>
        <v>0</v>
      </c>
      <c r="J461" s="831">
        <f ca="1">IF(Z461&gt;0.15, 0.11 + (0.15-0.11) * RAND(), Z461)</f>
        <v>0</v>
      </c>
      <c r="K461" s="830">
        <f ca="1">0.004 + (RAND() * (0.001 - 0.004))</f>
        <v>1.7556913638542434E-3</v>
      </c>
      <c r="L461" s="830">
        <f ca="1">H461+I461</f>
        <v>0</v>
      </c>
      <c r="M461" s="831">
        <f ca="1">(G461/6)+F461</f>
        <v>9.6500257289648228E-2</v>
      </c>
      <c r="N461" s="831">
        <f ca="1">2 + RAND()</f>
        <v>2.2267712994371403</v>
      </c>
      <c r="O461" s="831">
        <f ca="1">1 + RAND()</f>
        <v>1.7159458753349206</v>
      </c>
      <c r="P461" s="831">
        <f ca="1">2.98 + (RAND() * (3.03 - 2.98))</f>
        <v>2.9863092885818818</v>
      </c>
      <c r="Q461" s="832" t="str">
        <f ca="1">IF(D461="130 × 130", (130 + RANDBETWEEN(-1,1)) &amp; " × " &amp; (130 + RANDBETWEEN(-1,1)),
   IF(D461="160 × 160", (160 + RANDBETWEEN(-1,1)) &amp; " × " &amp; (160 + RANDBETWEEN(-1,1)),
   IF(D461="110 × 110", (110 + RANDBETWEEN(-1,1)) &amp; " × " &amp; (110 + RANDBETWEEN(-1,1)),
   "Value not matched")))</f>
        <v>Value not matched</v>
      </c>
      <c r="R461" s="833" t="s">
        <v>213</v>
      </c>
      <c r="S461" s="834" t="str">
        <f ca="1">IF(G461&lt;0.6, "IS 14650 CPS 10748/GR2", "IS 14650 CPS 10748/GR3")</f>
        <v>IS 14650 CPS 10748/GR2</v>
      </c>
      <c r="T461" s="831" t="s">
        <v>769</v>
      </c>
      <c r="U461" s="825"/>
      <c r="V461" s="826"/>
      <c r="W461" s="206">
        <f>Prod.!B259</f>
        <v>0</v>
      </c>
      <c r="X461" s="469">
        <f>Prod.!C259</f>
        <v>0</v>
      </c>
      <c r="Y461" s="469">
        <f>Prod.!D259</f>
        <v>0</v>
      </c>
      <c r="Z461" s="469">
        <f>Prod.!E259</f>
        <v>0</v>
      </c>
      <c r="AA461" s="282">
        <f>Prod.!F259</f>
        <v>0</v>
      </c>
      <c r="AB461" s="282">
        <f>Prod.!G259</f>
        <v>0</v>
      </c>
      <c r="AC461" s="836">
        <f>Prod.!H259</f>
        <v>0</v>
      </c>
      <c r="AD461" s="282">
        <f>Prod.!AB259</f>
        <v>0</v>
      </c>
      <c r="AE461" s="282">
        <f>AD461-AF461</f>
        <v>0</v>
      </c>
      <c r="AF461" s="282">
        <f>Prod.!AA259</f>
        <v>0</v>
      </c>
    </row>
    <row r="462" spans="1:32" ht="15" customHeight="1">
      <c r="A462" s="1435">
        <v>5</v>
      </c>
      <c r="B462" s="818">
        <f>W463</f>
        <v>0</v>
      </c>
      <c r="C462" s="819" t="s">
        <v>765</v>
      </c>
      <c r="D462" s="822"/>
      <c r="E462" s="822"/>
      <c r="F462" s="821">
        <f ca="1">F463 + (RAND() * 0.02 - 0.01)</f>
        <v>5.1757082114095646E-3</v>
      </c>
      <c r="G462" s="821">
        <f ca="1">G463 + (RAND() * 0.06 - 0.03)</f>
        <v>0.56612358747739211</v>
      </c>
      <c r="H462" s="822">
        <f ca="1">H463 + (RAND() * 0.006 - 0.003)</f>
        <v>-2.0624339428780515E-4</v>
      </c>
      <c r="I462" s="822">
        <f ca="1">I463 + (RAND() * 0.006 - 0.003)</f>
        <v>2.7719743337476666E-3</v>
      </c>
      <c r="J462" s="821">
        <f ca="1">J463 + (RAND() * 0.02 - 0.01)</f>
        <v>-4.011167963634283E-4</v>
      </c>
      <c r="K462" s="821"/>
      <c r="L462" s="822"/>
      <c r="M462" s="821"/>
      <c r="N462" s="823"/>
      <c r="O462" s="823"/>
      <c r="P462" s="823"/>
      <c r="Q462" s="823"/>
      <c r="R462" s="839"/>
      <c r="S462" s="821"/>
      <c r="T462" s="821"/>
      <c r="U462" s="825"/>
      <c r="V462" s="826"/>
    </row>
    <row r="463" spans="1:32" ht="15" customHeight="1">
      <c r="A463" s="1435"/>
      <c r="B463" s="827">
        <f>B462</f>
        <v>0</v>
      </c>
      <c r="C463" s="828" t="s">
        <v>768</v>
      </c>
      <c r="D463" s="829" t="str">
        <f>IF(AC463=130, "130 × 130", IF(AC463=160, "160 × 160", IF(AC463=110, "110 × 110", "Value not 130, 160, or 110")))</f>
        <v>Value not 130, 160, or 110</v>
      </c>
      <c r="E463" s="830">
        <f>AD463</f>
        <v>0</v>
      </c>
      <c r="F463" s="831">
        <f ca="1">IF(X463 &gt; 0.1, RAND() * (0.1 - 0.06) + 0.06, X463)</f>
        <v>0</v>
      </c>
      <c r="G463" s="831">
        <f ca="1">IF(Y463 &lt; 0.5, 0.5 + RAND() * 0.1, Y463)</f>
        <v>0.5955748727415765</v>
      </c>
      <c r="H463" s="830">
        <f ca="1">IF(AB463&gt;0.04, 0.029 + (0.039-0.029)*RAND(), AB463)</f>
        <v>0</v>
      </c>
      <c r="I463" s="830">
        <f ca="1">IF(AA463&gt;0.04, 0.029 + (0.039-0.029)*RAND(), AA463)</f>
        <v>0</v>
      </c>
      <c r="J463" s="831">
        <f ca="1">IF(Z463&gt;0.15, 0.11 + (0.15-0.11) * RAND(), Z463)</f>
        <v>0</v>
      </c>
      <c r="K463" s="830">
        <f ca="1">0.004 + (RAND() * (0.001 - 0.004))</f>
        <v>3.3248509436013709E-3</v>
      </c>
      <c r="L463" s="830">
        <f ca="1">H463+I463</f>
        <v>0</v>
      </c>
      <c r="M463" s="831">
        <f ca="1">(G463/6)+F463</f>
        <v>9.9262478790262745E-2</v>
      </c>
      <c r="N463" s="831">
        <f ca="1">2 + RAND()</f>
        <v>2.3169625278348422</v>
      </c>
      <c r="O463" s="831">
        <f ca="1">1 + RAND()</f>
        <v>1.0353049245705517</v>
      </c>
      <c r="P463" s="831">
        <f ca="1">2.98 + (RAND() * (3.03 - 2.98))</f>
        <v>2.9829158609983888</v>
      </c>
      <c r="Q463" s="832" t="str">
        <f ca="1">IF(D463="130 × 130", (130 + RANDBETWEEN(-1,1)) &amp; " × " &amp; (130 + RANDBETWEEN(-1,1)),
   IF(D463="160 × 160", (160 + RANDBETWEEN(-1,1)) &amp; " × " &amp; (160 + RANDBETWEEN(-1,1)),
   IF(D463="110 × 110", (110 + RANDBETWEEN(-1,1)) &amp; " × " &amp; (110 + RANDBETWEEN(-1,1)),
   "Value not matched")))</f>
        <v>Value not matched</v>
      </c>
      <c r="R463" s="833" t="s">
        <v>213</v>
      </c>
      <c r="S463" s="834" t="str">
        <f ca="1">IF(G463&lt;0.6, "IS 14650 CPS 10748/GR2", "IS 14650 CPS 10748/GR3")</f>
        <v>IS 14650 CPS 10748/GR2</v>
      </c>
      <c r="T463" s="831" t="s">
        <v>769</v>
      </c>
      <c r="U463" s="825"/>
      <c r="V463" s="826"/>
      <c r="W463" s="206">
        <f>Prod.!B260</f>
        <v>0</v>
      </c>
      <c r="X463" s="469">
        <f>Prod.!C260</f>
        <v>0</v>
      </c>
      <c r="Y463" s="469">
        <f>Prod.!D260</f>
        <v>0</v>
      </c>
      <c r="Z463" s="469">
        <f>Prod.!E260</f>
        <v>0</v>
      </c>
      <c r="AA463" s="282">
        <f>Prod.!F260</f>
        <v>0</v>
      </c>
      <c r="AB463" s="282">
        <f>Prod.!G260</f>
        <v>0</v>
      </c>
      <c r="AC463" s="836">
        <f>Prod.!H260</f>
        <v>0</v>
      </c>
      <c r="AD463" s="282">
        <f>Prod.!AB260</f>
        <v>0</v>
      </c>
      <c r="AE463" s="282">
        <f>AD463-AF463</f>
        <v>0</v>
      </c>
      <c r="AF463" s="282">
        <f>Prod.!AA260</f>
        <v>0</v>
      </c>
    </row>
    <row r="464" spans="1:32" ht="15" customHeight="1">
      <c r="A464" s="1435">
        <v>6</v>
      </c>
      <c r="B464" s="818">
        <f>W465</f>
        <v>0</v>
      </c>
      <c r="C464" s="819" t="s">
        <v>765</v>
      </c>
      <c r="D464" s="822"/>
      <c r="E464" s="822"/>
      <c r="F464" s="821">
        <f ca="1">F465 + (RAND() * 0.02 - 0.01)</f>
        <v>1.1398814288388799E-3</v>
      </c>
      <c r="G464" s="821">
        <f ca="1">G465 + (RAND() * 0.06 - 0.03)</f>
        <v>0.60677987477322781</v>
      </c>
      <c r="H464" s="822">
        <f ca="1">H465 + (RAND() * 0.006 - 0.003)</f>
        <v>1.6117730458282608E-3</v>
      </c>
      <c r="I464" s="822">
        <f ca="1">I465 + (RAND() * 0.006 - 0.003)</f>
        <v>-1.8626943098890582E-3</v>
      </c>
      <c r="J464" s="821">
        <f ca="1">J465 + (RAND() * 0.02 - 0.01)</f>
        <v>4.7213486059461962E-3</v>
      </c>
      <c r="K464" s="821"/>
      <c r="L464" s="822"/>
      <c r="M464" s="821"/>
      <c r="N464" s="823"/>
      <c r="O464" s="823"/>
      <c r="P464" s="823"/>
      <c r="Q464" s="823"/>
      <c r="R464" s="839"/>
      <c r="S464" s="821"/>
      <c r="T464" s="821"/>
      <c r="U464" s="825"/>
      <c r="V464" s="826"/>
    </row>
    <row r="465" spans="1:32" ht="15" customHeight="1">
      <c r="A465" s="1435"/>
      <c r="B465" s="827">
        <f>B464</f>
        <v>0</v>
      </c>
      <c r="C465" s="828" t="s">
        <v>768</v>
      </c>
      <c r="D465" s="829" t="str">
        <f>IF(AC465=130, "130 × 130", IF(AC465=160, "160 × 160", IF(AC465=110, "110 × 110", "Value not 130, 160, or 110")))</f>
        <v>Value not 130, 160, or 110</v>
      </c>
      <c r="E465" s="830">
        <f>AD465</f>
        <v>0</v>
      </c>
      <c r="F465" s="831">
        <f ca="1">IF(X465 &gt; 0.1, RAND() * (0.1 - 0.06) + 0.06, X465)</f>
        <v>0</v>
      </c>
      <c r="G465" s="831">
        <f ca="1">IF(Y465 &lt; 0.5, 0.5 + RAND() * 0.1, Y465)</f>
        <v>0.58757978759944174</v>
      </c>
      <c r="H465" s="830">
        <f ca="1">IF(AB465&gt;0.04, 0.029 + (0.039-0.029)*RAND(), AB465)</f>
        <v>0</v>
      </c>
      <c r="I465" s="830">
        <f ca="1">IF(AA465&gt;0.04, 0.029 + (0.039-0.029)*RAND(), AA465)</f>
        <v>0</v>
      </c>
      <c r="J465" s="831">
        <f ca="1">IF(Z465&gt;0.15, 0.11 + (0.15-0.11) * RAND(), Z465)</f>
        <v>0</v>
      </c>
      <c r="K465" s="830">
        <f ca="1">0.004 + (RAND() * (0.001 - 0.004))</f>
        <v>1.708356541237892E-3</v>
      </c>
      <c r="L465" s="830">
        <f ca="1">H465+I465</f>
        <v>0</v>
      </c>
      <c r="M465" s="831">
        <f ca="1">(G465/6)+F465</f>
        <v>9.7929964599906952E-2</v>
      </c>
      <c r="N465" s="831">
        <f ca="1">2 + RAND()</f>
        <v>2.6427514756341068</v>
      </c>
      <c r="O465" s="831">
        <f ca="1">1 + RAND()</f>
        <v>1.1383396034289845</v>
      </c>
      <c r="P465" s="831">
        <f ca="1">2.98 + (RAND() * (3.03 - 2.98))</f>
        <v>2.9968191487882772</v>
      </c>
      <c r="Q465" s="832" t="str">
        <f ca="1">IF(D465="130 × 130", (130 + RANDBETWEEN(-1,1)) &amp; " × " &amp; (130 + RANDBETWEEN(-1,1)),
   IF(D465="160 × 160", (160 + RANDBETWEEN(-1,1)) &amp; " × " &amp; (160 + RANDBETWEEN(-1,1)),
   IF(D465="110 × 110", (110 + RANDBETWEEN(-1,1)) &amp; " × " &amp; (110 + RANDBETWEEN(-1,1)),
   "Value not matched")))</f>
        <v>Value not matched</v>
      </c>
      <c r="R465" s="833" t="s">
        <v>213</v>
      </c>
      <c r="S465" s="834" t="str">
        <f ca="1">IF(G465&lt;0.6, "IS 14650 CPS 10748/GR2", "IS 14650 CPS 10748/GR3")</f>
        <v>IS 14650 CPS 10748/GR2</v>
      </c>
      <c r="T465" s="831" t="s">
        <v>769</v>
      </c>
      <c r="U465" s="825"/>
      <c r="V465" s="826"/>
      <c r="W465" s="206">
        <f>Prod.!B261</f>
        <v>0</v>
      </c>
      <c r="X465" s="469">
        <f>Prod.!C261</f>
        <v>0</v>
      </c>
      <c r="Y465" s="469">
        <f>Prod.!D261</f>
        <v>0</v>
      </c>
      <c r="Z465" s="469">
        <f>Prod.!E261</f>
        <v>0</v>
      </c>
      <c r="AA465" s="282">
        <f>Prod.!F261</f>
        <v>0</v>
      </c>
      <c r="AB465" s="282">
        <f>Prod.!G261</f>
        <v>0</v>
      </c>
      <c r="AC465" s="836">
        <f>Prod.!H261</f>
        <v>0</v>
      </c>
      <c r="AD465" s="282">
        <f>Prod.!AB261</f>
        <v>0</v>
      </c>
      <c r="AE465" s="282">
        <f>AD465-AF465</f>
        <v>0</v>
      </c>
      <c r="AF465" s="282">
        <f>Prod.!AA261</f>
        <v>0</v>
      </c>
    </row>
    <row r="466" spans="1:32" ht="15" customHeight="1">
      <c r="A466" s="1435">
        <v>7</v>
      </c>
      <c r="B466" s="818">
        <f>W467</f>
        <v>0</v>
      </c>
      <c r="C466" s="819" t="s">
        <v>765</v>
      </c>
      <c r="D466" s="822"/>
      <c r="E466" s="822"/>
      <c r="F466" s="821">
        <f ca="1">F467 + (RAND() * 0.02 - 0.01)</f>
        <v>-7.4736973228716926E-3</v>
      </c>
      <c r="G466" s="821">
        <f ca="1">G467 + (RAND() * 0.06 - 0.03)</f>
        <v>0.60363528884079787</v>
      </c>
      <c r="H466" s="822">
        <f ca="1">H467 + (RAND() * 0.006 - 0.003)</f>
        <v>9.2844616592971125E-4</v>
      </c>
      <c r="I466" s="822">
        <f ca="1">I467 + (RAND() * 0.006 - 0.003)</f>
        <v>1.4720475882473638E-3</v>
      </c>
      <c r="J466" s="821">
        <f ca="1">J467 + (RAND() * 0.02 - 0.01)</f>
        <v>5.2644029681572051E-3</v>
      </c>
      <c r="K466" s="821"/>
      <c r="L466" s="822"/>
      <c r="M466" s="821"/>
      <c r="N466" s="823"/>
      <c r="O466" s="823"/>
      <c r="P466" s="823"/>
      <c r="Q466" s="823"/>
      <c r="R466" s="839"/>
      <c r="S466" s="821"/>
      <c r="T466" s="821"/>
      <c r="U466" s="825"/>
      <c r="V466" s="826"/>
    </row>
    <row r="467" spans="1:32" ht="15" customHeight="1">
      <c r="A467" s="1435"/>
      <c r="B467" s="827">
        <f>B466</f>
        <v>0</v>
      </c>
      <c r="C467" s="828" t="s">
        <v>768</v>
      </c>
      <c r="D467" s="829" t="str">
        <f>IF(AC467=130, "130 × 130", IF(AC467=160, "160 × 160", IF(AC467=110, "110 × 110", "Value not 130, 160, or 110")))</f>
        <v>Value not 130, 160, or 110</v>
      </c>
      <c r="E467" s="830">
        <f>AD467</f>
        <v>0</v>
      </c>
      <c r="F467" s="831">
        <f ca="1">IF(X467 &gt; 0.1, RAND() * (0.1 - 0.06) + 0.06, X467)</f>
        <v>0</v>
      </c>
      <c r="G467" s="831">
        <f ca="1">IF(Y467 &lt; 0.5, 0.5 + RAND() * 0.1, Y467)</f>
        <v>0.57444696920972405</v>
      </c>
      <c r="H467" s="830">
        <f ca="1">IF(AB467&gt;0.04, 0.029 + (0.039-0.029)*RAND(), AB467)</f>
        <v>0</v>
      </c>
      <c r="I467" s="830">
        <f ca="1">IF(AA467&gt;0.04, 0.029 + (0.039-0.029)*RAND(), AA467)</f>
        <v>0</v>
      </c>
      <c r="J467" s="831">
        <f ca="1">IF(Z467&gt;0.15, 0.11 + (0.15-0.11) * RAND(), Z467)</f>
        <v>0</v>
      </c>
      <c r="K467" s="830">
        <f ca="1">0.004 + (RAND() * (0.001 - 0.004))</f>
        <v>2.9310811247681623E-3</v>
      </c>
      <c r="L467" s="830">
        <f ca="1">H467+I467</f>
        <v>0</v>
      </c>
      <c r="M467" s="831">
        <f ca="1">(G467/6)+F467</f>
        <v>9.5741161534954003E-2</v>
      </c>
      <c r="N467" s="831">
        <f ca="1">2 + RAND()</f>
        <v>2.970517142330654</v>
      </c>
      <c r="O467" s="831">
        <f ca="1">1 + RAND()</f>
        <v>1.2304883569542835</v>
      </c>
      <c r="P467" s="831">
        <f ca="1">2.98 + (RAND() * (3.03 - 2.98))</f>
        <v>3.0259210567108048</v>
      </c>
      <c r="Q467" s="832" t="str">
        <f ca="1">IF(D467="130 × 130", (130 + RANDBETWEEN(-1,1)) &amp; " × " &amp; (130 + RANDBETWEEN(-1,1)),
   IF(D467="160 × 160", (160 + RANDBETWEEN(-1,1)) &amp; " × " &amp; (160 + RANDBETWEEN(-1,1)),
   IF(D467="110 × 110", (110 + RANDBETWEEN(-1,1)) &amp; " × " &amp; (110 + RANDBETWEEN(-1,1)),
   "Value not matched")))</f>
        <v>Value not matched</v>
      </c>
      <c r="R467" s="833" t="s">
        <v>213</v>
      </c>
      <c r="S467" s="834" t="str">
        <f ca="1">IF(G467&lt;0.6, "IS 14650 CPS 10748/GR2", "IS 14650 CPS 10748/GR3")</f>
        <v>IS 14650 CPS 10748/GR2</v>
      </c>
      <c r="T467" s="831" t="s">
        <v>769</v>
      </c>
      <c r="U467" s="825"/>
      <c r="V467" s="826"/>
      <c r="W467" s="206">
        <f>Prod.!B262</f>
        <v>0</v>
      </c>
      <c r="X467" s="469">
        <f>Prod.!C262</f>
        <v>0</v>
      </c>
      <c r="Y467" s="469">
        <f>Prod.!D262</f>
        <v>0</v>
      </c>
      <c r="Z467" s="469">
        <f>Prod.!E262</f>
        <v>0</v>
      </c>
      <c r="AA467" s="282">
        <f>Prod.!F262</f>
        <v>0</v>
      </c>
      <c r="AB467" s="282">
        <f>Prod.!G262</f>
        <v>0</v>
      </c>
      <c r="AC467" s="836">
        <f>Prod.!H262</f>
        <v>0</v>
      </c>
      <c r="AD467" s="282">
        <f>Prod.!AB262</f>
        <v>0</v>
      </c>
      <c r="AE467" s="282">
        <f>AD467-AF467</f>
        <v>0</v>
      </c>
      <c r="AF467" s="282">
        <f>Prod.!AA262</f>
        <v>0</v>
      </c>
    </row>
    <row r="468" spans="1:32" ht="15" customHeight="1">
      <c r="A468" s="1435">
        <v>8</v>
      </c>
      <c r="B468" s="818">
        <f>W469</f>
        <v>0</v>
      </c>
      <c r="C468" s="819" t="s">
        <v>765</v>
      </c>
      <c r="D468" s="822"/>
      <c r="E468" s="822"/>
      <c r="F468" s="821">
        <f ca="1">F469 + (RAND() * 0.02 - 0.01)</f>
        <v>8.6618332836454707E-3</v>
      </c>
      <c r="G468" s="821">
        <f ca="1">G469 + (RAND() * 0.06 - 0.03)</f>
        <v>0.56504294318104764</v>
      </c>
      <c r="H468" s="822">
        <f ca="1">H469 + (RAND() * 0.006 - 0.003)</f>
        <v>-1.3620495976653362E-4</v>
      </c>
      <c r="I468" s="822">
        <f ca="1">I469 + (RAND() * 0.006 - 0.003)</f>
        <v>-1.1719837572723381E-3</v>
      </c>
      <c r="J468" s="821">
        <f ca="1">J469 + (RAND() * 0.02 - 0.01)</f>
        <v>-7.4739979805669666E-3</v>
      </c>
      <c r="K468" s="821"/>
      <c r="L468" s="822"/>
      <c r="M468" s="821"/>
      <c r="N468" s="823"/>
      <c r="O468" s="823"/>
      <c r="P468" s="823"/>
      <c r="Q468" s="823"/>
      <c r="R468" s="839"/>
      <c r="S468" s="821"/>
      <c r="T468" s="821"/>
      <c r="U468" s="825"/>
      <c r="V468" s="826"/>
    </row>
    <row r="469" spans="1:32" ht="15" customHeight="1">
      <c r="A469" s="1435"/>
      <c r="B469" s="827">
        <f>B468</f>
        <v>0</v>
      </c>
      <c r="C469" s="828" t="s">
        <v>768</v>
      </c>
      <c r="D469" s="829" t="str">
        <f>IF(AC469=130, "130 × 130", IF(AC469=160, "160 × 160", IF(AC469=110, "110 × 110", "Value not 130, 160, or 110")))</f>
        <v>Value not 130, 160, or 110</v>
      </c>
      <c r="E469" s="830">
        <f>AD469</f>
        <v>0</v>
      </c>
      <c r="F469" s="831">
        <f ca="1">IF(X469 &gt; 0.1, RAND() * (0.1 - 0.06) + 0.06, X469)</f>
        <v>0</v>
      </c>
      <c r="G469" s="831">
        <f ca="1">IF(Y469 &lt; 0.5, 0.5 + RAND() * 0.1, Y469)</f>
        <v>0.53832090567303859</v>
      </c>
      <c r="H469" s="830">
        <f ca="1">IF(AB469&gt;0.04, 0.029 + (0.039-0.029)*RAND(), AB469)</f>
        <v>0</v>
      </c>
      <c r="I469" s="830">
        <f ca="1">IF(AA469&gt;0.04, 0.029 + (0.039-0.029)*RAND(), AA469)</f>
        <v>0</v>
      </c>
      <c r="J469" s="831">
        <f ca="1">IF(Z469&gt;0.15, 0.11 + (0.15-0.11) * RAND(), Z469)</f>
        <v>0</v>
      </c>
      <c r="K469" s="830">
        <f ca="1">0.004 + (RAND() * (0.001 - 0.004))</f>
        <v>1.8049389699093046E-3</v>
      </c>
      <c r="L469" s="830">
        <f ca="1">H469+I469</f>
        <v>0</v>
      </c>
      <c r="M469" s="831">
        <f ca="1">(G469/6)+F469</f>
        <v>8.9720150945506436E-2</v>
      </c>
      <c r="N469" s="831">
        <f ca="1">2 + RAND()</f>
        <v>2.9898751709610387</v>
      </c>
      <c r="O469" s="831">
        <f ca="1">1 + RAND()</f>
        <v>1.0943915711175936</v>
      </c>
      <c r="P469" s="831">
        <f ca="1">2.98 + (RAND() * (3.03 - 2.98))</f>
        <v>3.0262263575255797</v>
      </c>
      <c r="Q469" s="832" t="str">
        <f ca="1">IF(D469="130 × 130", (130 + RANDBETWEEN(-1,1)) &amp; " × " &amp; (130 + RANDBETWEEN(-1,1)),
   IF(D469="160 × 160", (160 + RANDBETWEEN(-1,1)) &amp; " × " &amp; (160 + RANDBETWEEN(-1,1)),
   IF(D469="110 × 110", (110 + RANDBETWEEN(-1,1)) &amp; " × " &amp; (110 + RANDBETWEEN(-1,1)),
   "Value not matched")))</f>
        <v>Value not matched</v>
      </c>
      <c r="R469" s="833" t="s">
        <v>213</v>
      </c>
      <c r="S469" s="834" t="str">
        <f ca="1">IF(G469&lt;0.6, "IS 14650 CPS 10748/GR2", "IS 14650 CPS 10748/GR3")</f>
        <v>IS 14650 CPS 10748/GR2</v>
      </c>
      <c r="T469" s="831" t="s">
        <v>769</v>
      </c>
      <c r="U469" s="825"/>
      <c r="V469" s="826"/>
      <c r="W469" s="206">
        <f>Prod.!B263</f>
        <v>0</v>
      </c>
      <c r="X469" s="469">
        <f>Prod.!C263</f>
        <v>0</v>
      </c>
      <c r="Y469" s="469">
        <f>Prod.!D263</f>
        <v>0</v>
      </c>
      <c r="Z469" s="469">
        <f>Prod.!E263</f>
        <v>0</v>
      </c>
      <c r="AA469" s="282">
        <f>Prod.!F263</f>
        <v>0</v>
      </c>
      <c r="AB469" s="282">
        <f>Prod.!G263</f>
        <v>0</v>
      </c>
      <c r="AC469" s="836">
        <f>Prod.!H263</f>
        <v>0</v>
      </c>
      <c r="AD469" s="282">
        <f>Prod.!AB263</f>
        <v>0</v>
      </c>
      <c r="AE469" s="282">
        <f>AD469-AF469</f>
        <v>0</v>
      </c>
      <c r="AF469" s="282">
        <f>Prod.!AA263</f>
        <v>0</v>
      </c>
    </row>
    <row r="470" spans="1:32" ht="15" customHeight="1">
      <c r="A470" s="1435">
        <v>9</v>
      </c>
      <c r="B470" s="818">
        <f>W471</f>
        <v>0</v>
      </c>
      <c r="C470" s="819" t="s">
        <v>765</v>
      </c>
      <c r="D470" s="822"/>
      <c r="E470" s="822"/>
      <c r="F470" s="821">
        <f ca="1">F471 + (RAND() * 0.02 - 0.01)</f>
        <v>5.1183340918239915E-3</v>
      </c>
      <c r="G470" s="821">
        <f ca="1">G471 + (RAND() * 0.06 - 0.03)</f>
        <v>0.51708961537120768</v>
      </c>
      <c r="H470" s="822">
        <f ca="1">H471 + (RAND() * 0.006 - 0.003)</f>
        <v>-2.6117685145823411E-3</v>
      </c>
      <c r="I470" s="822">
        <f ca="1">I471 + (RAND() * 0.006 - 0.003)</f>
        <v>-1.6347534800992189E-3</v>
      </c>
      <c r="J470" s="821">
        <f ca="1">J471 + (RAND() * 0.02 - 0.01)</f>
        <v>3.0748509772775458E-3</v>
      </c>
      <c r="K470" s="821"/>
      <c r="L470" s="822"/>
      <c r="M470" s="821"/>
      <c r="N470" s="823"/>
      <c r="O470" s="823"/>
      <c r="P470" s="823"/>
      <c r="Q470" s="823"/>
      <c r="R470" s="839"/>
      <c r="S470" s="821"/>
      <c r="T470" s="821"/>
      <c r="U470" s="825"/>
      <c r="V470" s="826"/>
    </row>
    <row r="471" spans="1:32" ht="15" customHeight="1">
      <c r="A471" s="1435"/>
      <c r="B471" s="827">
        <f>B470</f>
        <v>0</v>
      </c>
      <c r="C471" s="828" t="s">
        <v>768</v>
      </c>
      <c r="D471" s="829" t="str">
        <f>IF(AC471=130, "130 × 130", IF(AC471=160, "160 × 160", IF(AC471=110, "110 × 110", "Value not 130, 160, or 110")))</f>
        <v>Value not 130, 160, or 110</v>
      </c>
      <c r="E471" s="830">
        <f>AD471</f>
        <v>0</v>
      </c>
      <c r="F471" s="831">
        <f ca="1">IF(X471 &gt; 0.1, RAND() * (0.1 - 0.06) + 0.06, X471)</f>
        <v>0</v>
      </c>
      <c r="G471" s="831">
        <f ca="1">IF(Y471 &lt; 0.5, 0.5 + RAND() * 0.1, Y471)</f>
        <v>0.52457364817339847</v>
      </c>
      <c r="H471" s="830">
        <f ca="1">IF(AB471&gt;0.04, 0.029 + (0.039-0.029)*RAND(), AB471)</f>
        <v>0</v>
      </c>
      <c r="I471" s="830">
        <f ca="1">IF(AA471&gt;0.04, 0.029 + (0.039-0.029)*RAND(), AA471)</f>
        <v>0</v>
      </c>
      <c r="J471" s="831">
        <f ca="1">IF(Z471&gt;0.15, 0.11 + (0.15-0.11) * RAND(), Z471)</f>
        <v>0</v>
      </c>
      <c r="K471" s="830">
        <f ca="1">0.004 + (RAND() * (0.001 - 0.004))</f>
        <v>2.777971975885943E-3</v>
      </c>
      <c r="L471" s="830">
        <f ca="1">H471+I471</f>
        <v>0</v>
      </c>
      <c r="M471" s="831">
        <f ca="1">(G471/6)+F471</f>
        <v>8.7428941362233073E-2</v>
      </c>
      <c r="N471" s="831">
        <f ca="1">2 + RAND()</f>
        <v>2.2166810156308521</v>
      </c>
      <c r="O471" s="831">
        <f ca="1">1 + RAND()</f>
        <v>1.0655824551499791</v>
      </c>
      <c r="P471" s="831">
        <f ca="1">2.98 + (RAND() * (3.03 - 2.98))</f>
        <v>2.9925751044136195</v>
      </c>
      <c r="Q471" s="832" t="str">
        <f ca="1">IF(D471="130 × 130", (130 + RANDBETWEEN(-1,1)) &amp; " × " &amp; (130 + RANDBETWEEN(-1,1)),
   IF(D471="160 × 160", (160 + RANDBETWEEN(-1,1)) &amp; " × " &amp; (160 + RANDBETWEEN(-1,1)),
   IF(D471="110 × 110", (110 + RANDBETWEEN(-1,1)) &amp; " × " &amp; (110 + RANDBETWEEN(-1,1)),
   "Value not matched")))</f>
        <v>Value not matched</v>
      </c>
      <c r="R471" s="833" t="s">
        <v>213</v>
      </c>
      <c r="S471" s="834" t="str">
        <f ca="1">IF(G471&lt;0.6, "IS 14650 CPS 10748/GR2", "IS 14650 CPS 10748/GR3")</f>
        <v>IS 14650 CPS 10748/GR2</v>
      </c>
      <c r="T471" s="831" t="s">
        <v>769</v>
      </c>
      <c r="U471" s="825"/>
      <c r="V471" s="826"/>
      <c r="W471" s="206">
        <f>Prod.!B264</f>
        <v>0</v>
      </c>
      <c r="X471" s="469">
        <f>Prod.!C264</f>
        <v>0</v>
      </c>
      <c r="Y471" s="469">
        <f>Prod.!D264</f>
        <v>0</v>
      </c>
      <c r="Z471" s="469">
        <f>Prod.!E264</f>
        <v>0</v>
      </c>
      <c r="AA471" s="282">
        <f>Prod.!F264</f>
        <v>0</v>
      </c>
      <c r="AB471" s="282">
        <f>Prod.!G264</f>
        <v>0</v>
      </c>
      <c r="AC471" s="836">
        <f>Prod.!H264</f>
        <v>0</v>
      </c>
      <c r="AD471" s="282">
        <f>Prod.!AB264</f>
        <v>0</v>
      </c>
      <c r="AE471" s="282">
        <f>AD471-AF471</f>
        <v>0</v>
      </c>
      <c r="AF471" s="282">
        <f>Prod.!AA264</f>
        <v>0</v>
      </c>
    </row>
    <row r="472" spans="1:32" ht="15" customHeight="1">
      <c r="A472" s="1435">
        <v>10</v>
      </c>
      <c r="B472" s="818">
        <f>W473</f>
        <v>0</v>
      </c>
      <c r="C472" s="819" t="s">
        <v>765</v>
      </c>
      <c r="D472" s="822"/>
      <c r="E472" s="822"/>
      <c r="F472" s="821">
        <f ca="1">F473 + (RAND() * 0.02 - 0.01)</f>
        <v>2.1919113852131838E-3</v>
      </c>
      <c r="G472" s="821">
        <f ca="1">G473 + (RAND() * 0.06 - 0.03)</f>
        <v>0.55963726127933355</v>
      </c>
      <c r="H472" s="822">
        <f ca="1">H473 + (RAND() * 0.006 - 0.003)</f>
        <v>1.5866031669722683E-3</v>
      </c>
      <c r="I472" s="822">
        <f ca="1">I473 + (RAND() * 0.006 - 0.003)</f>
        <v>2.3251922689207054E-3</v>
      </c>
      <c r="J472" s="821">
        <f ca="1">J473 + (RAND() * 0.02 - 0.01)</f>
        <v>-9.4009003991059378E-3</v>
      </c>
      <c r="K472" s="821"/>
      <c r="L472" s="822"/>
      <c r="M472" s="821"/>
      <c r="N472" s="823"/>
      <c r="O472" s="823"/>
      <c r="P472" s="823"/>
      <c r="Q472" s="823"/>
      <c r="R472" s="839"/>
      <c r="S472" s="821"/>
      <c r="T472" s="821"/>
      <c r="U472" s="825"/>
      <c r="V472" s="826"/>
    </row>
    <row r="473" spans="1:32" ht="15" customHeight="1">
      <c r="A473" s="1435"/>
      <c r="B473" s="827">
        <f>B472</f>
        <v>0</v>
      </c>
      <c r="C473" s="828" t="s">
        <v>768</v>
      </c>
      <c r="D473" s="829" t="str">
        <f>IF(AC473=130, "130 × 130", IF(AC473=160, "160 × 160", IF(AC473=110, "110 × 110", "Value not 130, 160, or 110")))</f>
        <v>Value not 130, 160, or 110</v>
      </c>
      <c r="E473" s="830">
        <f>AD473</f>
        <v>0</v>
      </c>
      <c r="F473" s="831">
        <f ca="1">IF(X473 &gt; 0.1, RAND() * (0.1 - 0.06) + 0.06, X473)</f>
        <v>0</v>
      </c>
      <c r="G473" s="831">
        <f ca="1">IF(Y473 &lt; 0.5, 0.5 + RAND() * 0.1, Y473)</f>
        <v>0.57691916830133683</v>
      </c>
      <c r="H473" s="830">
        <f ca="1">IF(AB473&gt;0.04, 0.029 + (0.039-0.029)*RAND(), AB473)</f>
        <v>0</v>
      </c>
      <c r="I473" s="830">
        <f ca="1">IF(AA473&gt;0.04, 0.029 + (0.039-0.029)*RAND(), AA473)</f>
        <v>0</v>
      </c>
      <c r="J473" s="831">
        <f ca="1">IF(Z473&gt;0.15, 0.11 + (0.15-0.11) * RAND(), Z473)</f>
        <v>0</v>
      </c>
      <c r="K473" s="830">
        <f ca="1">0.004 + (RAND() * (0.001 - 0.004))</f>
        <v>1.2714415060154239E-3</v>
      </c>
      <c r="L473" s="830">
        <f ca="1">H473+I473</f>
        <v>0</v>
      </c>
      <c r="M473" s="831">
        <f ca="1">(G473/6)+F473</f>
        <v>9.6153194716889476E-2</v>
      </c>
      <c r="N473" s="831">
        <f ca="1">2 + RAND()</f>
        <v>2.0050359931673274</v>
      </c>
      <c r="O473" s="831">
        <f ca="1">1 + RAND()</f>
        <v>1.480042992054512</v>
      </c>
      <c r="P473" s="831">
        <f ca="1">2.98 + (RAND() * (3.03 - 2.98))</f>
        <v>2.992412368246725</v>
      </c>
      <c r="Q473" s="832" t="str">
        <f ca="1">IF(D473="130 × 130", (130 + RANDBETWEEN(-1,1)) &amp; " × " &amp; (130 + RANDBETWEEN(-1,1)),
   IF(D473="160 × 160", (160 + RANDBETWEEN(-1,1)) &amp; " × " &amp; (160 + RANDBETWEEN(-1,1)),
   IF(D473="110 × 110", (110 + RANDBETWEEN(-1,1)) &amp; " × " &amp; (110 + RANDBETWEEN(-1,1)),
   "Value not matched")))</f>
        <v>Value not matched</v>
      </c>
      <c r="R473" s="833" t="s">
        <v>213</v>
      </c>
      <c r="S473" s="834" t="str">
        <f ca="1">IF(G473&lt;0.6, "IS 14650 CPS 10748/GR2", "IS 14650 CPS 10748/GR3")</f>
        <v>IS 14650 CPS 10748/GR2</v>
      </c>
      <c r="T473" s="831" t="s">
        <v>769</v>
      </c>
      <c r="U473" s="825"/>
      <c r="V473" s="826"/>
      <c r="W473" s="206">
        <f>Prod.!B265</f>
        <v>0</v>
      </c>
      <c r="X473" s="469">
        <f>Prod.!C265</f>
        <v>0</v>
      </c>
      <c r="Y473" s="469">
        <f>Prod.!D265</f>
        <v>0</v>
      </c>
      <c r="Z473" s="469">
        <f>Prod.!E265</f>
        <v>0</v>
      </c>
      <c r="AA473" s="282">
        <f>Prod.!F265</f>
        <v>0</v>
      </c>
      <c r="AB473" s="282">
        <f>Prod.!G265</f>
        <v>0</v>
      </c>
      <c r="AC473" s="836">
        <f>Prod.!H265</f>
        <v>0</v>
      </c>
      <c r="AD473" s="282">
        <f>Prod.!AB265</f>
        <v>0</v>
      </c>
      <c r="AE473" s="282">
        <f>AD473-AF473</f>
        <v>0</v>
      </c>
      <c r="AF473" s="282">
        <f>Prod.!AA265</f>
        <v>0</v>
      </c>
    </row>
    <row r="474" spans="1:32" ht="15" customHeight="1">
      <c r="A474" s="1435">
        <v>11</v>
      </c>
      <c r="B474" s="818">
        <f>W475</f>
        <v>0</v>
      </c>
      <c r="C474" s="819" t="s">
        <v>765</v>
      </c>
      <c r="D474" s="822"/>
      <c r="E474" s="822"/>
      <c r="F474" s="821">
        <f ca="1">F475 + (RAND() * 0.02 - 0.01)</f>
        <v>-7.4080530125140267E-3</v>
      </c>
      <c r="G474" s="821">
        <f ca="1">G475 + (RAND() * 0.06 - 0.03)</f>
        <v>0.48998357360422168</v>
      </c>
      <c r="H474" s="822">
        <f ca="1">H475 + (RAND() * 0.006 - 0.003)</f>
        <v>-4.598417306568266E-4</v>
      </c>
      <c r="I474" s="822">
        <f ca="1">I475 + (RAND() * 0.006 - 0.003)</f>
        <v>1.3578624795840951E-3</v>
      </c>
      <c r="J474" s="821">
        <f ca="1">J475 + (RAND() * 0.02 - 0.01)</f>
        <v>7.7822646835560075E-4</v>
      </c>
      <c r="K474" s="821"/>
      <c r="L474" s="822"/>
      <c r="M474" s="821"/>
      <c r="N474" s="823"/>
      <c r="O474" s="823"/>
      <c r="P474" s="823"/>
      <c r="Q474" s="823"/>
      <c r="R474" s="839"/>
      <c r="S474" s="821"/>
      <c r="T474" s="821"/>
      <c r="U474" s="825"/>
      <c r="V474" s="826"/>
    </row>
    <row r="475" spans="1:32" ht="15" customHeight="1">
      <c r="A475" s="1435"/>
      <c r="B475" s="827">
        <f>B474</f>
        <v>0</v>
      </c>
      <c r="C475" s="828" t="s">
        <v>768</v>
      </c>
      <c r="D475" s="829" t="str">
        <f>IF(AC475=130, "130 × 130", IF(AC475=160, "160 × 160", IF(AC475=110, "110 × 110", "Value not 130, 160, or 110")))</f>
        <v>Value not 130, 160, or 110</v>
      </c>
      <c r="E475" s="830">
        <f>AD475</f>
        <v>0</v>
      </c>
      <c r="F475" s="831">
        <f ca="1">IF(X475 &gt; 0.1, RAND() * (0.1 - 0.06) + 0.06, X475)</f>
        <v>0</v>
      </c>
      <c r="G475" s="831">
        <f ca="1">IF(Y475 &lt; 0.5, 0.5 + RAND() * 0.1, Y475)</f>
        <v>0.50087591040524071</v>
      </c>
      <c r="H475" s="830">
        <f ca="1">IF(AB475&gt;0.04, 0.029 + (0.039-0.029)*RAND(), AB475)</f>
        <v>0</v>
      </c>
      <c r="I475" s="830">
        <f ca="1">IF(AA475&gt;0.04, 0.029 + (0.039-0.029)*RAND(), AA475)</f>
        <v>0</v>
      </c>
      <c r="J475" s="831">
        <f ca="1">IF(Z475&gt;0.15, 0.11 + (0.15-0.11) * RAND(), Z475)</f>
        <v>0</v>
      </c>
      <c r="K475" s="830">
        <f ca="1">0.004 + (RAND() * (0.001 - 0.004))</f>
        <v>3.6642823849525083E-3</v>
      </c>
      <c r="L475" s="830">
        <f ca="1">H475+I475</f>
        <v>0</v>
      </c>
      <c r="M475" s="831">
        <f ca="1">(G475/6)+F475</f>
        <v>8.3479318400873456E-2</v>
      </c>
      <c r="N475" s="831">
        <f ca="1">2 + RAND()</f>
        <v>2.1716104789812656</v>
      </c>
      <c r="O475" s="831">
        <f ca="1">1 + RAND()</f>
        <v>1.1666400640457089</v>
      </c>
      <c r="P475" s="831">
        <f ca="1">2.98 + (RAND() * (3.03 - 2.98))</f>
        <v>3.0140767238359678</v>
      </c>
      <c r="Q475" s="832" t="str">
        <f ca="1">IF(D475="130 × 130", (130 + RANDBETWEEN(-1,1)) &amp; " × " &amp; (130 + RANDBETWEEN(-1,1)),
   IF(D475="160 × 160", (160 + RANDBETWEEN(-1,1)) &amp; " × " &amp; (160 + RANDBETWEEN(-1,1)),
   IF(D475="110 × 110", (110 + RANDBETWEEN(-1,1)) &amp; " × " &amp; (110 + RANDBETWEEN(-1,1)),
   "Value not matched")))</f>
        <v>Value not matched</v>
      </c>
      <c r="R475" s="833" t="s">
        <v>213</v>
      </c>
      <c r="S475" s="834" t="str">
        <f ca="1">IF(G475&lt;0.6, "IS 14650 CPS 10748/GR2", "IS 14650 CPS 10748/GR3")</f>
        <v>IS 14650 CPS 10748/GR2</v>
      </c>
      <c r="T475" s="831" t="s">
        <v>769</v>
      </c>
      <c r="U475" s="825"/>
      <c r="V475" s="826"/>
      <c r="W475" s="206">
        <f>Prod.!B266</f>
        <v>0</v>
      </c>
      <c r="X475" s="469">
        <f>Prod.!C266</f>
        <v>0</v>
      </c>
      <c r="Y475" s="469">
        <f>Prod.!D266</f>
        <v>0</v>
      </c>
      <c r="Z475" s="469">
        <f>Prod.!E266</f>
        <v>0</v>
      </c>
      <c r="AA475" s="282">
        <f>Prod.!F266</f>
        <v>0</v>
      </c>
      <c r="AB475" s="282">
        <f>Prod.!G266</f>
        <v>0</v>
      </c>
      <c r="AC475" s="836">
        <f>Prod.!H266</f>
        <v>0</v>
      </c>
      <c r="AD475" s="282">
        <f>Prod.!AB266</f>
        <v>0</v>
      </c>
      <c r="AE475" s="282">
        <f>AD475-AF475</f>
        <v>0</v>
      </c>
      <c r="AF475" s="282">
        <f>Prod.!AA266</f>
        <v>0</v>
      </c>
    </row>
    <row r="476" spans="1:32" ht="15" customHeight="1">
      <c r="A476" s="1435">
        <v>12</v>
      </c>
      <c r="B476" s="818">
        <f>W477</f>
        <v>0</v>
      </c>
      <c r="C476" s="819" t="s">
        <v>765</v>
      </c>
      <c r="D476" s="822"/>
      <c r="E476" s="822"/>
      <c r="F476" s="821">
        <f ca="1">F477 + (RAND() * 0.02 - 0.01)</f>
        <v>3.1977931597479501E-3</v>
      </c>
      <c r="G476" s="821">
        <f ca="1">G477 + (RAND() * 0.06 - 0.03)</f>
        <v>0.53621194827618179</v>
      </c>
      <c r="H476" s="822">
        <f ca="1">H477 + (RAND() * 0.006 - 0.003)</f>
        <v>2.693694057864307E-3</v>
      </c>
      <c r="I476" s="822">
        <f ca="1">I477 + (RAND() * 0.006 - 0.003)</f>
        <v>3.8991009227083446E-5</v>
      </c>
      <c r="J476" s="821">
        <f ca="1">J477 + (RAND() * 0.02 - 0.01)</f>
        <v>-9.4901499913555495E-3</v>
      </c>
      <c r="K476" s="821"/>
      <c r="L476" s="822"/>
      <c r="M476" s="821"/>
      <c r="N476" s="823"/>
      <c r="O476" s="823"/>
      <c r="P476" s="823"/>
      <c r="Q476" s="823"/>
      <c r="R476" s="839"/>
      <c r="S476" s="821"/>
      <c r="T476" s="821"/>
      <c r="U476" s="825"/>
      <c r="V476" s="826"/>
    </row>
    <row r="477" spans="1:32" ht="15" customHeight="1">
      <c r="A477" s="1435"/>
      <c r="B477" s="827">
        <f>B476</f>
        <v>0</v>
      </c>
      <c r="C477" s="828" t="s">
        <v>768</v>
      </c>
      <c r="D477" s="829" t="str">
        <f>IF(AC477=130, "130 × 130", IF(AC477=160, "160 × 160", IF(AC477=110, "110 × 110", "Value not 130, 160, or 110")))</f>
        <v>Value not 130, 160, or 110</v>
      </c>
      <c r="E477" s="830">
        <f>AD477</f>
        <v>0</v>
      </c>
      <c r="F477" s="831">
        <f ca="1">IF(X477 &gt; 0.1, RAND() * (0.1 - 0.06) + 0.06, X477)</f>
        <v>0</v>
      </c>
      <c r="G477" s="831">
        <f ca="1">IF(Y477 &lt; 0.5, 0.5 + RAND() * 0.1, Y477)</f>
        <v>0.52318749683358734</v>
      </c>
      <c r="H477" s="830">
        <f ca="1">IF(AB477&gt;0.04, 0.029 + (0.039-0.029)*RAND(), AB477)</f>
        <v>0</v>
      </c>
      <c r="I477" s="830">
        <f ca="1">IF(AA477&gt;0.04, 0.029 + (0.039-0.029)*RAND(), AA477)</f>
        <v>0</v>
      </c>
      <c r="J477" s="831">
        <f ca="1">IF(Z477&gt;0.15, 0.11 + (0.15-0.11) * RAND(), Z477)</f>
        <v>0</v>
      </c>
      <c r="K477" s="830">
        <f ca="1">0.004 + (RAND() * (0.001 - 0.004))</f>
        <v>2.809498871658698E-3</v>
      </c>
      <c r="L477" s="830">
        <f ca="1">H477+I477</f>
        <v>0</v>
      </c>
      <c r="M477" s="831">
        <f ca="1">(G477/6)+F477</f>
        <v>8.7197916138931228E-2</v>
      </c>
      <c r="N477" s="831">
        <f ca="1">2 + RAND()</f>
        <v>2.2777504281218386</v>
      </c>
      <c r="O477" s="831">
        <f ca="1">1 + RAND()</f>
        <v>1.2305083036912503</v>
      </c>
      <c r="P477" s="831">
        <f ca="1">2.98 + (RAND() * (3.03 - 2.98))</f>
        <v>2.9961073323052387</v>
      </c>
      <c r="Q477" s="832" t="str">
        <f ca="1">IF(D477="130 × 130", (130 + RANDBETWEEN(-1,1)) &amp; " × " &amp; (130 + RANDBETWEEN(-1,1)),
   IF(D477="160 × 160", (160 + RANDBETWEEN(-1,1)) &amp; " × " &amp; (160 + RANDBETWEEN(-1,1)),
   IF(D477="110 × 110", (110 + RANDBETWEEN(-1,1)) &amp; " × " &amp; (110 + RANDBETWEEN(-1,1)),
   "Value not matched")))</f>
        <v>Value not matched</v>
      </c>
      <c r="R477" s="833" t="s">
        <v>213</v>
      </c>
      <c r="S477" s="834" t="str">
        <f ca="1">IF(G477&lt;0.6, "IS 14650 CPS 10748/GR2", "IS 14650 CPS 10748/GR3")</f>
        <v>IS 14650 CPS 10748/GR2</v>
      </c>
      <c r="T477" s="831" t="s">
        <v>769</v>
      </c>
      <c r="U477" s="825"/>
      <c r="V477" s="826"/>
      <c r="W477" s="206">
        <f>Prod.!B267</f>
        <v>0</v>
      </c>
      <c r="X477" s="469">
        <f>Prod.!C267</f>
        <v>0</v>
      </c>
      <c r="Y477" s="469">
        <f>Prod.!D267</f>
        <v>0</v>
      </c>
      <c r="Z477" s="469">
        <f>Prod.!E267</f>
        <v>0</v>
      </c>
      <c r="AA477" s="282">
        <f>Prod.!F267</f>
        <v>0</v>
      </c>
      <c r="AB477" s="282">
        <f>Prod.!G267</f>
        <v>0</v>
      </c>
      <c r="AC477" s="836">
        <f>Prod.!H267</f>
        <v>0</v>
      </c>
      <c r="AD477" s="282">
        <f>Prod.!AB267</f>
        <v>0</v>
      </c>
      <c r="AE477" s="282">
        <f>AD477-AF477</f>
        <v>0</v>
      </c>
      <c r="AF477" s="282">
        <f>Prod.!AA267</f>
        <v>0</v>
      </c>
    </row>
    <row r="478" spans="1:32" ht="15" customHeight="1">
      <c r="A478" s="1435"/>
      <c r="B478" s="818"/>
      <c r="C478" s="819"/>
      <c r="D478" s="822"/>
      <c r="E478" s="822"/>
      <c r="F478" s="821"/>
      <c r="G478" s="821"/>
      <c r="H478" s="840"/>
      <c r="I478" s="840"/>
      <c r="J478" s="821"/>
      <c r="K478" s="821"/>
      <c r="L478" s="822"/>
      <c r="M478" s="838"/>
      <c r="N478" s="821"/>
      <c r="O478" s="821"/>
      <c r="P478" s="821"/>
      <c r="Q478" s="821"/>
      <c r="R478" s="839"/>
      <c r="S478" s="841"/>
      <c r="T478" s="821"/>
      <c r="U478" s="825"/>
      <c r="V478" s="826"/>
    </row>
    <row r="479" spans="1:32" ht="15" customHeight="1">
      <c r="A479" s="1435"/>
      <c r="B479" s="827"/>
      <c r="C479" s="828"/>
      <c r="D479" s="842"/>
      <c r="E479" s="830"/>
      <c r="F479" s="831"/>
      <c r="G479" s="831"/>
      <c r="H479" s="843"/>
      <c r="I479" s="843"/>
      <c r="J479" s="831"/>
      <c r="K479" s="831"/>
      <c r="L479" s="830"/>
      <c r="M479" s="831"/>
      <c r="N479" s="831"/>
      <c r="O479" s="831"/>
      <c r="P479" s="831"/>
      <c r="Q479" s="831"/>
      <c r="R479" s="833"/>
      <c r="S479" s="834"/>
      <c r="T479" s="831"/>
      <c r="U479" s="825"/>
      <c r="V479" s="826"/>
    </row>
    <row r="480" spans="1:32" ht="15" customHeight="1">
      <c r="A480" s="180"/>
      <c r="B480" s="180"/>
      <c r="C480" s="180" t="s">
        <v>770</v>
      </c>
      <c r="D480" s="395"/>
      <c r="E480" s="844">
        <f>SUM(E454:E477)</f>
        <v>0</v>
      </c>
      <c r="F480" s="180"/>
      <c r="G480" s="180"/>
      <c r="H480" s="844"/>
      <c r="I480" s="180"/>
      <c r="J480" s="845"/>
      <c r="K480" s="845"/>
      <c r="L480" s="180"/>
      <c r="M480" s="845"/>
      <c r="N480" s="180"/>
      <c r="O480" s="180"/>
      <c r="P480" s="180"/>
      <c r="Q480" s="180"/>
      <c r="R480" s="263"/>
      <c r="S480" s="180"/>
      <c r="T480" s="180"/>
    </row>
    <row r="481" spans="1:32" ht="28.5" customHeight="1">
      <c r="A481" s="1436" t="s">
        <v>746</v>
      </c>
      <c r="B481" s="1436"/>
      <c r="C481" s="1436"/>
      <c r="D481" s="1436"/>
      <c r="E481" s="1436"/>
      <c r="F481" s="1436"/>
      <c r="G481" s="1436"/>
      <c r="H481" s="1436"/>
      <c r="I481" s="1436"/>
      <c r="J481" s="1436"/>
      <c r="K481" s="1436"/>
      <c r="L481" s="1436"/>
      <c r="M481" s="1436"/>
      <c r="N481" s="1436"/>
      <c r="O481" s="1436"/>
      <c r="P481" s="1436"/>
      <c r="Q481" s="1436"/>
      <c r="R481" s="1436"/>
      <c r="S481" s="1436"/>
      <c r="T481" s="1436"/>
      <c r="U481" s="515"/>
      <c r="V481" s="846"/>
    </row>
    <row r="482" spans="1:32" ht="15" customHeight="1">
      <c r="A482" s="1437" t="s">
        <v>747</v>
      </c>
      <c r="B482" s="1437"/>
      <c r="C482" s="1437"/>
      <c r="D482" s="1437"/>
      <c r="E482" s="1437"/>
      <c r="F482" s="1437"/>
      <c r="G482" s="1437"/>
      <c r="H482" s="1437"/>
      <c r="I482" s="1437"/>
      <c r="J482" s="1437"/>
      <c r="K482" s="1437"/>
      <c r="L482" s="1437"/>
      <c r="M482" s="1437"/>
      <c r="N482" s="1437"/>
      <c r="O482" s="1437"/>
      <c r="P482" s="1437"/>
      <c r="Q482" s="1437"/>
      <c r="R482" s="1437"/>
      <c r="S482" s="1437"/>
      <c r="T482" s="1437"/>
      <c r="U482" s="806"/>
      <c r="V482" s="807"/>
    </row>
    <row r="483" spans="1:32" ht="15" customHeight="1">
      <c r="A483" s="1438" t="str">
        <f>"DATE OF MANUFACTURING : " &amp; TEXT(V487, "DD-MM-YYYY")</f>
        <v>DATE OF MANUFACTURING : 00-01-1900</v>
      </c>
      <c r="B483" s="1438"/>
      <c r="C483" s="1438"/>
      <c r="D483" s="1438"/>
      <c r="E483" s="1438"/>
      <c r="F483" s="1438"/>
      <c r="G483" s="1438"/>
      <c r="H483" s="1438"/>
      <c r="I483" s="1438"/>
      <c r="J483" s="1438"/>
      <c r="K483" s="1438"/>
      <c r="L483" s="1438"/>
      <c r="M483" s="1438"/>
      <c r="N483" s="1437" t="s">
        <v>748</v>
      </c>
      <c r="O483" s="1437"/>
      <c r="P483" s="1437"/>
      <c r="Q483" s="1437"/>
      <c r="R483" s="1437"/>
      <c r="S483" s="1437"/>
      <c r="T483" s="1437"/>
      <c r="U483" s="808"/>
      <c r="V483" s="809"/>
    </row>
    <row r="484" spans="1:32" ht="29.25" customHeight="1">
      <c r="A484" s="1439" t="s">
        <v>749</v>
      </c>
      <c r="B484" s="1440" t="s">
        <v>750</v>
      </c>
      <c r="C484" s="1440"/>
      <c r="D484" s="1440" t="s">
        <v>751</v>
      </c>
      <c r="E484" s="1441" t="s">
        <v>752</v>
      </c>
      <c r="F484" s="1442" t="s">
        <v>753</v>
      </c>
      <c r="G484" s="1442"/>
      <c r="H484" s="1442"/>
      <c r="I484" s="1442"/>
      <c r="J484" s="1442"/>
      <c r="K484" s="1442"/>
      <c r="L484" s="1442"/>
      <c r="M484" s="1442"/>
      <c r="N484" s="1442" t="s">
        <v>754</v>
      </c>
      <c r="O484" s="1442"/>
      <c r="P484" s="1442"/>
      <c r="Q484" s="1442"/>
      <c r="R484" s="1443" t="s">
        <v>771</v>
      </c>
      <c r="S484" s="1441" t="s">
        <v>756</v>
      </c>
      <c r="T484" s="1440" t="s">
        <v>104</v>
      </c>
      <c r="U484" s="810"/>
      <c r="V484" s="811"/>
    </row>
    <row r="485" spans="1:32" ht="42.75" customHeight="1">
      <c r="A485" s="1439"/>
      <c r="B485" s="1440"/>
      <c r="C485" s="1440"/>
      <c r="D485" s="1440"/>
      <c r="E485" s="1440"/>
      <c r="F485" s="812" t="s">
        <v>40</v>
      </c>
      <c r="G485" s="812" t="s">
        <v>757</v>
      </c>
      <c r="H485" s="813" t="s">
        <v>758</v>
      </c>
      <c r="I485" s="812" t="s">
        <v>43</v>
      </c>
      <c r="J485" s="812" t="s">
        <v>42</v>
      </c>
      <c r="K485" s="812" t="s">
        <v>759</v>
      </c>
      <c r="L485" s="812" t="s">
        <v>760</v>
      </c>
      <c r="M485" s="812" t="s">
        <v>761</v>
      </c>
      <c r="N485" s="814" t="s">
        <v>762</v>
      </c>
      <c r="O485" s="815" t="s">
        <v>772</v>
      </c>
      <c r="P485" s="816" t="s">
        <v>773</v>
      </c>
      <c r="Q485" s="817" t="s">
        <v>764</v>
      </c>
      <c r="R485" s="1443"/>
      <c r="S485" s="1443"/>
      <c r="T485" s="1443"/>
      <c r="U485" s="810"/>
      <c r="V485" s="811"/>
    </row>
    <row r="486" spans="1:32" ht="15" customHeight="1">
      <c r="A486" s="1435">
        <v>1</v>
      </c>
      <c r="B486" s="818">
        <f>W487</f>
        <v>0</v>
      </c>
      <c r="C486" s="819" t="s">
        <v>765</v>
      </c>
      <c r="D486" s="820"/>
      <c r="E486" s="821"/>
      <c r="F486" s="821">
        <f ca="1">F487 + (RAND() * 0.02 - 0.01)</f>
        <v>7.6906682636477229E-4</v>
      </c>
      <c r="G486" s="821">
        <f ca="1">G487 + (RAND() * 0.06 - 0.03)</f>
        <v>0.58752110331916185</v>
      </c>
      <c r="H486" s="822">
        <f ca="1">H487 + (RAND() * 0.006 - 0.003)</f>
        <v>7.4873404273080721E-4</v>
      </c>
      <c r="I486" s="822">
        <f ca="1">I487 + (RAND() * 0.006 - 0.003)</f>
        <v>-2.3974632517593754E-3</v>
      </c>
      <c r="J486" s="821">
        <f ca="1">J487 + (RAND() * 0.02 - 0.01)</f>
        <v>6.8316218964645289E-3</v>
      </c>
      <c r="K486" s="821"/>
      <c r="L486" s="822"/>
      <c r="M486" s="821"/>
      <c r="N486" s="823"/>
      <c r="O486" s="823"/>
      <c r="P486" s="823"/>
      <c r="Q486" s="823"/>
      <c r="R486" s="824"/>
      <c r="S486" s="821"/>
      <c r="T486" s="821"/>
      <c r="U486" s="825"/>
      <c r="V486" s="826"/>
      <c r="AE486" t="s">
        <v>767</v>
      </c>
    </row>
    <row r="487" spans="1:32" ht="15" customHeight="1">
      <c r="A487" s="1435"/>
      <c r="B487" s="827">
        <f>B486</f>
        <v>0</v>
      </c>
      <c r="C487" s="828" t="s">
        <v>768</v>
      </c>
      <c r="D487" s="829" t="str">
        <f>IF(AC487=130, "130 × 130", IF(AC487=160, "160 × 160", IF(AC487=110, "110 × 110", "Value not 130, 160, or 110")))</f>
        <v>Value not 130, 160, or 110</v>
      </c>
      <c r="E487" s="830">
        <f>AD487</f>
        <v>0</v>
      </c>
      <c r="F487" s="831">
        <f ca="1">IF(X487 &gt; 0.1, RAND() * (0.1 - 0.06) + 0.06, X487)</f>
        <v>0</v>
      </c>
      <c r="G487" s="831">
        <f ca="1">IF(Y487 &lt; 0.5, 0.5 + RAND() * 0.1, Y487)</f>
        <v>0.55949268961042098</v>
      </c>
      <c r="H487" s="830">
        <f ca="1">IF(AB487&gt;0.04, 0.029 + (0.039-0.029)*RAND(), AB487)</f>
        <v>0</v>
      </c>
      <c r="I487" s="830">
        <f ca="1">IF(AA487&gt;0.04, 0.029 + (0.039-0.029)*RAND(), AA487)</f>
        <v>0</v>
      </c>
      <c r="J487" s="831">
        <f ca="1">IF(Z487&gt;0.15, 0.11 + (0.15-0.11) * RAND(), Z487)</f>
        <v>0</v>
      </c>
      <c r="K487" s="830">
        <f ca="1">0.004 + (RAND() * (0.001 - 0.004))</f>
        <v>2.5740829850133709E-3</v>
      </c>
      <c r="L487" s="830">
        <f ca="1">H487+I487</f>
        <v>0</v>
      </c>
      <c r="M487" s="831">
        <f ca="1">(G487/6)+F487</f>
        <v>9.324878160173683E-2</v>
      </c>
      <c r="N487" s="831">
        <f ca="1">2 + RAND()</f>
        <v>2.2793006972147345</v>
      </c>
      <c r="O487" s="831">
        <f ca="1">1 + RAND()</f>
        <v>1.0184391071037349</v>
      </c>
      <c r="P487" s="831">
        <f ca="1">2.98 + (RAND() * (3.03 - 2.98))</f>
        <v>2.9935281751590974</v>
      </c>
      <c r="Q487" s="832" t="str">
        <f ca="1">IF(D487="130 × 130", (130 + RANDBETWEEN(-1,1)) &amp; " × " &amp; (130 + RANDBETWEEN(-1,1)),
   IF(D487="160 × 160", (160 + RANDBETWEEN(-1,1)) &amp; " × " &amp; (160 + RANDBETWEEN(-1,1)),
   IF(D487="110 × 110", (110 + RANDBETWEEN(-1,1)) &amp; " × " &amp; (110 + RANDBETWEEN(-1,1)),
   "Value not matched")))</f>
        <v>Value not matched</v>
      </c>
      <c r="R487" s="833" t="s">
        <v>213</v>
      </c>
      <c r="S487" s="834" t="str">
        <f ca="1">IF(G487&lt;0.6, "IS 14650 CPS 10748/GR2", "IS 14650 CPS 10748/GR3")</f>
        <v>IS 14650 CPS 10748/GR2</v>
      </c>
      <c r="T487" s="831" t="s">
        <v>769</v>
      </c>
      <c r="U487" s="825"/>
      <c r="V487" s="835">
        <f>Prod.!A274</f>
        <v>0</v>
      </c>
      <c r="W487" s="206">
        <f>Prod.!B274</f>
        <v>0</v>
      </c>
      <c r="X487" s="469">
        <f>Prod.!C274</f>
        <v>0</v>
      </c>
      <c r="Y487" s="469">
        <f>Prod.!D274</f>
        <v>0</v>
      </c>
      <c r="Z487" s="469">
        <f>Prod.!E274</f>
        <v>0</v>
      </c>
      <c r="AA487" s="282">
        <f>Prod.!F274</f>
        <v>0</v>
      </c>
      <c r="AB487" s="282">
        <f>Prod.!G274</f>
        <v>0</v>
      </c>
      <c r="AC487" s="836">
        <f>Prod.!H274</f>
        <v>0</v>
      </c>
      <c r="AD487" s="282">
        <f>Prod.!AB274</f>
        <v>0</v>
      </c>
      <c r="AE487" s="282">
        <f>AD487-AF487</f>
        <v>0</v>
      </c>
      <c r="AF487" s="282">
        <f>Prod.!AA274</f>
        <v>0</v>
      </c>
    </row>
    <row r="488" spans="1:32" ht="15" customHeight="1">
      <c r="A488" s="1435">
        <v>2</v>
      </c>
      <c r="B488" s="818">
        <f>W489</f>
        <v>0</v>
      </c>
      <c r="C488" s="819" t="s">
        <v>765</v>
      </c>
      <c r="D488" s="822"/>
      <c r="E488" s="822"/>
      <c r="F488" s="821">
        <f ca="1">F489 + (RAND() * 0.02 - 0.01)</f>
        <v>-4.0317844860986883E-3</v>
      </c>
      <c r="G488" s="821">
        <f ca="1">G489 + (RAND() * 0.06 - 0.03)</f>
        <v>0.62659320942368257</v>
      </c>
      <c r="H488" s="822">
        <f ca="1">H489 + (RAND() * 0.006 - 0.003)</f>
        <v>-7.4539281650474196E-4</v>
      </c>
      <c r="I488" s="822">
        <f ca="1">I489 + (RAND() * 0.006 - 0.003)</f>
        <v>-2.8493131088515051E-4</v>
      </c>
      <c r="J488" s="821">
        <f ca="1">J489 + (RAND() * 0.02 - 0.01)</f>
        <v>6.5932830717046597E-3</v>
      </c>
      <c r="K488" s="821"/>
      <c r="L488" s="822"/>
      <c r="M488" s="821"/>
      <c r="N488" s="823"/>
      <c r="O488" s="823"/>
      <c r="P488" s="823"/>
      <c r="Q488" s="823"/>
      <c r="R488" s="837"/>
      <c r="S488" s="821"/>
      <c r="T488" s="838"/>
      <c r="U488" s="825"/>
      <c r="V488" s="826"/>
    </row>
    <row r="489" spans="1:32" ht="15" customHeight="1">
      <c r="A489" s="1435"/>
      <c r="B489" s="827">
        <f>B488</f>
        <v>0</v>
      </c>
      <c r="C489" s="828" t="s">
        <v>768</v>
      </c>
      <c r="D489" s="829" t="str">
        <f>IF(AC489=130, "130 × 130", IF(AC489=160, "160 × 160", IF(AC489=110, "110 × 110", "Value not 130, 160, or 110")))</f>
        <v>Value not 130, 160, or 110</v>
      </c>
      <c r="E489" s="830">
        <f>AD489</f>
        <v>0</v>
      </c>
      <c r="F489" s="831">
        <f ca="1">IF(X489 &gt; 0.1, RAND() * (0.1 - 0.06) + 0.06, X489)</f>
        <v>0</v>
      </c>
      <c r="G489" s="831">
        <f ca="1">IF(Y489 &lt; 0.5, 0.5 + RAND() * 0.1, Y489)</f>
        <v>0.59912725532079858</v>
      </c>
      <c r="H489" s="830">
        <f ca="1">IF(AB489&gt;0.04, 0.029 + (0.039-0.029)*RAND(), AB489)</f>
        <v>0</v>
      </c>
      <c r="I489" s="830">
        <f ca="1">IF(AA489&gt;0.04, 0.029 + (0.039-0.029)*RAND(), AA489)</f>
        <v>0</v>
      </c>
      <c r="J489" s="831">
        <f ca="1">IF(Z489&gt;0.15, 0.11 + (0.15-0.11) * RAND(), Z489)</f>
        <v>0</v>
      </c>
      <c r="K489" s="830">
        <f ca="1">0.004 + (RAND() * (0.001 - 0.004))</f>
        <v>2.2498617092162505E-3</v>
      </c>
      <c r="L489" s="830">
        <f ca="1">H489+I489</f>
        <v>0</v>
      </c>
      <c r="M489" s="831">
        <f ca="1">(G489/6)+F489</f>
        <v>9.985454255346643E-2</v>
      </c>
      <c r="N489" s="831">
        <f ca="1">2 + RAND()</f>
        <v>2.4345231252452777</v>
      </c>
      <c r="O489" s="831">
        <f ca="1">1 + RAND()</f>
        <v>1.9861095831325395</v>
      </c>
      <c r="P489" s="831">
        <f ca="1">2.98 + (RAND() * (3.03 - 2.98))</f>
        <v>2.9819457203090711</v>
      </c>
      <c r="Q489" s="832" t="str">
        <f ca="1">IF(D489="130 × 130", (130 + RANDBETWEEN(-1,1)) &amp; " × " &amp; (130 + RANDBETWEEN(-1,1)),
   IF(D489="160 × 160", (160 + RANDBETWEEN(-1,1)) &amp; " × " &amp; (160 + RANDBETWEEN(-1,1)),
   IF(D489="110 × 110", (110 + RANDBETWEEN(-1,1)) &amp; " × " &amp; (110 + RANDBETWEEN(-1,1)),
   "Value not matched")))</f>
        <v>Value not matched</v>
      </c>
      <c r="R489" s="833" t="s">
        <v>213</v>
      </c>
      <c r="S489" s="834" t="str">
        <f ca="1">IF(G489&lt;0.6, "IS 14650 CPS 10748/GR2", "IS 14650 CPS 10748/GR3")</f>
        <v>IS 14650 CPS 10748/GR2</v>
      </c>
      <c r="T489" s="831" t="s">
        <v>769</v>
      </c>
      <c r="U489" s="825"/>
      <c r="V489" s="826"/>
      <c r="W489" s="206">
        <f>Prod.!B275</f>
        <v>0</v>
      </c>
      <c r="X489" s="469">
        <f>Prod.!C275</f>
        <v>0</v>
      </c>
      <c r="Y489" s="469">
        <f>Prod.!D275</f>
        <v>0</v>
      </c>
      <c r="Z489" s="469">
        <f>Prod.!E275</f>
        <v>0</v>
      </c>
      <c r="AA489" s="282">
        <f>Prod.!F275</f>
        <v>0</v>
      </c>
      <c r="AB489" s="282">
        <f>Prod.!G275</f>
        <v>0</v>
      </c>
      <c r="AC489" s="836">
        <f>Prod.!H275</f>
        <v>0</v>
      </c>
      <c r="AD489" s="282">
        <f>Prod.!AB275</f>
        <v>0</v>
      </c>
      <c r="AE489" s="282">
        <f>AD489-AF489</f>
        <v>0</v>
      </c>
      <c r="AF489" s="282">
        <f>Prod.!AA275</f>
        <v>0</v>
      </c>
    </row>
    <row r="490" spans="1:32" ht="15" customHeight="1">
      <c r="A490" s="1435">
        <v>3</v>
      </c>
      <c r="B490" s="818">
        <f>W491</f>
        <v>0</v>
      </c>
      <c r="C490" s="819" t="s">
        <v>765</v>
      </c>
      <c r="D490" s="822"/>
      <c r="E490" s="822"/>
      <c r="F490" s="821">
        <f ca="1">F491 + (RAND() * 0.02 - 0.01)</f>
        <v>4.4141971304070046E-3</v>
      </c>
      <c r="G490" s="821">
        <f ca="1">G491 + (RAND() * 0.06 - 0.03)</f>
        <v>0.53948519529557148</v>
      </c>
      <c r="H490" s="822">
        <f ca="1">H491 + (RAND() * 0.006 - 0.003)</f>
        <v>-1.3690718930175364E-3</v>
      </c>
      <c r="I490" s="822">
        <f ca="1">I491 + (RAND() * 0.006 - 0.003)</f>
        <v>-1.1118140485573736E-3</v>
      </c>
      <c r="J490" s="821">
        <f ca="1">J491 + (RAND() * 0.02 - 0.01)</f>
        <v>5.2984847188710504E-3</v>
      </c>
      <c r="K490" s="821"/>
      <c r="L490" s="822"/>
      <c r="M490" s="821"/>
      <c r="N490" s="823"/>
      <c r="O490" s="823"/>
      <c r="P490" s="823"/>
      <c r="Q490" s="823"/>
      <c r="R490" s="839"/>
      <c r="S490" s="821"/>
      <c r="T490" s="821"/>
      <c r="U490" s="825"/>
      <c r="V490" s="826"/>
    </row>
    <row r="491" spans="1:32" ht="15" customHeight="1">
      <c r="A491" s="1435"/>
      <c r="B491" s="827">
        <f>B490</f>
        <v>0</v>
      </c>
      <c r="C491" s="828" t="s">
        <v>768</v>
      </c>
      <c r="D491" s="829" t="str">
        <f>IF(AC491=130, "130 × 130", IF(AC491=160, "160 × 160", IF(AC491=110, "110 × 110", "Value not 130, 160, or 110")))</f>
        <v>Value not 130, 160, or 110</v>
      </c>
      <c r="E491" s="830">
        <f>AD491</f>
        <v>0</v>
      </c>
      <c r="F491" s="831">
        <f ca="1">IF(X491 &gt; 0.1, RAND() * (0.1 - 0.06) + 0.06, X491)</f>
        <v>0</v>
      </c>
      <c r="G491" s="831">
        <f ca="1">IF(Y491 &lt; 0.5, 0.5 + RAND() * 0.1, Y491)</f>
        <v>0.54559820722565977</v>
      </c>
      <c r="H491" s="830">
        <f ca="1">IF(AB491&gt;0.04, 0.029 + (0.039-0.029)*RAND(), AB491)</f>
        <v>0</v>
      </c>
      <c r="I491" s="830">
        <f ca="1">IF(AA491&gt;0.04, 0.029 + (0.039-0.029)*RAND(), AA491)</f>
        <v>0</v>
      </c>
      <c r="J491" s="831">
        <f ca="1">IF(Z491&gt;0.15, 0.11 + (0.15-0.11) * RAND(), Z491)</f>
        <v>0</v>
      </c>
      <c r="K491" s="830">
        <f ca="1">0.004 + (RAND() * (0.001 - 0.004))</f>
        <v>1.7984645033452843E-3</v>
      </c>
      <c r="L491" s="830">
        <f ca="1">H491+I491</f>
        <v>0</v>
      </c>
      <c r="M491" s="831">
        <f ca="1">(G491/6)+F491</f>
        <v>9.0933034537609966E-2</v>
      </c>
      <c r="N491" s="831">
        <f ca="1">2 + RAND()</f>
        <v>2.0050982301395504</v>
      </c>
      <c r="O491" s="831">
        <f ca="1">1 + RAND()</f>
        <v>1.3864618636675405</v>
      </c>
      <c r="P491" s="831">
        <f ca="1">2.98 + (RAND() * (3.03 - 2.98))</f>
        <v>3.0117085109375843</v>
      </c>
      <c r="Q491" s="832" t="str">
        <f ca="1">IF(D491="130 × 130", (130 + RANDBETWEEN(-1,1)) &amp; " × " &amp; (130 + RANDBETWEEN(-1,1)),
   IF(D491="160 × 160", (160 + RANDBETWEEN(-1,1)) &amp; " × " &amp; (160 + RANDBETWEEN(-1,1)),
   IF(D491="110 × 110", (110 + RANDBETWEEN(-1,1)) &amp; " × " &amp; (110 + RANDBETWEEN(-1,1)),
   "Value not matched")))</f>
        <v>Value not matched</v>
      </c>
      <c r="R491" s="833" t="s">
        <v>213</v>
      </c>
      <c r="S491" s="834" t="str">
        <f ca="1">IF(G491&lt;0.6, "IS 14650 CPS 10748/GR2", "IS 14650 CPS 10748/GR3")</f>
        <v>IS 14650 CPS 10748/GR2</v>
      </c>
      <c r="T491" s="831" t="s">
        <v>769</v>
      </c>
      <c r="U491" s="825"/>
      <c r="V491" s="826"/>
      <c r="W491" s="206">
        <f>Prod.!B276</f>
        <v>0</v>
      </c>
      <c r="X491" s="469">
        <f>Prod.!C276</f>
        <v>0</v>
      </c>
      <c r="Y491" s="469">
        <f>Prod.!D276</f>
        <v>0</v>
      </c>
      <c r="Z491" s="469">
        <f>Prod.!E276</f>
        <v>0</v>
      </c>
      <c r="AA491" s="282">
        <f>Prod.!F276</f>
        <v>0</v>
      </c>
      <c r="AB491" s="282">
        <f>Prod.!G276</f>
        <v>0</v>
      </c>
      <c r="AC491" s="836">
        <f>Prod.!H276</f>
        <v>0</v>
      </c>
      <c r="AD491" s="282">
        <f>Prod.!AB276</f>
        <v>0</v>
      </c>
      <c r="AE491" s="282">
        <f>AD491-AF491</f>
        <v>0</v>
      </c>
      <c r="AF491" s="282">
        <f>Prod.!AA276</f>
        <v>0</v>
      </c>
    </row>
    <row r="492" spans="1:32" ht="15" customHeight="1">
      <c r="A492" s="1435">
        <v>4</v>
      </c>
      <c r="B492" s="818">
        <f>W493</f>
        <v>0</v>
      </c>
      <c r="C492" s="819" t="s">
        <v>765</v>
      </c>
      <c r="D492" s="822"/>
      <c r="E492" s="822"/>
      <c r="F492" s="821">
        <f ca="1">F493 + (RAND() * 0.02 - 0.01)</f>
        <v>-4.504304201823699E-3</v>
      </c>
      <c r="G492" s="821">
        <f ca="1">G493 + (RAND() * 0.06 - 0.03)</f>
        <v>0.58326951584130993</v>
      </c>
      <c r="H492" s="822">
        <f ca="1">H493 + (RAND() * 0.006 - 0.003)</f>
        <v>1.8878808904788224E-3</v>
      </c>
      <c r="I492" s="822">
        <f ca="1">I493 + (RAND() * 0.006 - 0.003)</f>
        <v>-1.0740633539469994E-3</v>
      </c>
      <c r="J492" s="821">
        <f ca="1">J493 + (RAND() * 0.02 - 0.01)</f>
        <v>4.2950238699816564E-3</v>
      </c>
      <c r="K492" s="821"/>
      <c r="L492" s="822"/>
      <c r="M492" s="821"/>
      <c r="N492" s="823"/>
      <c r="O492" s="823"/>
      <c r="P492" s="823"/>
      <c r="Q492" s="823"/>
      <c r="R492" s="839"/>
      <c r="S492" s="821"/>
      <c r="T492" s="821"/>
      <c r="U492" s="825"/>
      <c r="V492" s="826"/>
    </row>
    <row r="493" spans="1:32" ht="15" customHeight="1">
      <c r="A493" s="1435"/>
      <c r="B493" s="827">
        <f>B492</f>
        <v>0</v>
      </c>
      <c r="C493" s="828" t="s">
        <v>768</v>
      </c>
      <c r="D493" s="829" t="str">
        <f>IF(AC493=130, "130 × 130", IF(AC493=160, "160 × 160", IF(AC493=110, "110 × 110", "Value not 130, 160, or 110")))</f>
        <v>Value not 130, 160, or 110</v>
      </c>
      <c r="E493" s="830">
        <f>AD493</f>
        <v>0</v>
      </c>
      <c r="F493" s="831">
        <f ca="1">IF(X493 &gt; 0.1, RAND() * (0.1 - 0.06) + 0.06, X493)</f>
        <v>0</v>
      </c>
      <c r="G493" s="831">
        <f ca="1">IF(Y493 &lt; 0.5, 0.5 + RAND() * 0.1, Y493)</f>
        <v>0.59730144590308054</v>
      </c>
      <c r="H493" s="830">
        <f ca="1">IF(AB493&gt;0.04, 0.029 + (0.039-0.029)*RAND(), AB493)</f>
        <v>0</v>
      </c>
      <c r="I493" s="830">
        <f ca="1">IF(AA493&gt;0.04, 0.029 + (0.039-0.029)*RAND(), AA493)</f>
        <v>0</v>
      </c>
      <c r="J493" s="831">
        <f ca="1">IF(Z493&gt;0.15, 0.11 + (0.15-0.11) * RAND(), Z493)</f>
        <v>0</v>
      </c>
      <c r="K493" s="830">
        <f ca="1">0.004 + (RAND() * (0.001 - 0.004))</f>
        <v>3.9917416616673147E-3</v>
      </c>
      <c r="L493" s="830">
        <f ca="1">H493+I493</f>
        <v>0</v>
      </c>
      <c r="M493" s="831">
        <f ca="1">(G493/6)+F493</f>
        <v>9.9550240983846752E-2</v>
      </c>
      <c r="N493" s="831">
        <f ca="1">2 + RAND()</f>
        <v>2.0142245177293647</v>
      </c>
      <c r="O493" s="831">
        <f ca="1">1 + RAND()</f>
        <v>1.4388940340043328</v>
      </c>
      <c r="P493" s="831">
        <f ca="1">2.98 + (RAND() * (3.03 - 2.98))</f>
        <v>2.9884555704040578</v>
      </c>
      <c r="Q493" s="832" t="str">
        <f ca="1">IF(D493="130 × 130", (130 + RANDBETWEEN(-1,1)) &amp; " × " &amp; (130 + RANDBETWEEN(-1,1)),
   IF(D493="160 × 160", (160 + RANDBETWEEN(-1,1)) &amp; " × " &amp; (160 + RANDBETWEEN(-1,1)),
   IF(D493="110 × 110", (110 + RANDBETWEEN(-1,1)) &amp; " × " &amp; (110 + RANDBETWEEN(-1,1)),
   "Value not matched")))</f>
        <v>Value not matched</v>
      </c>
      <c r="R493" s="833" t="s">
        <v>213</v>
      </c>
      <c r="S493" s="834" t="str">
        <f ca="1">IF(G493&lt;0.6, "IS 14650 CPS 10748/GR2", "IS 14650 CPS 10748/GR3")</f>
        <v>IS 14650 CPS 10748/GR2</v>
      </c>
      <c r="T493" s="831" t="s">
        <v>769</v>
      </c>
      <c r="U493" s="825"/>
      <c r="V493" s="826"/>
      <c r="W493" s="206">
        <f>Prod.!B277</f>
        <v>0</v>
      </c>
      <c r="X493" s="469">
        <f>Prod.!C277</f>
        <v>0</v>
      </c>
      <c r="Y493" s="469">
        <f>Prod.!D277</f>
        <v>0</v>
      </c>
      <c r="Z493" s="469">
        <f>Prod.!E277</f>
        <v>0</v>
      </c>
      <c r="AA493" s="282">
        <f>Prod.!F277</f>
        <v>0</v>
      </c>
      <c r="AB493" s="282">
        <f>Prod.!G277</f>
        <v>0</v>
      </c>
      <c r="AC493" s="836">
        <f>Prod.!H277</f>
        <v>0</v>
      </c>
      <c r="AD493" s="282">
        <f>Prod.!AB277</f>
        <v>0</v>
      </c>
      <c r="AE493" s="282">
        <f>AD493-AF493</f>
        <v>0</v>
      </c>
      <c r="AF493" s="282">
        <f>Prod.!AA277</f>
        <v>0</v>
      </c>
    </row>
    <row r="494" spans="1:32" ht="15" customHeight="1">
      <c r="A494" s="1435">
        <v>5</v>
      </c>
      <c r="B494" s="818">
        <f>W495</f>
        <v>0</v>
      </c>
      <c r="C494" s="819" t="s">
        <v>765</v>
      </c>
      <c r="D494" s="822"/>
      <c r="E494" s="822"/>
      <c r="F494" s="821">
        <f ca="1">F495 + (RAND() * 0.02 - 0.01)</f>
        <v>1.5151819956514372E-3</v>
      </c>
      <c r="G494" s="821">
        <f ca="1">G495 + (RAND() * 0.06 - 0.03)</f>
        <v>0.56090915391550822</v>
      </c>
      <c r="H494" s="822">
        <f ca="1">H495 + (RAND() * 0.006 - 0.003)</f>
        <v>2.7586099578350521E-3</v>
      </c>
      <c r="I494" s="822">
        <f ca="1">I495 + (RAND() * 0.006 - 0.003)</f>
        <v>4.5136742144302223E-4</v>
      </c>
      <c r="J494" s="821">
        <f ca="1">J495 + (RAND() * 0.02 - 0.01)</f>
        <v>1.5043596053458171E-3</v>
      </c>
      <c r="K494" s="821"/>
      <c r="L494" s="822"/>
      <c r="M494" s="821"/>
      <c r="N494" s="823"/>
      <c r="O494" s="823"/>
      <c r="P494" s="823"/>
      <c r="Q494" s="823"/>
      <c r="R494" s="839"/>
      <c r="S494" s="821"/>
      <c r="T494" s="821"/>
      <c r="U494" s="825"/>
      <c r="V494" s="826"/>
    </row>
    <row r="495" spans="1:32" ht="15" customHeight="1">
      <c r="A495" s="1435"/>
      <c r="B495" s="827">
        <f>B494</f>
        <v>0</v>
      </c>
      <c r="C495" s="828" t="s">
        <v>768</v>
      </c>
      <c r="D495" s="829" t="str">
        <f>IF(AC495=130, "130 × 130", IF(AC495=160, "160 × 160", IF(AC495=110, "110 × 110", "Value not 130, 160, or 110")))</f>
        <v>Value not 130, 160, or 110</v>
      </c>
      <c r="E495" s="830">
        <f>AD495</f>
        <v>0</v>
      </c>
      <c r="F495" s="831">
        <f ca="1">IF(X495 &gt; 0.1, RAND() * (0.1 - 0.06) + 0.06, X495)</f>
        <v>0</v>
      </c>
      <c r="G495" s="831">
        <f ca="1">IF(Y495 &lt; 0.5, 0.5 + RAND() * 0.1, Y495)</f>
        <v>0.58326163120521946</v>
      </c>
      <c r="H495" s="830">
        <f ca="1">IF(AB495&gt;0.04, 0.029 + (0.039-0.029)*RAND(), AB495)</f>
        <v>0</v>
      </c>
      <c r="I495" s="830">
        <f ca="1">IF(AA495&gt;0.04, 0.029 + (0.039-0.029)*RAND(), AA495)</f>
        <v>0</v>
      </c>
      <c r="J495" s="831">
        <f ca="1">IF(Z495&gt;0.15, 0.11 + (0.15-0.11) * RAND(), Z495)</f>
        <v>0</v>
      </c>
      <c r="K495" s="830">
        <f ca="1">0.004 + (RAND() * (0.001 - 0.004))</f>
        <v>3.8526221922370926E-3</v>
      </c>
      <c r="L495" s="830">
        <f ca="1">H495+I495</f>
        <v>0</v>
      </c>
      <c r="M495" s="831">
        <f ca="1">(G495/6)+F495</f>
        <v>9.7210271867536571E-2</v>
      </c>
      <c r="N495" s="831">
        <f ca="1">2 + RAND()</f>
        <v>2.0958076428684049</v>
      </c>
      <c r="O495" s="831">
        <f ca="1">1 + RAND()</f>
        <v>1.3003182208770609</v>
      </c>
      <c r="P495" s="831">
        <f ca="1">2.98 + (RAND() * (3.03 - 2.98))</f>
        <v>3.0243695160559319</v>
      </c>
      <c r="Q495" s="832" t="str">
        <f ca="1">IF(D495="130 × 130", (130 + RANDBETWEEN(-1,1)) &amp; " × " &amp; (130 + RANDBETWEEN(-1,1)),
   IF(D495="160 × 160", (160 + RANDBETWEEN(-1,1)) &amp; " × " &amp; (160 + RANDBETWEEN(-1,1)),
   IF(D495="110 × 110", (110 + RANDBETWEEN(-1,1)) &amp; " × " &amp; (110 + RANDBETWEEN(-1,1)),
   "Value not matched")))</f>
        <v>Value not matched</v>
      </c>
      <c r="R495" s="833" t="s">
        <v>213</v>
      </c>
      <c r="S495" s="834" t="str">
        <f ca="1">IF(G495&lt;0.6, "IS 14650 CPS 10748/GR2", "IS 14650 CPS 10748/GR3")</f>
        <v>IS 14650 CPS 10748/GR2</v>
      </c>
      <c r="T495" s="831" t="s">
        <v>769</v>
      </c>
      <c r="U495" s="825"/>
      <c r="V495" s="826"/>
      <c r="W495" s="206">
        <f>Prod.!B278</f>
        <v>0</v>
      </c>
      <c r="X495" s="469">
        <f>Prod.!C278</f>
        <v>0</v>
      </c>
      <c r="Y495" s="469">
        <f>Prod.!D278</f>
        <v>0</v>
      </c>
      <c r="Z495" s="469">
        <f>Prod.!E278</f>
        <v>0</v>
      </c>
      <c r="AA495" s="282">
        <f>Prod.!F278</f>
        <v>0</v>
      </c>
      <c r="AB495" s="282">
        <f>Prod.!G278</f>
        <v>0</v>
      </c>
      <c r="AC495" s="836">
        <f>Prod.!H278</f>
        <v>0</v>
      </c>
      <c r="AD495" s="282">
        <f>Prod.!AB278</f>
        <v>0</v>
      </c>
      <c r="AE495" s="282">
        <f>AD495-AF495</f>
        <v>0</v>
      </c>
      <c r="AF495" s="282">
        <f>Prod.!AA278</f>
        <v>0</v>
      </c>
    </row>
    <row r="496" spans="1:32" ht="15" customHeight="1">
      <c r="A496" s="1435">
        <v>6</v>
      </c>
      <c r="B496" s="818">
        <f>W497</f>
        <v>0</v>
      </c>
      <c r="C496" s="819" t="s">
        <v>765</v>
      </c>
      <c r="D496" s="822"/>
      <c r="E496" s="822"/>
      <c r="F496" s="821">
        <f ca="1">F497 + (RAND() * 0.02 - 0.01)</f>
        <v>-4.8304871256392226E-3</v>
      </c>
      <c r="G496" s="821">
        <f ca="1">G497 + (RAND() * 0.06 - 0.03)</f>
        <v>0.55541129399099443</v>
      </c>
      <c r="H496" s="822">
        <f ca="1">H497 + (RAND() * 0.006 - 0.003)</f>
        <v>8.6262880105834319E-4</v>
      </c>
      <c r="I496" s="822">
        <f ca="1">I497 + (RAND() * 0.006 - 0.003)</f>
        <v>1.5117611107002332E-3</v>
      </c>
      <c r="J496" s="821">
        <f ca="1">J497 + (RAND() * 0.02 - 0.01)</f>
        <v>-1.4862777402890361E-4</v>
      </c>
      <c r="K496" s="821"/>
      <c r="L496" s="822"/>
      <c r="M496" s="821"/>
      <c r="N496" s="823"/>
      <c r="O496" s="823"/>
      <c r="P496" s="823"/>
      <c r="Q496" s="823"/>
      <c r="R496" s="839"/>
      <c r="S496" s="821"/>
      <c r="T496" s="821"/>
      <c r="U496" s="825"/>
      <c r="V496" s="826"/>
    </row>
    <row r="497" spans="1:32" ht="15" customHeight="1">
      <c r="A497" s="1435"/>
      <c r="B497" s="827">
        <f>B496</f>
        <v>0</v>
      </c>
      <c r="C497" s="828" t="s">
        <v>768</v>
      </c>
      <c r="D497" s="829" t="str">
        <f>IF(AC497=130, "130 × 130", IF(AC497=160, "160 × 160", IF(AC497=110, "110 × 110", "Value not 130, 160, or 110")))</f>
        <v>Value not 130, 160, or 110</v>
      </c>
      <c r="E497" s="830">
        <f>AD497</f>
        <v>0</v>
      </c>
      <c r="F497" s="831">
        <f ca="1">IF(X497 &gt; 0.1, RAND() * (0.1 - 0.06) + 0.06, X497)</f>
        <v>0</v>
      </c>
      <c r="G497" s="831">
        <f ca="1">IF(Y497 &lt; 0.5, 0.5 + RAND() * 0.1, Y497)</f>
        <v>0.57959612508679315</v>
      </c>
      <c r="H497" s="830">
        <f ca="1">IF(AB497&gt;0.04, 0.029 + (0.039-0.029)*RAND(), AB497)</f>
        <v>0</v>
      </c>
      <c r="I497" s="830">
        <f ca="1">IF(AA497&gt;0.04, 0.029 + (0.039-0.029)*RAND(), AA497)</f>
        <v>0</v>
      </c>
      <c r="J497" s="831">
        <f ca="1">IF(Z497&gt;0.15, 0.11 + (0.15-0.11) * RAND(), Z497)</f>
        <v>0</v>
      </c>
      <c r="K497" s="830">
        <f ca="1">0.004 + (RAND() * (0.001 - 0.004))</f>
        <v>1.0031383002334438E-3</v>
      </c>
      <c r="L497" s="830">
        <f ca="1">H497+I497</f>
        <v>0</v>
      </c>
      <c r="M497" s="831">
        <f ca="1">(G497/6)+F497</f>
        <v>9.6599354181132191E-2</v>
      </c>
      <c r="N497" s="831">
        <f ca="1">2 + RAND()</f>
        <v>2.1929479241879077</v>
      </c>
      <c r="O497" s="831">
        <f ca="1">1 + RAND()</f>
        <v>1.7476446609422496</v>
      </c>
      <c r="P497" s="831">
        <f ca="1">2.98 + (RAND() * (3.03 - 2.98))</f>
        <v>2.9818359361733435</v>
      </c>
      <c r="Q497" s="832" t="str">
        <f ca="1">IF(D497="130 × 130", (130 + RANDBETWEEN(-1,1)) &amp; " × " &amp; (130 + RANDBETWEEN(-1,1)),
   IF(D497="160 × 160", (160 + RANDBETWEEN(-1,1)) &amp; " × " &amp; (160 + RANDBETWEEN(-1,1)),
   IF(D497="110 × 110", (110 + RANDBETWEEN(-1,1)) &amp; " × " &amp; (110 + RANDBETWEEN(-1,1)),
   "Value not matched")))</f>
        <v>Value not matched</v>
      </c>
      <c r="R497" s="833" t="s">
        <v>213</v>
      </c>
      <c r="S497" s="834" t="str">
        <f ca="1">IF(G497&lt;0.6, "IS 14650 CPS 10748/GR2", "IS 14650 CPS 10748/GR3")</f>
        <v>IS 14650 CPS 10748/GR2</v>
      </c>
      <c r="T497" s="831" t="s">
        <v>769</v>
      </c>
      <c r="U497" s="825"/>
      <c r="V497" s="826"/>
      <c r="W497" s="206">
        <f>Prod.!B279</f>
        <v>0</v>
      </c>
      <c r="X497" s="469">
        <f>Prod.!C279</f>
        <v>0</v>
      </c>
      <c r="Y497" s="469">
        <f>Prod.!D279</f>
        <v>0</v>
      </c>
      <c r="Z497" s="469">
        <f>Prod.!E279</f>
        <v>0</v>
      </c>
      <c r="AA497" s="282">
        <f>Prod.!F279</f>
        <v>0</v>
      </c>
      <c r="AB497" s="282">
        <f>Prod.!G279</f>
        <v>0</v>
      </c>
      <c r="AC497" s="836">
        <f>Prod.!H279</f>
        <v>0</v>
      </c>
      <c r="AD497" s="282">
        <f>Prod.!AB279</f>
        <v>0</v>
      </c>
      <c r="AE497" s="282">
        <f>AD497-AF497</f>
        <v>0</v>
      </c>
      <c r="AF497" s="282">
        <f>Prod.!AA279</f>
        <v>0</v>
      </c>
    </row>
    <row r="498" spans="1:32" ht="15" customHeight="1">
      <c r="A498" s="1435">
        <v>7</v>
      </c>
      <c r="B498" s="818">
        <f>W499</f>
        <v>0</v>
      </c>
      <c r="C498" s="819" t="s">
        <v>765</v>
      </c>
      <c r="D498" s="822"/>
      <c r="E498" s="822"/>
      <c r="F498" s="821">
        <f ca="1">F499 + (RAND() * 0.02 - 0.01)</f>
        <v>5.5473835123985189E-3</v>
      </c>
      <c r="G498" s="821">
        <f ca="1">G499 + (RAND() * 0.06 - 0.03)</f>
        <v>0.58620673984918292</v>
      </c>
      <c r="H498" s="822">
        <f ca="1">H499 + (RAND() * 0.006 - 0.003)</f>
        <v>-1.0568744419869082E-3</v>
      </c>
      <c r="I498" s="822">
        <f ca="1">I499 + (RAND() * 0.006 - 0.003)</f>
        <v>2.2579136634279734E-3</v>
      </c>
      <c r="J498" s="821">
        <f ca="1">J499 + (RAND() * 0.02 - 0.01)</f>
        <v>9.8614720797735537E-3</v>
      </c>
      <c r="K498" s="821"/>
      <c r="L498" s="822"/>
      <c r="M498" s="821"/>
      <c r="N498" s="823"/>
      <c r="O498" s="823"/>
      <c r="P498" s="823"/>
      <c r="Q498" s="823"/>
      <c r="R498" s="839"/>
      <c r="S498" s="821"/>
      <c r="T498" s="821"/>
      <c r="U498" s="825"/>
      <c r="V498" s="826"/>
    </row>
    <row r="499" spans="1:32" ht="15" customHeight="1">
      <c r="A499" s="1435"/>
      <c r="B499" s="827">
        <f>B498</f>
        <v>0</v>
      </c>
      <c r="C499" s="828" t="s">
        <v>768</v>
      </c>
      <c r="D499" s="829" t="str">
        <f>IF(AC499=130, "130 × 130", IF(AC499=160, "160 × 160", IF(AC499=110, "110 × 110", "Value not 130, 160, or 110")))</f>
        <v>Value not 130, 160, or 110</v>
      </c>
      <c r="E499" s="830">
        <f>AD499</f>
        <v>0</v>
      </c>
      <c r="F499" s="831">
        <f ca="1">IF(X499 &gt; 0.1, RAND() * (0.1 - 0.06) + 0.06, X499)</f>
        <v>0</v>
      </c>
      <c r="G499" s="831">
        <f ca="1">IF(Y499 &lt; 0.5, 0.5 + RAND() * 0.1, Y499)</f>
        <v>0.57792632997583537</v>
      </c>
      <c r="H499" s="830">
        <f ca="1">IF(AB499&gt;0.04, 0.029 + (0.039-0.029)*RAND(), AB499)</f>
        <v>0</v>
      </c>
      <c r="I499" s="830">
        <f ca="1">IF(AA499&gt;0.04, 0.029 + (0.039-0.029)*RAND(), AA499)</f>
        <v>0</v>
      </c>
      <c r="J499" s="831">
        <f ca="1">IF(Z499&gt;0.15, 0.11 + (0.15-0.11) * RAND(), Z499)</f>
        <v>0</v>
      </c>
      <c r="K499" s="830">
        <f ca="1">0.004 + (RAND() * (0.001 - 0.004))</f>
        <v>2.6634186464857745E-3</v>
      </c>
      <c r="L499" s="830">
        <f ca="1">H499+I499</f>
        <v>0</v>
      </c>
      <c r="M499" s="831">
        <f ca="1">(G499/6)+F499</f>
        <v>9.6321054995972558E-2</v>
      </c>
      <c r="N499" s="831">
        <f ca="1">2 + RAND()</f>
        <v>2.5309071857404635</v>
      </c>
      <c r="O499" s="831">
        <f ca="1">1 + RAND()</f>
        <v>1.0853911716427294</v>
      </c>
      <c r="P499" s="831">
        <f ca="1">2.98 + (RAND() * (3.03 - 2.98))</f>
        <v>3.0149287783172412</v>
      </c>
      <c r="Q499" s="832" t="str">
        <f ca="1">IF(D499="130 × 130", (130 + RANDBETWEEN(-1,1)) &amp; " × " &amp; (130 + RANDBETWEEN(-1,1)),
   IF(D499="160 × 160", (160 + RANDBETWEEN(-1,1)) &amp; " × " &amp; (160 + RANDBETWEEN(-1,1)),
   IF(D499="110 × 110", (110 + RANDBETWEEN(-1,1)) &amp; " × " &amp; (110 + RANDBETWEEN(-1,1)),
   "Value not matched")))</f>
        <v>Value not matched</v>
      </c>
      <c r="R499" s="833" t="s">
        <v>213</v>
      </c>
      <c r="S499" s="834" t="str">
        <f ca="1">IF(G499&lt;0.6, "IS 14650 CPS 10748/GR2", "IS 14650 CPS 10748/GR3")</f>
        <v>IS 14650 CPS 10748/GR2</v>
      </c>
      <c r="T499" s="831" t="s">
        <v>769</v>
      </c>
      <c r="U499" s="825"/>
      <c r="V499" s="826"/>
      <c r="W499" s="206">
        <f>Prod.!B280</f>
        <v>0</v>
      </c>
      <c r="X499" s="469">
        <f>Prod.!C280</f>
        <v>0</v>
      </c>
      <c r="Y499" s="469">
        <f>Prod.!D280</f>
        <v>0</v>
      </c>
      <c r="Z499" s="469">
        <f>Prod.!E280</f>
        <v>0</v>
      </c>
      <c r="AA499" s="282">
        <f>Prod.!F280</f>
        <v>0</v>
      </c>
      <c r="AB499" s="282">
        <f>Prod.!G280</f>
        <v>0</v>
      </c>
      <c r="AC499" s="836">
        <f>Prod.!H280</f>
        <v>0</v>
      </c>
      <c r="AD499" s="282">
        <f>Prod.!AB280</f>
        <v>0</v>
      </c>
      <c r="AE499" s="282">
        <f>AD499-AF499</f>
        <v>0</v>
      </c>
      <c r="AF499" s="282">
        <f>Prod.!AA280</f>
        <v>0</v>
      </c>
    </row>
    <row r="500" spans="1:32" ht="15" customHeight="1">
      <c r="A500" s="1435">
        <v>8</v>
      </c>
      <c r="B500" s="818">
        <f>W501</f>
        <v>0</v>
      </c>
      <c r="C500" s="819" t="s">
        <v>765</v>
      </c>
      <c r="D500" s="822"/>
      <c r="E500" s="822"/>
      <c r="F500" s="821">
        <f ca="1">F501 + (RAND() * 0.02 - 0.01)</f>
        <v>-3.8166778336028951E-3</v>
      </c>
      <c r="G500" s="821">
        <f ca="1">G501 + (RAND() * 0.06 - 0.03)</f>
        <v>0.53641865896947216</v>
      </c>
      <c r="H500" s="822">
        <f ca="1">H501 + (RAND() * 0.006 - 0.003)</f>
        <v>1.7418849925641151E-3</v>
      </c>
      <c r="I500" s="822">
        <f ca="1">I501 + (RAND() * 0.006 - 0.003)</f>
        <v>1.4814619568324482E-3</v>
      </c>
      <c r="J500" s="821">
        <f ca="1">J501 + (RAND() * 0.02 - 0.01)</f>
        <v>6.9640133629140372E-4</v>
      </c>
      <c r="K500" s="821"/>
      <c r="L500" s="822"/>
      <c r="M500" s="821"/>
      <c r="N500" s="823"/>
      <c r="O500" s="823"/>
      <c r="P500" s="823"/>
      <c r="Q500" s="823"/>
      <c r="R500" s="839"/>
      <c r="S500" s="821"/>
      <c r="T500" s="821"/>
      <c r="U500" s="825"/>
      <c r="V500" s="826"/>
    </row>
    <row r="501" spans="1:32" ht="15" customHeight="1">
      <c r="A501" s="1435"/>
      <c r="B501" s="827">
        <f>B500</f>
        <v>0</v>
      </c>
      <c r="C501" s="828" t="s">
        <v>768</v>
      </c>
      <c r="D501" s="829" t="str">
        <f>IF(AC501=130, "130 × 130", IF(AC501=160, "160 × 160", IF(AC501=110, "110 × 110", "Value not 130, 160, or 110")))</f>
        <v>Value not 130, 160, or 110</v>
      </c>
      <c r="E501" s="830">
        <f>AD501</f>
        <v>0</v>
      </c>
      <c r="F501" s="831">
        <f ca="1">IF(X501 &gt; 0.1, RAND() * (0.1 - 0.06) + 0.06, X501)</f>
        <v>0</v>
      </c>
      <c r="G501" s="831">
        <f ca="1">IF(Y501 &lt; 0.5, 0.5 + RAND() * 0.1, Y501)</f>
        <v>0.54845033093273199</v>
      </c>
      <c r="H501" s="830">
        <f ca="1">IF(AB501&gt;0.04, 0.029 + (0.039-0.029)*RAND(), AB501)</f>
        <v>0</v>
      </c>
      <c r="I501" s="830">
        <f ca="1">IF(AA501&gt;0.04, 0.029 + (0.039-0.029)*RAND(), AA501)</f>
        <v>0</v>
      </c>
      <c r="J501" s="831">
        <f ca="1">IF(Z501&gt;0.15, 0.11 + (0.15-0.11) * RAND(), Z501)</f>
        <v>0</v>
      </c>
      <c r="K501" s="830">
        <f ca="1">0.004 + (RAND() * (0.001 - 0.004))</f>
        <v>2.5442862862731352E-3</v>
      </c>
      <c r="L501" s="830">
        <f ca="1">H501+I501</f>
        <v>0</v>
      </c>
      <c r="M501" s="831">
        <f ca="1">(G501/6)+F501</f>
        <v>9.1408388488788669E-2</v>
      </c>
      <c r="N501" s="831">
        <f ca="1">2 + RAND()</f>
        <v>2.1729926753246915</v>
      </c>
      <c r="O501" s="831">
        <f ca="1">1 + RAND()</f>
        <v>1.7377595328665343</v>
      </c>
      <c r="P501" s="831">
        <f ca="1">2.98 + (RAND() * (3.03 - 2.98))</f>
        <v>2.9840619880480075</v>
      </c>
      <c r="Q501" s="832" t="str">
        <f ca="1">IF(D501="130 × 130", (130 + RANDBETWEEN(-1,1)) &amp; " × " &amp; (130 + RANDBETWEEN(-1,1)),
   IF(D501="160 × 160", (160 + RANDBETWEEN(-1,1)) &amp; " × " &amp; (160 + RANDBETWEEN(-1,1)),
   IF(D501="110 × 110", (110 + RANDBETWEEN(-1,1)) &amp; " × " &amp; (110 + RANDBETWEEN(-1,1)),
   "Value not matched")))</f>
        <v>Value not matched</v>
      </c>
      <c r="R501" s="833" t="s">
        <v>213</v>
      </c>
      <c r="S501" s="834" t="str">
        <f ca="1">IF(G501&lt;0.6, "IS 14650 CPS 10748/GR2", "IS 14650 CPS 10748/GR3")</f>
        <v>IS 14650 CPS 10748/GR2</v>
      </c>
      <c r="T501" s="831" t="s">
        <v>769</v>
      </c>
      <c r="U501" s="825"/>
      <c r="V501" s="826"/>
      <c r="W501" s="206">
        <f>Prod.!B281</f>
        <v>0</v>
      </c>
      <c r="X501" s="469">
        <f>Prod.!C281</f>
        <v>0</v>
      </c>
      <c r="Y501" s="469">
        <f>Prod.!D281</f>
        <v>0</v>
      </c>
      <c r="Z501" s="469">
        <f>Prod.!E281</f>
        <v>0</v>
      </c>
      <c r="AA501" s="282">
        <f>Prod.!F281</f>
        <v>0</v>
      </c>
      <c r="AB501" s="282">
        <f>Prod.!G281</f>
        <v>0</v>
      </c>
      <c r="AC501" s="836">
        <f>Prod.!H281</f>
        <v>0</v>
      </c>
      <c r="AD501" s="282">
        <f>Prod.!AB281</f>
        <v>0</v>
      </c>
      <c r="AE501" s="282">
        <f>AD501-AF501</f>
        <v>0</v>
      </c>
      <c r="AF501" s="282">
        <f>Prod.!AA281</f>
        <v>0</v>
      </c>
    </row>
    <row r="502" spans="1:32" ht="15" customHeight="1">
      <c r="A502" s="1435">
        <v>9</v>
      </c>
      <c r="B502" s="818">
        <f>W503</f>
        <v>0</v>
      </c>
      <c r="C502" s="819" t="s">
        <v>765</v>
      </c>
      <c r="D502" s="822"/>
      <c r="E502" s="822"/>
      <c r="F502" s="821">
        <f ca="1">F503 + (RAND() * 0.02 - 0.01)</f>
        <v>-6.4136523584327398E-3</v>
      </c>
      <c r="G502" s="821">
        <f ca="1">G503 + (RAND() * 0.06 - 0.03)</f>
        <v>0.59882583173962112</v>
      </c>
      <c r="H502" s="822">
        <f ca="1">H503 + (RAND() * 0.006 - 0.003)</f>
        <v>-1.1108575217913571E-3</v>
      </c>
      <c r="I502" s="822">
        <f ca="1">I503 + (RAND() * 0.006 - 0.003)</f>
        <v>4.423844449213659E-4</v>
      </c>
      <c r="J502" s="821">
        <f ca="1">J503 + (RAND() * 0.02 - 0.01)</f>
        <v>-7.468242300810642E-3</v>
      </c>
      <c r="K502" s="821"/>
      <c r="L502" s="822"/>
      <c r="M502" s="821"/>
      <c r="N502" s="823"/>
      <c r="O502" s="823"/>
      <c r="P502" s="823"/>
      <c r="Q502" s="823"/>
      <c r="R502" s="839"/>
      <c r="S502" s="821"/>
      <c r="T502" s="821"/>
      <c r="U502" s="825"/>
      <c r="V502" s="826"/>
    </row>
    <row r="503" spans="1:32" ht="15" customHeight="1">
      <c r="A503" s="1435"/>
      <c r="B503" s="827">
        <f>B502</f>
        <v>0</v>
      </c>
      <c r="C503" s="828" t="s">
        <v>768</v>
      </c>
      <c r="D503" s="829" t="str">
        <f>IF(AC503=130, "130 × 130", IF(AC503=160, "160 × 160", IF(AC503=110, "110 × 110", "Value not 130, 160, or 110")))</f>
        <v>Value not 130, 160, or 110</v>
      </c>
      <c r="E503" s="830">
        <f>AD503</f>
        <v>0</v>
      </c>
      <c r="F503" s="831">
        <f ca="1">IF(X503 &gt; 0.1, RAND() * (0.1 - 0.06) + 0.06, X503)</f>
        <v>0</v>
      </c>
      <c r="G503" s="831">
        <f ca="1">IF(Y503 &lt; 0.5, 0.5 + RAND() * 0.1, Y503)</f>
        <v>0.59507942194456165</v>
      </c>
      <c r="H503" s="830">
        <f ca="1">IF(AB503&gt;0.04, 0.029 + (0.039-0.029)*RAND(), AB503)</f>
        <v>0</v>
      </c>
      <c r="I503" s="830">
        <f ca="1">IF(AA503&gt;0.04, 0.029 + (0.039-0.029)*RAND(), AA503)</f>
        <v>0</v>
      </c>
      <c r="J503" s="831">
        <f ca="1">IF(Z503&gt;0.15, 0.11 + (0.15-0.11) * RAND(), Z503)</f>
        <v>0</v>
      </c>
      <c r="K503" s="830">
        <f ca="1">0.004 + (RAND() * (0.001 - 0.004))</f>
        <v>2.4321666552815364E-3</v>
      </c>
      <c r="L503" s="830">
        <f ca="1">H503+I503</f>
        <v>0</v>
      </c>
      <c r="M503" s="831">
        <f ca="1">(G503/6)+F503</f>
        <v>9.9179903657426946E-2</v>
      </c>
      <c r="N503" s="831">
        <f ca="1">2 + RAND()</f>
        <v>2.7408618765999018</v>
      </c>
      <c r="O503" s="831">
        <f ca="1">1 + RAND()</f>
        <v>1.407410844212839</v>
      </c>
      <c r="P503" s="831">
        <f ca="1">2.98 + (RAND() * (3.03 - 2.98))</f>
        <v>3.0289058527894013</v>
      </c>
      <c r="Q503" s="832" t="str">
        <f ca="1">IF(D503="130 × 130", (130 + RANDBETWEEN(-1,1)) &amp; " × " &amp; (130 + RANDBETWEEN(-1,1)),
   IF(D503="160 × 160", (160 + RANDBETWEEN(-1,1)) &amp; " × " &amp; (160 + RANDBETWEEN(-1,1)),
   IF(D503="110 × 110", (110 + RANDBETWEEN(-1,1)) &amp; " × " &amp; (110 + RANDBETWEEN(-1,1)),
   "Value not matched")))</f>
        <v>Value not matched</v>
      </c>
      <c r="R503" s="833" t="s">
        <v>213</v>
      </c>
      <c r="S503" s="834" t="str">
        <f ca="1">IF(G503&lt;0.6, "IS 14650 CPS 10748/GR2", "IS 14650 CPS 10748/GR3")</f>
        <v>IS 14650 CPS 10748/GR2</v>
      </c>
      <c r="T503" s="831" t="s">
        <v>769</v>
      </c>
      <c r="U503" s="825"/>
      <c r="V503" s="826"/>
      <c r="W503" s="206">
        <f>Prod.!B282</f>
        <v>0</v>
      </c>
      <c r="X503" s="469">
        <f>Prod.!C282</f>
        <v>0</v>
      </c>
      <c r="Y503" s="469">
        <f>Prod.!D282</f>
        <v>0</v>
      </c>
      <c r="Z503" s="469">
        <f>Prod.!E282</f>
        <v>0</v>
      </c>
      <c r="AA503" s="282">
        <f>Prod.!F282</f>
        <v>0</v>
      </c>
      <c r="AB503" s="282">
        <f>Prod.!G282</f>
        <v>0</v>
      </c>
      <c r="AC503" s="836">
        <f>Prod.!H282</f>
        <v>0</v>
      </c>
      <c r="AD503" s="282">
        <f>Prod.!AB282</f>
        <v>0</v>
      </c>
      <c r="AE503" s="282">
        <f>AD503-AF503</f>
        <v>0</v>
      </c>
      <c r="AF503" s="282">
        <f>Prod.!AA282</f>
        <v>0</v>
      </c>
    </row>
    <row r="504" spans="1:32" ht="15" customHeight="1">
      <c r="A504" s="1435">
        <v>10</v>
      </c>
      <c r="B504" s="818">
        <f>W505</f>
        <v>0</v>
      </c>
      <c r="C504" s="819" t="s">
        <v>765</v>
      </c>
      <c r="D504" s="822"/>
      <c r="E504" s="822"/>
      <c r="F504" s="821">
        <f ca="1">F505 + (RAND() * 0.02 - 0.01)</f>
        <v>-7.2380744062453851E-3</v>
      </c>
      <c r="G504" s="821">
        <f ca="1">G505 + (RAND() * 0.06 - 0.03)</f>
        <v>0.52320206640991784</v>
      </c>
      <c r="H504" s="822">
        <f ca="1">H505 + (RAND() * 0.006 - 0.003)</f>
        <v>7.807619100197883E-5</v>
      </c>
      <c r="I504" s="822">
        <f ca="1">I505 + (RAND() * 0.006 - 0.003)</f>
        <v>-1.9043816825498835E-3</v>
      </c>
      <c r="J504" s="821">
        <f ca="1">J505 + (RAND() * 0.02 - 0.01)</f>
        <v>8.1565785301710384E-3</v>
      </c>
      <c r="K504" s="821"/>
      <c r="L504" s="822"/>
      <c r="M504" s="821"/>
      <c r="N504" s="823"/>
      <c r="O504" s="823"/>
      <c r="P504" s="823"/>
      <c r="Q504" s="823"/>
      <c r="R504" s="839"/>
      <c r="S504" s="821"/>
      <c r="T504" s="821"/>
      <c r="U504" s="825"/>
      <c r="V504" s="826"/>
    </row>
    <row r="505" spans="1:32" ht="15" customHeight="1">
      <c r="A505" s="1435"/>
      <c r="B505" s="827">
        <f>B504</f>
        <v>0</v>
      </c>
      <c r="C505" s="828" t="s">
        <v>768</v>
      </c>
      <c r="D505" s="829" t="str">
        <f>IF(AC505=130, "130 × 130", IF(AC505=160, "160 × 160", IF(AC505=110, "110 × 110", "Value not 130, 160, or 110")))</f>
        <v>Value not 130, 160, or 110</v>
      </c>
      <c r="E505" s="830">
        <f>AD505</f>
        <v>0</v>
      </c>
      <c r="F505" s="831">
        <f ca="1">IF(X505 &gt; 0.1, RAND() * (0.1 - 0.06) + 0.06, X505)</f>
        <v>0</v>
      </c>
      <c r="G505" s="831">
        <f ca="1">IF(Y505 &lt; 0.5, 0.5 + RAND() * 0.1, Y505)</f>
        <v>0.52807506605858312</v>
      </c>
      <c r="H505" s="830">
        <f ca="1">IF(AB505&gt;0.04, 0.029 + (0.039-0.029)*RAND(), AB505)</f>
        <v>0</v>
      </c>
      <c r="I505" s="830">
        <f ca="1">IF(AA505&gt;0.04, 0.029 + (0.039-0.029)*RAND(), AA505)</f>
        <v>0</v>
      </c>
      <c r="J505" s="831">
        <f ca="1">IF(Z505&gt;0.15, 0.11 + (0.15-0.11) * RAND(), Z505)</f>
        <v>0</v>
      </c>
      <c r="K505" s="830">
        <f ca="1">0.004 + (RAND() * (0.001 - 0.004))</f>
        <v>3.8379611057475223E-3</v>
      </c>
      <c r="L505" s="830">
        <f ca="1">H505+I505</f>
        <v>0</v>
      </c>
      <c r="M505" s="831">
        <f ca="1">(G505/6)+F505</f>
        <v>8.8012511009763858E-2</v>
      </c>
      <c r="N505" s="831">
        <f ca="1">2 + RAND()</f>
        <v>2.7237632337305375</v>
      </c>
      <c r="O505" s="831">
        <f ca="1">1 + RAND()</f>
        <v>1.4326816943796312</v>
      </c>
      <c r="P505" s="831">
        <f ca="1">2.98 + (RAND() * (3.03 - 2.98))</f>
        <v>2.9854290128456715</v>
      </c>
      <c r="Q505" s="832" t="str">
        <f ca="1">IF(D505="130 × 130", (130 + RANDBETWEEN(-1,1)) &amp; " × " &amp; (130 + RANDBETWEEN(-1,1)),
   IF(D505="160 × 160", (160 + RANDBETWEEN(-1,1)) &amp; " × " &amp; (160 + RANDBETWEEN(-1,1)),
   IF(D505="110 × 110", (110 + RANDBETWEEN(-1,1)) &amp; " × " &amp; (110 + RANDBETWEEN(-1,1)),
   "Value not matched")))</f>
        <v>Value not matched</v>
      </c>
      <c r="R505" s="833" t="s">
        <v>213</v>
      </c>
      <c r="S505" s="834" t="str">
        <f ca="1">IF(G505&lt;0.6, "IS 14650 CPS 10748/GR2", "IS 14650 CPS 10748/GR3")</f>
        <v>IS 14650 CPS 10748/GR2</v>
      </c>
      <c r="T505" s="831" t="s">
        <v>769</v>
      </c>
      <c r="U505" s="825"/>
      <c r="V505" s="826"/>
      <c r="W505" s="206">
        <f>Prod.!B283</f>
        <v>0</v>
      </c>
      <c r="X505" s="469">
        <f>Prod.!C283</f>
        <v>0</v>
      </c>
      <c r="Y505" s="469">
        <f>Prod.!D283</f>
        <v>0</v>
      </c>
      <c r="Z505" s="469">
        <f>Prod.!E283</f>
        <v>0</v>
      </c>
      <c r="AA505" s="282">
        <f>Prod.!F283</f>
        <v>0</v>
      </c>
      <c r="AB505" s="282">
        <f>Prod.!G283</f>
        <v>0</v>
      </c>
      <c r="AC505" s="836">
        <f>Prod.!H283</f>
        <v>0</v>
      </c>
      <c r="AD505" s="282">
        <f>Prod.!AB283</f>
        <v>0</v>
      </c>
      <c r="AE505" s="282">
        <f>AD505-AF505</f>
        <v>0</v>
      </c>
      <c r="AF505" s="282">
        <f>Prod.!AA283</f>
        <v>0</v>
      </c>
    </row>
    <row r="506" spans="1:32" ht="15" customHeight="1">
      <c r="A506" s="1435">
        <v>11</v>
      </c>
      <c r="B506" s="818">
        <f>W507</f>
        <v>0</v>
      </c>
      <c r="C506" s="819" t="s">
        <v>765</v>
      </c>
      <c r="D506" s="822"/>
      <c r="E506" s="822"/>
      <c r="F506" s="821">
        <f ca="1">F507 + (RAND() * 0.02 - 0.01)</f>
        <v>7.9864225814777704E-3</v>
      </c>
      <c r="G506" s="821">
        <f ca="1">G507 + (RAND() * 0.06 - 0.03)</f>
        <v>0.58527363046176795</v>
      </c>
      <c r="H506" s="822">
        <f ca="1">H507 + (RAND() * 0.006 - 0.003)</f>
        <v>1.2571577483333268E-3</v>
      </c>
      <c r="I506" s="822">
        <f ca="1">I507 + (RAND() * 0.006 - 0.003)</f>
        <v>-1.8234875153841151E-4</v>
      </c>
      <c r="J506" s="821">
        <f ca="1">J507 + (RAND() * 0.02 - 0.01)</f>
        <v>4.2270034580573282E-3</v>
      </c>
      <c r="K506" s="821"/>
      <c r="L506" s="822"/>
      <c r="M506" s="821"/>
      <c r="N506" s="823"/>
      <c r="O506" s="823"/>
      <c r="P506" s="823"/>
      <c r="Q506" s="823"/>
      <c r="R506" s="839"/>
      <c r="S506" s="821"/>
      <c r="T506" s="821"/>
      <c r="U506" s="825"/>
      <c r="V506" s="826"/>
    </row>
    <row r="507" spans="1:32" ht="15" customHeight="1">
      <c r="A507" s="1435"/>
      <c r="B507" s="827">
        <f>B506</f>
        <v>0</v>
      </c>
      <c r="C507" s="828" t="s">
        <v>768</v>
      </c>
      <c r="D507" s="829" t="str">
        <f>IF(AC507=130, "130 × 130", IF(AC507=160, "160 × 160", IF(AC507=110, "110 × 110", "Value not 130, 160, or 110")))</f>
        <v>Value not 130, 160, or 110</v>
      </c>
      <c r="E507" s="830">
        <f>AD507</f>
        <v>0</v>
      </c>
      <c r="F507" s="831">
        <f ca="1">IF(X507 &gt; 0.1, RAND() * (0.1 - 0.06) + 0.06, X507)</f>
        <v>0</v>
      </c>
      <c r="G507" s="831">
        <f ca="1">IF(Y507 &lt; 0.5, 0.5 + RAND() * 0.1, Y507)</f>
        <v>0.56037768061465765</v>
      </c>
      <c r="H507" s="830">
        <f ca="1">IF(AB507&gt;0.04, 0.029 + (0.039-0.029)*RAND(), AB507)</f>
        <v>0</v>
      </c>
      <c r="I507" s="830">
        <f ca="1">IF(AA507&gt;0.04, 0.029 + (0.039-0.029)*RAND(), AA507)</f>
        <v>0</v>
      </c>
      <c r="J507" s="831">
        <f ca="1">IF(Z507&gt;0.15, 0.11 + (0.15-0.11) * RAND(), Z507)</f>
        <v>0</v>
      </c>
      <c r="K507" s="830">
        <f ca="1">0.004 + (RAND() * (0.001 - 0.004))</f>
        <v>2.8062551384983462E-3</v>
      </c>
      <c r="L507" s="830">
        <f ca="1">H507+I507</f>
        <v>0</v>
      </c>
      <c r="M507" s="831">
        <f ca="1">(G507/6)+F507</f>
        <v>9.3396280102442941E-2</v>
      </c>
      <c r="N507" s="831">
        <f ca="1">2 + RAND()</f>
        <v>2.966168662639344</v>
      </c>
      <c r="O507" s="831">
        <f ca="1">1 + RAND()</f>
        <v>1.6826572563472078</v>
      </c>
      <c r="P507" s="831">
        <f ca="1">2.98 + (RAND() * (3.03 - 2.98))</f>
        <v>3.0212125934350786</v>
      </c>
      <c r="Q507" s="832" t="str">
        <f ca="1">IF(D507="130 × 130", (130 + RANDBETWEEN(-1,1)) &amp; " × " &amp; (130 + RANDBETWEEN(-1,1)),
   IF(D507="160 × 160", (160 + RANDBETWEEN(-1,1)) &amp; " × " &amp; (160 + RANDBETWEEN(-1,1)),
   IF(D507="110 × 110", (110 + RANDBETWEEN(-1,1)) &amp; " × " &amp; (110 + RANDBETWEEN(-1,1)),
   "Value not matched")))</f>
        <v>Value not matched</v>
      </c>
      <c r="R507" s="833" t="s">
        <v>213</v>
      </c>
      <c r="S507" s="834" t="str">
        <f ca="1">IF(G507&lt;0.6, "IS 14650 CPS 10748/GR2", "IS 14650 CPS 10748/GR3")</f>
        <v>IS 14650 CPS 10748/GR2</v>
      </c>
      <c r="T507" s="831" t="s">
        <v>769</v>
      </c>
      <c r="U507" s="825"/>
      <c r="V507" s="826"/>
      <c r="W507" s="206">
        <f>Prod.!B284</f>
        <v>0</v>
      </c>
      <c r="X507" s="469">
        <f>Prod.!C284</f>
        <v>0</v>
      </c>
      <c r="Y507" s="469">
        <f>Prod.!D284</f>
        <v>0</v>
      </c>
      <c r="Z507" s="469">
        <f>Prod.!E284</f>
        <v>0</v>
      </c>
      <c r="AA507" s="282">
        <f>Prod.!F284</f>
        <v>0</v>
      </c>
      <c r="AB507" s="282">
        <f>Prod.!G284</f>
        <v>0</v>
      </c>
      <c r="AC507" s="836">
        <f>Prod.!H284</f>
        <v>0</v>
      </c>
      <c r="AD507" s="282">
        <f>Prod.!AB284</f>
        <v>0</v>
      </c>
      <c r="AE507" s="282">
        <f>AD507-AF507</f>
        <v>0</v>
      </c>
      <c r="AF507" s="282">
        <f>Prod.!AA284</f>
        <v>0</v>
      </c>
    </row>
    <row r="508" spans="1:32" ht="15" customHeight="1">
      <c r="A508" s="1435">
        <v>12</v>
      </c>
      <c r="B508" s="818">
        <f>W509</f>
        <v>0</v>
      </c>
      <c r="C508" s="819" t="s">
        <v>765</v>
      </c>
      <c r="D508" s="822"/>
      <c r="E508" s="822"/>
      <c r="F508" s="821">
        <f ca="1">F509 + (RAND() * 0.02 - 0.01)</f>
        <v>-3.2881869875785678E-3</v>
      </c>
      <c r="G508" s="821">
        <f ca="1">G509 + (RAND() * 0.06 - 0.03)</f>
        <v>0.58404739059889388</v>
      </c>
      <c r="H508" s="822">
        <f ca="1">H509 + (RAND() * 0.006 - 0.003)</f>
        <v>1.1313375971171852E-4</v>
      </c>
      <c r="I508" s="822">
        <f ca="1">I509 + (RAND() * 0.006 - 0.003)</f>
        <v>2.4566699621928027E-3</v>
      </c>
      <c r="J508" s="821">
        <f ca="1">J509 + (RAND() * 0.02 - 0.01)</f>
        <v>9.9613447758484675E-3</v>
      </c>
      <c r="K508" s="821"/>
      <c r="L508" s="822"/>
      <c r="M508" s="821"/>
      <c r="N508" s="823"/>
      <c r="O508" s="823"/>
      <c r="P508" s="823"/>
      <c r="Q508" s="823"/>
      <c r="R508" s="839"/>
      <c r="S508" s="821"/>
      <c r="T508" s="821"/>
      <c r="U508" s="825"/>
      <c r="V508" s="826"/>
    </row>
    <row r="509" spans="1:32" ht="15" customHeight="1">
      <c r="A509" s="1435"/>
      <c r="B509" s="827">
        <f>B508</f>
        <v>0</v>
      </c>
      <c r="C509" s="828" t="s">
        <v>768</v>
      </c>
      <c r="D509" s="829" t="str">
        <f>IF(AC509=130, "130 × 130", IF(AC509=160, "160 × 160", IF(AC509=110, "110 × 110", "Value not 130, 160, or 110")))</f>
        <v>Value not 130, 160, or 110</v>
      </c>
      <c r="E509" s="830">
        <f>AD509</f>
        <v>0</v>
      </c>
      <c r="F509" s="831">
        <f ca="1">IF(X509 &gt; 0.1, RAND() * (0.1 - 0.06) + 0.06, X509)</f>
        <v>0</v>
      </c>
      <c r="G509" s="831">
        <f ca="1">IF(Y509 &lt; 0.5, 0.5 + RAND() * 0.1, Y509)</f>
        <v>0.59896456483143179</v>
      </c>
      <c r="H509" s="830">
        <f ca="1">IF(AB509&gt;0.04, 0.029 + (0.039-0.029)*RAND(), AB509)</f>
        <v>0</v>
      </c>
      <c r="I509" s="830">
        <f ca="1">IF(AA509&gt;0.04, 0.029 + (0.039-0.029)*RAND(), AA509)</f>
        <v>0</v>
      </c>
      <c r="J509" s="831">
        <f ca="1">IF(Z509&gt;0.15, 0.11 + (0.15-0.11) * RAND(), Z509)</f>
        <v>0</v>
      </c>
      <c r="K509" s="830">
        <f ca="1">0.004 + (RAND() * (0.001 - 0.004))</f>
        <v>2.8939210555050969E-3</v>
      </c>
      <c r="L509" s="830">
        <f ca="1">H509+I509</f>
        <v>0</v>
      </c>
      <c r="M509" s="831">
        <f ca="1">(G509/6)+F509</f>
        <v>9.9827427471905303E-2</v>
      </c>
      <c r="N509" s="831">
        <f ca="1">2 + RAND()</f>
        <v>2.1617139528142739</v>
      </c>
      <c r="O509" s="831">
        <f ca="1">1 + RAND()</f>
        <v>1.6809709676944906</v>
      </c>
      <c r="P509" s="831">
        <f ca="1">2.98 + (RAND() * (3.03 - 2.98))</f>
        <v>3.0248890354464728</v>
      </c>
      <c r="Q509" s="832" t="str">
        <f ca="1">IF(D509="130 × 130", (130 + RANDBETWEEN(-1,1)) &amp; " × " &amp; (130 + RANDBETWEEN(-1,1)),
   IF(D509="160 × 160", (160 + RANDBETWEEN(-1,1)) &amp; " × " &amp; (160 + RANDBETWEEN(-1,1)),
   IF(D509="110 × 110", (110 + RANDBETWEEN(-1,1)) &amp; " × " &amp; (110 + RANDBETWEEN(-1,1)),
   "Value not matched")))</f>
        <v>Value not matched</v>
      </c>
      <c r="R509" s="833" t="s">
        <v>213</v>
      </c>
      <c r="S509" s="834" t="str">
        <f ca="1">IF(G509&lt;0.6, "IS 14650 CPS 10748/GR2", "IS 14650 CPS 10748/GR3")</f>
        <v>IS 14650 CPS 10748/GR2</v>
      </c>
      <c r="T509" s="831" t="s">
        <v>769</v>
      </c>
      <c r="U509" s="825"/>
      <c r="V509" s="826"/>
      <c r="W509" s="206">
        <f>Prod.!B285</f>
        <v>0</v>
      </c>
      <c r="X509" s="469">
        <f>Prod.!C285</f>
        <v>0</v>
      </c>
      <c r="Y509" s="469">
        <f>Prod.!D285</f>
        <v>0</v>
      </c>
      <c r="Z509" s="469">
        <f>Prod.!E285</f>
        <v>0</v>
      </c>
      <c r="AA509" s="282">
        <f>Prod.!F285</f>
        <v>0</v>
      </c>
      <c r="AB509" s="282">
        <f>Prod.!G285</f>
        <v>0</v>
      </c>
      <c r="AC509" s="836">
        <f>Prod.!H285</f>
        <v>0</v>
      </c>
      <c r="AD509" s="282">
        <f>Prod.!AB285</f>
        <v>0</v>
      </c>
      <c r="AE509" s="282">
        <f>AD509-AF509</f>
        <v>0</v>
      </c>
      <c r="AF509" s="282">
        <f>Prod.!AA285</f>
        <v>0</v>
      </c>
    </row>
    <row r="510" spans="1:32" ht="15" customHeight="1">
      <c r="A510" s="1435"/>
      <c r="B510" s="818"/>
      <c r="C510" s="819"/>
      <c r="D510" s="822"/>
      <c r="E510" s="822"/>
      <c r="F510" s="821"/>
      <c r="G510" s="821"/>
      <c r="H510" s="840"/>
      <c r="I510" s="840"/>
      <c r="J510" s="821"/>
      <c r="K510" s="821"/>
      <c r="L510" s="822"/>
      <c r="M510" s="838"/>
      <c r="N510" s="821"/>
      <c r="O510" s="821"/>
      <c r="P510" s="821"/>
      <c r="Q510" s="821"/>
      <c r="R510" s="839"/>
      <c r="S510" s="841"/>
      <c r="T510" s="821"/>
      <c r="U510" s="825"/>
      <c r="V510" s="826"/>
    </row>
    <row r="511" spans="1:32" ht="15" customHeight="1">
      <c r="A511" s="1435"/>
      <c r="B511" s="827"/>
      <c r="C511" s="828"/>
      <c r="D511" s="842"/>
      <c r="E511" s="830"/>
      <c r="F511" s="831"/>
      <c r="G511" s="831"/>
      <c r="H511" s="843"/>
      <c r="I511" s="843"/>
      <c r="J511" s="831"/>
      <c r="K511" s="831"/>
      <c r="L511" s="830"/>
      <c r="M511" s="831"/>
      <c r="N511" s="831"/>
      <c r="O511" s="831"/>
      <c r="P511" s="831"/>
      <c r="Q511" s="831"/>
      <c r="R511" s="833"/>
      <c r="S511" s="834"/>
      <c r="T511" s="831"/>
      <c r="U511" s="825"/>
      <c r="V511" s="826"/>
    </row>
    <row r="512" spans="1:32" ht="15" customHeight="1">
      <c r="A512" s="180"/>
      <c r="B512" s="180"/>
      <c r="C512" s="180" t="s">
        <v>770</v>
      </c>
      <c r="D512" s="395"/>
      <c r="E512" s="844">
        <f>SUM(E486:E509)</f>
        <v>0</v>
      </c>
      <c r="F512" s="180"/>
      <c r="G512" s="180"/>
      <c r="H512" s="844"/>
      <c r="I512" s="180"/>
      <c r="J512" s="845"/>
      <c r="K512" s="845"/>
      <c r="L512" s="180"/>
      <c r="M512" s="845"/>
      <c r="N512" s="180"/>
      <c r="O512" s="180"/>
      <c r="P512" s="180"/>
      <c r="Q512" s="180"/>
      <c r="R512" s="263"/>
      <c r="S512" s="180"/>
      <c r="T512" s="180"/>
    </row>
    <row r="513" spans="1:32" ht="28.5" customHeight="1">
      <c r="A513" s="1436" t="s">
        <v>746</v>
      </c>
      <c r="B513" s="1436"/>
      <c r="C513" s="1436"/>
      <c r="D513" s="1436"/>
      <c r="E513" s="1436"/>
      <c r="F513" s="1436"/>
      <c r="G513" s="1436"/>
      <c r="H513" s="1436"/>
      <c r="I513" s="1436"/>
      <c r="J513" s="1436"/>
      <c r="K513" s="1436"/>
      <c r="L513" s="1436"/>
      <c r="M513" s="1436"/>
      <c r="N513" s="1436"/>
      <c r="O513" s="1436"/>
      <c r="P513" s="1436"/>
      <c r="Q513" s="1436"/>
      <c r="R513" s="1436"/>
      <c r="S513" s="1436"/>
      <c r="T513" s="1436"/>
      <c r="U513" s="515"/>
      <c r="V513" s="846"/>
    </row>
    <row r="514" spans="1:32" ht="15" customHeight="1">
      <c r="A514" s="1437" t="s">
        <v>747</v>
      </c>
      <c r="B514" s="1437"/>
      <c r="C514" s="1437"/>
      <c r="D514" s="1437"/>
      <c r="E514" s="1437"/>
      <c r="F514" s="1437"/>
      <c r="G514" s="1437"/>
      <c r="H514" s="1437"/>
      <c r="I514" s="1437"/>
      <c r="J514" s="1437"/>
      <c r="K514" s="1437"/>
      <c r="L514" s="1437"/>
      <c r="M514" s="1437"/>
      <c r="N514" s="1437"/>
      <c r="O514" s="1437"/>
      <c r="P514" s="1437"/>
      <c r="Q514" s="1437"/>
      <c r="R514" s="1437"/>
      <c r="S514" s="1437"/>
      <c r="T514" s="1437"/>
      <c r="U514" s="806"/>
      <c r="V514" s="807"/>
    </row>
    <row r="515" spans="1:32" ht="15" customHeight="1">
      <c r="A515" s="1438" t="str">
        <f>"DATE OF MANUFACTURING : " &amp; TEXT(V519, "DD-MM-YYYY")</f>
        <v>DATE OF MANUFACTURING : 00-01-1900</v>
      </c>
      <c r="B515" s="1438"/>
      <c r="C515" s="1438"/>
      <c r="D515" s="1438"/>
      <c r="E515" s="1438"/>
      <c r="F515" s="1438"/>
      <c r="G515" s="1438"/>
      <c r="H515" s="1438"/>
      <c r="I515" s="1438"/>
      <c r="J515" s="1438"/>
      <c r="K515" s="1438"/>
      <c r="L515" s="1438"/>
      <c r="M515" s="1438"/>
      <c r="N515" s="1437" t="s">
        <v>748</v>
      </c>
      <c r="O515" s="1437"/>
      <c r="P515" s="1437"/>
      <c r="Q515" s="1437"/>
      <c r="R515" s="1437"/>
      <c r="S515" s="1437"/>
      <c r="T515" s="1437"/>
      <c r="U515" s="808"/>
      <c r="V515" s="809"/>
    </row>
    <row r="516" spans="1:32" ht="29.25" customHeight="1">
      <c r="A516" s="1439" t="s">
        <v>749</v>
      </c>
      <c r="B516" s="1440" t="s">
        <v>750</v>
      </c>
      <c r="C516" s="1440"/>
      <c r="D516" s="1440" t="s">
        <v>751</v>
      </c>
      <c r="E516" s="1441" t="s">
        <v>752</v>
      </c>
      <c r="F516" s="1442" t="s">
        <v>753</v>
      </c>
      <c r="G516" s="1442"/>
      <c r="H516" s="1442"/>
      <c r="I516" s="1442"/>
      <c r="J516" s="1442"/>
      <c r="K516" s="1442"/>
      <c r="L516" s="1442"/>
      <c r="M516" s="1442"/>
      <c r="N516" s="1442" t="s">
        <v>754</v>
      </c>
      <c r="O516" s="1442"/>
      <c r="P516" s="1442"/>
      <c r="Q516" s="1442"/>
      <c r="R516" s="1443" t="s">
        <v>771</v>
      </c>
      <c r="S516" s="1441" t="s">
        <v>756</v>
      </c>
      <c r="T516" s="1440" t="s">
        <v>104</v>
      </c>
      <c r="U516" s="810"/>
      <c r="V516" s="811"/>
    </row>
    <row r="517" spans="1:32" ht="42.75" customHeight="1">
      <c r="A517" s="1439"/>
      <c r="B517" s="1440"/>
      <c r="C517" s="1440"/>
      <c r="D517" s="1440"/>
      <c r="E517" s="1440"/>
      <c r="F517" s="812" t="s">
        <v>40</v>
      </c>
      <c r="G517" s="812" t="s">
        <v>757</v>
      </c>
      <c r="H517" s="813" t="s">
        <v>758</v>
      </c>
      <c r="I517" s="812" t="s">
        <v>43</v>
      </c>
      <c r="J517" s="812" t="s">
        <v>42</v>
      </c>
      <c r="K517" s="812" t="s">
        <v>759</v>
      </c>
      <c r="L517" s="812" t="s">
        <v>760</v>
      </c>
      <c r="M517" s="812" t="s">
        <v>761</v>
      </c>
      <c r="N517" s="814" t="s">
        <v>762</v>
      </c>
      <c r="O517" s="815" t="s">
        <v>772</v>
      </c>
      <c r="P517" s="816" t="s">
        <v>773</v>
      </c>
      <c r="Q517" s="817" t="s">
        <v>764</v>
      </c>
      <c r="R517" s="1443"/>
      <c r="S517" s="1443"/>
      <c r="T517" s="1443"/>
      <c r="U517" s="810"/>
      <c r="V517" s="811"/>
    </row>
    <row r="518" spans="1:32" ht="15" customHeight="1">
      <c r="A518" s="1435">
        <v>1</v>
      </c>
      <c r="B518" s="818">
        <f>W519</f>
        <v>0</v>
      </c>
      <c r="C518" s="819" t="s">
        <v>765</v>
      </c>
      <c r="D518" s="820"/>
      <c r="E518" s="821"/>
      <c r="F518" s="821">
        <f ca="1">F519 + (RAND() * 0.02 - 0.01)</f>
        <v>-5.9601086946681116E-3</v>
      </c>
      <c r="G518" s="821">
        <f ca="1">G519 + (RAND() * 0.06 - 0.03)</f>
        <v>0.56717824993497157</v>
      </c>
      <c r="H518" s="822">
        <f ca="1">H519 + (RAND() * 0.006 - 0.003)</f>
        <v>1.1404185938082255E-3</v>
      </c>
      <c r="I518" s="822">
        <f ca="1">I519 + (RAND() * 0.006 - 0.003)</f>
        <v>-5.9796958274349133E-4</v>
      </c>
      <c r="J518" s="821">
        <f ca="1">J519 + (RAND() * 0.02 - 0.01)</f>
        <v>3.2715631170393E-3</v>
      </c>
      <c r="K518" s="821"/>
      <c r="L518" s="822"/>
      <c r="M518" s="821"/>
      <c r="N518" s="823"/>
      <c r="O518" s="823"/>
      <c r="P518" s="823"/>
      <c r="Q518" s="823"/>
      <c r="R518" s="824"/>
      <c r="S518" s="821"/>
      <c r="T518" s="821"/>
      <c r="U518" s="825"/>
      <c r="V518" s="826"/>
      <c r="AE518" t="s">
        <v>767</v>
      </c>
    </row>
    <row r="519" spans="1:32" ht="15" customHeight="1">
      <c r="A519" s="1435"/>
      <c r="B519" s="827">
        <f>B518</f>
        <v>0</v>
      </c>
      <c r="C519" s="828" t="s">
        <v>768</v>
      </c>
      <c r="D519" s="829" t="str">
        <f>IF(AC519=130, "130 × 130", IF(AC519=160, "160 × 160", IF(AC519=110, "110 × 110", "Value not 130, 160, or 110")))</f>
        <v>Value not 130, 160, or 110</v>
      </c>
      <c r="E519" s="830">
        <f>AD519</f>
        <v>0</v>
      </c>
      <c r="F519" s="831">
        <f ca="1">IF(X519 &gt; 0.1, RAND() * (0.1 - 0.06) + 0.06, X519)</f>
        <v>0</v>
      </c>
      <c r="G519" s="831">
        <f ca="1">IF(Y519 &lt; 0.5, 0.5 + RAND() * 0.1, Y519)</f>
        <v>0.56144053170767028</v>
      </c>
      <c r="H519" s="830">
        <f ca="1">IF(AB519&gt;0.04, 0.029 + (0.039-0.029)*RAND(), AB519)</f>
        <v>0</v>
      </c>
      <c r="I519" s="830">
        <f ca="1">IF(AA519&gt;0.04, 0.029 + (0.039-0.029)*RAND(), AA519)</f>
        <v>0</v>
      </c>
      <c r="J519" s="831">
        <f ca="1">IF(Z519&gt;0.15, 0.11 + (0.15-0.11) * RAND(), Z519)</f>
        <v>0</v>
      </c>
      <c r="K519" s="830">
        <f ca="1">0.004 + (RAND() * (0.001 - 0.004))</f>
        <v>1.1776551263178387E-3</v>
      </c>
      <c r="L519" s="830">
        <f ca="1">H519+I519</f>
        <v>0</v>
      </c>
      <c r="M519" s="831">
        <f ca="1">(G519/6)+F519</f>
        <v>9.3573421951278379E-2</v>
      </c>
      <c r="N519" s="831">
        <f ca="1">2 + RAND()</f>
        <v>2.8530037435576103</v>
      </c>
      <c r="O519" s="831">
        <f ca="1">1 + RAND()</f>
        <v>1.289531324169624</v>
      </c>
      <c r="P519" s="831">
        <f ca="1">2.98 + (RAND() * (3.03 - 2.98))</f>
        <v>2.9808093051844455</v>
      </c>
      <c r="Q519" s="832" t="str">
        <f ca="1">IF(D519="130 × 130", (130 + RANDBETWEEN(-1,1)) &amp; " × " &amp; (130 + RANDBETWEEN(-1,1)),
   IF(D519="160 × 160", (160 + RANDBETWEEN(-1,1)) &amp; " × " &amp; (160 + RANDBETWEEN(-1,1)),
   IF(D519="110 × 110", (110 + RANDBETWEEN(-1,1)) &amp; " × " &amp; (110 + RANDBETWEEN(-1,1)),
   "Value not matched")))</f>
        <v>Value not matched</v>
      </c>
      <c r="R519" s="833" t="s">
        <v>213</v>
      </c>
      <c r="S519" s="834" t="str">
        <f ca="1">IF(G519&lt;0.6, "IS 14650 CPS 10748/GR2", "IS 14650 CPS 10748/GR3")</f>
        <v>IS 14650 CPS 10748/GR2</v>
      </c>
      <c r="T519" s="831" t="s">
        <v>769</v>
      </c>
      <c r="U519" s="825"/>
      <c r="V519" s="835">
        <f>Prod.!A292</f>
        <v>0</v>
      </c>
      <c r="W519" s="206">
        <f>Prod.!B292</f>
        <v>0</v>
      </c>
      <c r="X519" s="469">
        <f>Prod.!C292</f>
        <v>0</v>
      </c>
      <c r="Y519" s="469">
        <f>Prod.!D292</f>
        <v>0</v>
      </c>
      <c r="Z519" s="469">
        <f>Prod.!E292</f>
        <v>0</v>
      </c>
      <c r="AA519" s="282">
        <f>Prod.!F292</f>
        <v>0</v>
      </c>
      <c r="AB519" s="282">
        <f>Prod.!G292</f>
        <v>0</v>
      </c>
      <c r="AC519" s="836">
        <f>Prod.!H292</f>
        <v>0</v>
      </c>
      <c r="AD519" s="282">
        <f>Prod.!AB292</f>
        <v>0</v>
      </c>
      <c r="AE519" s="282">
        <f>AD519-AF519</f>
        <v>0</v>
      </c>
      <c r="AF519" s="282">
        <f>Prod.!AA292</f>
        <v>0</v>
      </c>
    </row>
    <row r="520" spans="1:32" ht="15" customHeight="1">
      <c r="A520" s="1435">
        <v>2</v>
      </c>
      <c r="B520" s="818">
        <f>W521</f>
        <v>0</v>
      </c>
      <c r="C520" s="819" t="s">
        <v>765</v>
      </c>
      <c r="D520" s="822"/>
      <c r="E520" s="822"/>
      <c r="F520" s="821">
        <f ca="1">F521 + (RAND() * 0.02 - 0.01)</f>
        <v>-7.3755847746797467E-3</v>
      </c>
      <c r="G520" s="821">
        <f ca="1">G521 + (RAND() * 0.06 - 0.03)</f>
        <v>0.56552638078047568</v>
      </c>
      <c r="H520" s="822">
        <f ca="1">H521 + (RAND() * 0.006 - 0.003)</f>
        <v>2.9174838404389478E-3</v>
      </c>
      <c r="I520" s="822">
        <f ca="1">I521 + (RAND() * 0.006 - 0.003)</f>
        <v>6.6180960876122521E-4</v>
      </c>
      <c r="J520" s="821">
        <f ca="1">J521 + (RAND() * 0.02 - 0.01)</f>
        <v>5.1995492742492374E-3</v>
      </c>
      <c r="K520" s="821"/>
      <c r="L520" s="822"/>
      <c r="M520" s="821"/>
      <c r="N520" s="823"/>
      <c r="O520" s="823"/>
      <c r="P520" s="823"/>
      <c r="Q520" s="823"/>
      <c r="R520" s="837"/>
      <c r="S520" s="821"/>
      <c r="T520" s="838"/>
      <c r="U520" s="825"/>
      <c r="V520" s="826"/>
    </row>
    <row r="521" spans="1:32" ht="15" customHeight="1">
      <c r="A521" s="1435"/>
      <c r="B521" s="827">
        <f>B520</f>
        <v>0</v>
      </c>
      <c r="C521" s="828" t="s">
        <v>768</v>
      </c>
      <c r="D521" s="829" t="str">
        <f>IF(AC521=130, "130 × 130", IF(AC521=160, "160 × 160", IF(AC521=110, "110 × 110", "Value not 130, 160, or 110")))</f>
        <v>Value not 130, 160, or 110</v>
      </c>
      <c r="E521" s="830">
        <f>AD521</f>
        <v>0</v>
      </c>
      <c r="F521" s="831">
        <f ca="1">IF(X521 &gt; 0.1, RAND() * (0.1 - 0.06) + 0.06, X521)</f>
        <v>0</v>
      </c>
      <c r="G521" s="831">
        <f ca="1">IF(Y521 &lt; 0.5, 0.5 + RAND() * 0.1, Y521)</f>
        <v>0.56117136581123295</v>
      </c>
      <c r="H521" s="830">
        <f ca="1">IF(AB521&gt;0.04, 0.029 + (0.039-0.029)*RAND(), AB521)</f>
        <v>0</v>
      </c>
      <c r="I521" s="830">
        <f ca="1">IF(AA521&gt;0.04, 0.029 + (0.039-0.029)*RAND(), AA521)</f>
        <v>0</v>
      </c>
      <c r="J521" s="831">
        <f ca="1">IF(Z521&gt;0.15, 0.11 + (0.15-0.11) * RAND(), Z521)</f>
        <v>0</v>
      </c>
      <c r="K521" s="830">
        <f ca="1">0.004 + (RAND() * (0.001 - 0.004))</f>
        <v>2.0369120053407262E-3</v>
      </c>
      <c r="L521" s="830">
        <f ca="1">H521+I521</f>
        <v>0</v>
      </c>
      <c r="M521" s="831">
        <f ca="1">(G521/6)+F521</f>
        <v>9.3528560968538829E-2</v>
      </c>
      <c r="N521" s="831">
        <f ca="1">2 + RAND()</f>
        <v>2.1426845265102079</v>
      </c>
      <c r="O521" s="831">
        <f ca="1">1 + RAND()</f>
        <v>1.7875565611272344</v>
      </c>
      <c r="P521" s="831">
        <f ca="1">2.98 + (RAND() * (3.03 - 2.98))</f>
        <v>2.9860013857095615</v>
      </c>
      <c r="Q521" s="832" t="str">
        <f ca="1">IF(D521="130 × 130", (130 + RANDBETWEEN(-1,1)) &amp; " × " &amp; (130 + RANDBETWEEN(-1,1)),
   IF(D521="160 × 160", (160 + RANDBETWEEN(-1,1)) &amp; " × " &amp; (160 + RANDBETWEEN(-1,1)),
   IF(D521="110 × 110", (110 + RANDBETWEEN(-1,1)) &amp; " × " &amp; (110 + RANDBETWEEN(-1,1)),
   "Value not matched")))</f>
        <v>Value not matched</v>
      </c>
      <c r="R521" s="833" t="s">
        <v>213</v>
      </c>
      <c r="S521" s="834" t="str">
        <f ca="1">IF(G521&lt;0.6, "IS 14650 CPS 10748/GR2", "IS 14650 CPS 10748/GR3")</f>
        <v>IS 14650 CPS 10748/GR2</v>
      </c>
      <c r="T521" s="831" t="s">
        <v>769</v>
      </c>
      <c r="U521" s="825"/>
      <c r="V521" s="826"/>
      <c r="W521" s="206">
        <f>Prod.!B293</f>
        <v>0</v>
      </c>
      <c r="X521" s="469">
        <f>Prod.!C293</f>
        <v>0</v>
      </c>
      <c r="Y521" s="469">
        <f>Prod.!D293</f>
        <v>0</v>
      </c>
      <c r="Z521" s="469">
        <f>Prod.!E293</f>
        <v>0</v>
      </c>
      <c r="AA521" s="282">
        <f>Prod.!F293</f>
        <v>0</v>
      </c>
      <c r="AB521" s="282">
        <f>Prod.!G293</f>
        <v>0</v>
      </c>
      <c r="AC521" s="836">
        <f>Prod.!H293</f>
        <v>0</v>
      </c>
      <c r="AD521" s="282">
        <f>Prod.!AB293</f>
        <v>0</v>
      </c>
      <c r="AE521" s="282">
        <f>AD521-AF521</f>
        <v>0</v>
      </c>
      <c r="AF521" s="282">
        <f>Prod.!AA293</f>
        <v>0</v>
      </c>
    </row>
    <row r="522" spans="1:32" ht="15" customHeight="1">
      <c r="A522" s="1435">
        <v>3</v>
      </c>
      <c r="B522" s="818">
        <f>W523</f>
        <v>0</v>
      </c>
      <c r="C522" s="819" t="s">
        <v>765</v>
      </c>
      <c r="D522" s="822"/>
      <c r="E522" s="822"/>
      <c r="F522" s="821">
        <f ca="1">F523 + (RAND() * 0.02 - 0.01)</f>
        <v>3.728777910460012E-3</v>
      </c>
      <c r="G522" s="821">
        <f ca="1">G523 + (RAND() * 0.06 - 0.03)</f>
        <v>0.55521015060118561</v>
      </c>
      <c r="H522" s="822">
        <f ca="1">H523 + (RAND() * 0.006 - 0.003)</f>
        <v>2.376300748547608E-3</v>
      </c>
      <c r="I522" s="822">
        <f ca="1">I523 + (RAND() * 0.006 - 0.003)</f>
        <v>-6.4039449159531033E-4</v>
      </c>
      <c r="J522" s="821">
        <f ca="1">J523 + (RAND() * 0.02 - 0.01)</f>
        <v>-9.5655399861119435E-4</v>
      </c>
      <c r="K522" s="821"/>
      <c r="L522" s="822"/>
      <c r="M522" s="821"/>
      <c r="N522" s="823"/>
      <c r="O522" s="823"/>
      <c r="P522" s="823"/>
      <c r="Q522" s="823"/>
      <c r="R522" s="839"/>
      <c r="S522" s="821"/>
      <c r="T522" s="821"/>
      <c r="U522" s="825"/>
      <c r="V522" s="826"/>
    </row>
    <row r="523" spans="1:32" ht="15" customHeight="1">
      <c r="A523" s="1435"/>
      <c r="B523" s="827">
        <f>B522</f>
        <v>0</v>
      </c>
      <c r="C523" s="828" t="s">
        <v>768</v>
      </c>
      <c r="D523" s="829" t="str">
        <f>IF(AC523=130, "130 × 130", IF(AC523=160, "160 × 160", IF(AC523=110, "110 × 110", "Value not 130, 160, or 110")))</f>
        <v>Value not 130, 160, or 110</v>
      </c>
      <c r="E523" s="830">
        <f>AD523</f>
        <v>0</v>
      </c>
      <c r="F523" s="831">
        <f ca="1">IF(X523 &gt; 0.1, RAND() * (0.1 - 0.06) + 0.06, X523)</f>
        <v>0</v>
      </c>
      <c r="G523" s="831">
        <f ca="1">IF(Y523 &lt; 0.5, 0.5 + RAND() * 0.1, Y523)</f>
        <v>0.54600661025927255</v>
      </c>
      <c r="H523" s="830">
        <f ca="1">IF(AB523&gt;0.04, 0.029 + (0.039-0.029)*RAND(), AB523)</f>
        <v>0</v>
      </c>
      <c r="I523" s="830">
        <f ca="1">IF(AA523&gt;0.04, 0.029 + (0.039-0.029)*RAND(), AA523)</f>
        <v>0</v>
      </c>
      <c r="J523" s="831">
        <f ca="1">IF(Z523&gt;0.15, 0.11 + (0.15-0.11) * RAND(), Z523)</f>
        <v>0</v>
      </c>
      <c r="K523" s="830">
        <f ca="1">0.004 + (RAND() * (0.001 - 0.004))</f>
        <v>1.7213067252278532E-3</v>
      </c>
      <c r="L523" s="830">
        <f ca="1">H523+I523</f>
        <v>0</v>
      </c>
      <c r="M523" s="831">
        <f ca="1">(G523/6)+F523</f>
        <v>9.1001101709878754E-2</v>
      </c>
      <c r="N523" s="831">
        <f ca="1">2 + RAND()</f>
        <v>2.2727340147592816</v>
      </c>
      <c r="O523" s="831">
        <f ca="1">1 + RAND()</f>
        <v>1.3686504436740585</v>
      </c>
      <c r="P523" s="831">
        <f ca="1">2.98 + (RAND() * (3.03 - 2.98))</f>
        <v>3.0099211099033432</v>
      </c>
      <c r="Q523" s="832" t="str">
        <f ca="1">IF(D523="130 × 130", (130 + RANDBETWEEN(-1,1)) &amp; " × " &amp; (130 + RANDBETWEEN(-1,1)),
   IF(D523="160 × 160", (160 + RANDBETWEEN(-1,1)) &amp; " × " &amp; (160 + RANDBETWEEN(-1,1)),
   IF(D523="110 × 110", (110 + RANDBETWEEN(-1,1)) &amp; " × " &amp; (110 + RANDBETWEEN(-1,1)),
   "Value not matched")))</f>
        <v>Value not matched</v>
      </c>
      <c r="R523" s="833" t="s">
        <v>213</v>
      </c>
      <c r="S523" s="834" t="str">
        <f ca="1">IF(G523&lt;0.6, "IS 14650 CPS 10748/GR2", "IS 14650 CPS 10748/GR3")</f>
        <v>IS 14650 CPS 10748/GR2</v>
      </c>
      <c r="T523" s="831" t="s">
        <v>769</v>
      </c>
      <c r="U523" s="825"/>
      <c r="V523" s="826"/>
      <c r="W523" s="206">
        <f>Prod.!B294</f>
        <v>0</v>
      </c>
      <c r="X523" s="469">
        <f>Prod.!C294</f>
        <v>0</v>
      </c>
      <c r="Y523" s="469">
        <f>Prod.!D294</f>
        <v>0</v>
      </c>
      <c r="Z523" s="469">
        <f>Prod.!E294</f>
        <v>0</v>
      </c>
      <c r="AA523" s="282">
        <f>Prod.!F294</f>
        <v>0</v>
      </c>
      <c r="AB523" s="282">
        <f>Prod.!G294</f>
        <v>0</v>
      </c>
      <c r="AC523" s="836">
        <f>Prod.!H294</f>
        <v>0</v>
      </c>
      <c r="AD523" s="282">
        <f>Prod.!AB294</f>
        <v>0</v>
      </c>
      <c r="AE523" s="282">
        <f>AD523-AF523</f>
        <v>0</v>
      </c>
      <c r="AF523" s="282">
        <f>Prod.!AA294</f>
        <v>0</v>
      </c>
    </row>
    <row r="524" spans="1:32" ht="15" customHeight="1">
      <c r="A524" s="1435">
        <v>4</v>
      </c>
      <c r="B524" s="818">
        <f>W525</f>
        <v>0</v>
      </c>
      <c r="C524" s="819" t="s">
        <v>765</v>
      </c>
      <c r="D524" s="822"/>
      <c r="E524" s="822"/>
      <c r="F524" s="821">
        <f ca="1">F525 + (RAND() * 0.02 - 0.01)</f>
        <v>4.4154912754593469E-3</v>
      </c>
      <c r="G524" s="821">
        <f ca="1">G525 + (RAND() * 0.06 - 0.03)</f>
        <v>0.54884826888108729</v>
      </c>
      <c r="H524" s="822">
        <f ca="1">H525 + (RAND() * 0.006 - 0.003)</f>
        <v>-3.5927604512049714E-4</v>
      </c>
      <c r="I524" s="822">
        <f ca="1">I525 + (RAND() * 0.006 - 0.003)</f>
        <v>4.778687917551044E-4</v>
      </c>
      <c r="J524" s="821">
        <f ca="1">J525 + (RAND() * 0.02 - 0.01)</f>
        <v>5.9297781931253717E-3</v>
      </c>
      <c r="K524" s="821"/>
      <c r="L524" s="822"/>
      <c r="M524" s="821"/>
      <c r="N524" s="823"/>
      <c r="O524" s="823"/>
      <c r="P524" s="823"/>
      <c r="Q524" s="823"/>
      <c r="R524" s="839"/>
      <c r="S524" s="821"/>
      <c r="T524" s="821"/>
      <c r="U524" s="825"/>
      <c r="V524" s="826"/>
    </row>
    <row r="525" spans="1:32" ht="15" customHeight="1">
      <c r="A525" s="1435"/>
      <c r="B525" s="827">
        <f>B524</f>
        <v>0</v>
      </c>
      <c r="C525" s="828" t="s">
        <v>768</v>
      </c>
      <c r="D525" s="829" t="str">
        <f>IF(AC525=130, "130 × 130", IF(AC525=160, "160 × 160", IF(AC525=110, "110 × 110", "Value not 130, 160, or 110")))</f>
        <v>Value not 130, 160, or 110</v>
      </c>
      <c r="E525" s="830">
        <f>AD525</f>
        <v>0</v>
      </c>
      <c r="F525" s="831">
        <f ca="1">IF(X525 &gt; 0.1, RAND() * (0.1 - 0.06) + 0.06, X525)</f>
        <v>0</v>
      </c>
      <c r="G525" s="831">
        <f ca="1">IF(Y525 &lt; 0.5, 0.5 + RAND() * 0.1, Y525)</f>
        <v>0.53701835448207713</v>
      </c>
      <c r="H525" s="830">
        <f ca="1">IF(AB525&gt;0.04, 0.029 + (0.039-0.029)*RAND(), AB525)</f>
        <v>0</v>
      </c>
      <c r="I525" s="830">
        <f ca="1">IF(AA525&gt;0.04, 0.029 + (0.039-0.029)*RAND(), AA525)</f>
        <v>0</v>
      </c>
      <c r="J525" s="831">
        <f ca="1">IF(Z525&gt;0.15, 0.11 + (0.15-0.11) * RAND(), Z525)</f>
        <v>0</v>
      </c>
      <c r="K525" s="830">
        <f ca="1">0.004 + (RAND() * (0.001 - 0.004))</f>
        <v>3.331999736279314E-3</v>
      </c>
      <c r="L525" s="830">
        <f ca="1">H525+I525</f>
        <v>0</v>
      </c>
      <c r="M525" s="831">
        <f ca="1">(G525/6)+F525</f>
        <v>8.9503059080346184E-2</v>
      </c>
      <c r="N525" s="831">
        <f ca="1">2 + RAND()</f>
        <v>2.4873681351715176</v>
      </c>
      <c r="O525" s="831">
        <f ca="1">1 + RAND()</f>
        <v>1.4908286156664536</v>
      </c>
      <c r="P525" s="831">
        <f ca="1">2.98 + (RAND() * (3.03 - 2.98))</f>
        <v>2.9998686135155652</v>
      </c>
      <c r="Q525" s="832" t="str">
        <f ca="1">IF(D525="130 × 130", (130 + RANDBETWEEN(-1,1)) &amp; " × " &amp; (130 + RANDBETWEEN(-1,1)),
   IF(D525="160 × 160", (160 + RANDBETWEEN(-1,1)) &amp; " × " &amp; (160 + RANDBETWEEN(-1,1)),
   IF(D525="110 × 110", (110 + RANDBETWEEN(-1,1)) &amp; " × " &amp; (110 + RANDBETWEEN(-1,1)),
   "Value not matched")))</f>
        <v>Value not matched</v>
      </c>
      <c r="R525" s="833" t="s">
        <v>213</v>
      </c>
      <c r="S525" s="834" t="str">
        <f ca="1">IF(G525&lt;0.6, "IS 14650 CPS 10748/GR2", "IS 14650 CPS 10748/GR3")</f>
        <v>IS 14650 CPS 10748/GR2</v>
      </c>
      <c r="T525" s="831" t="s">
        <v>769</v>
      </c>
      <c r="U525" s="825"/>
      <c r="V525" s="826"/>
      <c r="W525" s="206">
        <f>Prod.!B295</f>
        <v>0</v>
      </c>
      <c r="X525" s="469">
        <f>Prod.!C295</f>
        <v>0</v>
      </c>
      <c r="Y525" s="469">
        <f>Prod.!D295</f>
        <v>0</v>
      </c>
      <c r="Z525" s="469">
        <f>Prod.!E295</f>
        <v>0</v>
      </c>
      <c r="AA525" s="282">
        <f>Prod.!F295</f>
        <v>0</v>
      </c>
      <c r="AB525" s="282">
        <f>Prod.!G295</f>
        <v>0</v>
      </c>
      <c r="AC525" s="836">
        <f>Prod.!H295</f>
        <v>0</v>
      </c>
      <c r="AD525" s="282">
        <f>Prod.!AB295</f>
        <v>0</v>
      </c>
      <c r="AE525" s="282">
        <f>AD525-AF525</f>
        <v>0</v>
      </c>
      <c r="AF525" s="282">
        <f>Prod.!AA295</f>
        <v>0</v>
      </c>
    </row>
    <row r="526" spans="1:32" ht="15" customHeight="1">
      <c r="A526" s="1435">
        <v>5</v>
      </c>
      <c r="B526" s="818">
        <f>W527</f>
        <v>0</v>
      </c>
      <c r="C526" s="819" t="s">
        <v>765</v>
      </c>
      <c r="D526" s="822"/>
      <c r="E526" s="822"/>
      <c r="F526" s="821">
        <f ca="1">F527 + (RAND() * 0.02 - 0.01)</f>
        <v>-5.8092759235690216E-3</v>
      </c>
      <c r="G526" s="821">
        <f ca="1">G527 + (RAND() * 0.06 - 0.03)</f>
        <v>0.60384681372049398</v>
      </c>
      <c r="H526" s="822">
        <f ca="1">H527 + (RAND() * 0.006 - 0.003)</f>
        <v>-8.6760316047009012E-4</v>
      </c>
      <c r="I526" s="822">
        <f ca="1">I527 + (RAND() * 0.006 - 0.003)</f>
        <v>-9.5576592724321138E-4</v>
      </c>
      <c r="J526" s="821">
        <f ca="1">J527 + (RAND() * 0.02 - 0.01)</f>
        <v>7.8956271275180314E-3</v>
      </c>
      <c r="K526" s="821"/>
      <c r="L526" s="822"/>
      <c r="M526" s="821"/>
      <c r="N526" s="823"/>
      <c r="O526" s="823"/>
      <c r="P526" s="823"/>
      <c r="Q526" s="823"/>
      <c r="R526" s="839"/>
      <c r="S526" s="821"/>
      <c r="T526" s="821"/>
      <c r="U526" s="825"/>
      <c r="V526" s="826"/>
    </row>
    <row r="527" spans="1:32" ht="15" customHeight="1">
      <c r="A527" s="1435"/>
      <c r="B527" s="827">
        <f>B526</f>
        <v>0</v>
      </c>
      <c r="C527" s="828" t="s">
        <v>768</v>
      </c>
      <c r="D527" s="829" t="str">
        <f>IF(AC527=130, "130 × 130", IF(AC527=160, "160 × 160", IF(AC527=110, "110 × 110", "Value not 130, 160, or 110")))</f>
        <v>Value not 130, 160, or 110</v>
      </c>
      <c r="E527" s="830">
        <f>AD527</f>
        <v>0</v>
      </c>
      <c r="F527" s="831">
        <f ca="1">IF(X527 &gt; 0.1, RAND() * (0.1 - 0.06) + 0.06, X527)</f>
        <v>0</v>
      </c>
      <c r="G527" s="831">
        <f ca="1">IF(Y527 &lt; 0.5, 0.5 + RAND() * 0.1, Y527)</f>
        <v>0.58097069719866046</v>
      </c>
      <c r="H527" s="830">
        <f ca="1">IF(AB527&gt;0.04, 0.029 + (0.039-0.029)*RAND(), AB527)</f>
        <v>0</v>
      </c>
      <c r="I527" s="830">
        <f ca="1">IF(AA527&gt;0.04, 0.029 + (0.039-0.029)*RAND(), AA527)</f>
        <v>0</v>
      </c>
      <c r="J527" s="831">
        <f ca="1">IF(Z527&gt;0.15, 0.11 + (0.15-0.11) * RAND(), Z527)</f>
        <v>0</v>
      </c>
      <c r="K527" s="830">
        <f ca="1">0.004 + (RAND() * (0.001 - 0.004))</f>
        <v>2.3443142780776097E-3</v>
      </c>
      <c r="L527" s="830">
        <f ca="1">H527+I527</f>
        <v>0</v>
      </c>
      <c r="M527" s="831">
        <f ca="1">(G527/6)+F527</f>
        <v>9.6828449533110081E-2</v>
      </c>
      <c r="N527" s="831">
        <f ca="1">2 + RAND()</f>
        <v>2.8540814871449873</v>
      </c>
      <c r="O527" s="831">
        <f ca="1">1 + RAND()</f>
        <v>1.3521349880870477</v>
      </c>
      <c r="P527" s="831">
        <f ca="1">2.98 + (RAND() * (3.03 - 2.98))</f>
        <v>2.9864694724929435</v>
      </c>
      <c r="Q527" s="832" t="str">
        <f ca="1">IF(D527="130 × 130", (130 + RANDBETWEEN(-1,1)) &amp; " × " &amp; (130 + RANDBETWEEN(-1,1)),
   IF(D527="160 × 160", (160 + RANDBETWEEN(-1,1)) &amp; " × " &amp; (160 + RANDBETWEEN(-1,1)),
   IF(D527="110 × 110", (110 + RANDBETWEEN(-1,1)) &amp; " × " &amp; (110 + RANDBETWEEN(-1,1)),
   "Value not matched")))</f>
        <v>Value not matched</v>
      </c>
      <c r="R527" s="833" t="s">
        <v>213</v>
      </c>
      <c r="S527" s="834" t="str">
        <f ca="1">IF(G527&lt;0.6, "IS 14650 CPS 10748/GR2", "IS 14650 CPS 10748/GR3")</f>
        <v>IS 14650 CPS 10748/GR2</v>
      </c>
      <c r="T527" s="831" t="s">
        <v>769</v>
      </c>
      <c r="U527" s="825"/>
      <c r="V527" s="826"/>
      <c r="W527" s="206">
        <f>Prod.!B296</f>
        <v>0</v>
      </c>
      <c r="X527" s="469">
        <f>Prod.!C296</f>
        <v>0</v>
      </c>
      <c r="Y527" s="469">
        <f>Prod.!D296</f>
        <v>0</v>
      </c>
      <c r="Z527" s="469">
        <f>Prod.!E296</f>
        <v>0</v>
      </c>
      <c r="AA527" s="282">
        <f>Prod.!F296</f>
        <v>0</v>
      </c>
      <c r="AB527" s="282">
        <f>Prod.!G296</f>
        <v>0</v>
      </c>
      <c r="AC527" s="836">
        <f>Prod.!H296</f>
        <v>0</v>
      </c>
      <c r="AD527" s="282">
        <f>Prod.!AB296</f>
        <v>0</v>
      </c>
      <c r="AE527" s="282">
        <f>AD527-AF527</f>
        <v>0</v>
      </c>
      <c r="AF527" s="282">
        <f>Prod.!AA296</f>
        <v>0</v>
      </c>
    </row>
    <row r="528" spans="1:32" ht="15" customHeight="1">
      <c r="A528" s="1435">
        <v>6</v>
      </c>
      <c r="B528" s="818">
        <f>W529</f>
        <v>0</v>
      </c>
      <c r="C528" s="819" t="s">
        <v>765</v>
      </c>
      <c r="D528" s="822"/>
      <c r="E528" s="822"/>
      <c r="F528" s="821">
        <f ca="1">F529 + (RAND() * 0.02 - 0.01)</f>
        <v>-2.4595893182167818E-3</v>
      </c>
      <c r="G528" s="821">
        <f ca="1">G529 + (RAND() * 0.06 - 0.03)</f>
        <v>0.55029795272148652</v>
      </c>
      <c r="H528" s="822">
        <f ca="1">H529 + (RAND() * 0.006 - 0.003)</f>
        <v>7.4374924744953583E-4</v>
      </c>
      <c r="I528" s="822">
        <f ca="1">I529 + (RAND() * 0.006 - 0.003)</f>
        <v>-4.9908185471906783E-4</v>
      </c>
      <c r="J528" s="821">
        <f ca="1">J529 + (RAND() * 0.02 - 0.01)</f>
        <v>-2.337079311440911E-3</v>
      </c>
      <c r="K528" s="821"/>
      <c r="L528" s="822"/>
      <c r="M528" s="821"/>
      <c r="N528" s="823"/>
      <c r="O528" s="823"/>
      <c r="P528" s="823"/>
      <c r="Q528" s="823"/>
      <c r="R528" s="839"/>
      <c r="S528" s="821"/>
      <c r="T528" s="821"/>
      <c r="U528" s="825"/>
      <c r="V528" s="826"/>
    </row>
    <row r="529" spans="1:32" ht="15" customHeight="1">
      <c r="A529" s="1435"/>
      <c r="B529" s="827">
        <f>B528</f>
        <v>0</v>
      </c>
      <c r="C529" s="828" t="s">
        <v>768</v>
      </c>
      <c r="D529" s="829" t="str">
        <f>IF(AC529=130, "130 × 130", IF(AC529=160, "160 × 160", IF(AC529=110, "110 × 110", "Value not 130, 160, or 110")))</f>
        <v>Value not 130, 160, or 110</v>
      </c>
      <c r="E529" s="830">
        <f>AD529</f>
        <v>0</v>
      </c>
      <c r="F529" s="831">
        <f ca="1">IF(X529 &gt; 0.1, RAND() * (0.1 - 0.06) + 0.06, X529)</f>
        <v>0</v>
      </c>
      <c r="G529" s="831">
        <f ca="1">IF(Y529 &lt; 0.5, 0.5 + RAND() * 0.1, Y529)</f>
        <v>0.5246107336972532</v>
      </c>
      <c r="H529" s="830">
        <f ca="1">IF(AB529&gt;0.04, 0.029 + (0.039-0.029)*RAND(), AB529)</f>
        <v>0</v>
      </c>
      <c r="I529" s="830">
        <f ca="1">IF(AA529&gt;0.04, 0.029 + (0.039-0.029)*RAND(), AA529)</f>
        <v>0</v>
      </c>
      <c r="J529" s="831">
        <f ca="1">IF(Z529&gt;0.15, 0.11 + (0.15-0.11) * RAND(), Z529)</f>
        <v>0</v>
      </c>
      <c r="K529" s="830">
        <f ca="1">0.004 + (RAND() * (0.001 - 0.004))</f>
        <v>1.8378809587913923E-3</v>
      </c>
      <c r="L529" s="830">
        <f ca="1">H529+I529</f>
        <v>0</v>
      </c>
      <c r="M529" s="831">
        <f ca="1">(G529/6)+F529</f>
        <v>8.7435122282875533E-2</v>
      </c>
      <c r="N529" s="831">
        <f ca="1">2 + RAND()</f>
        <v>2.7060951275784859</v>
      </c>
      <c r="O529" s="831">
        <f ca="1">1 + RAND()</f>
        <v>1.5165626123864975</v>
      </c>
      <c r="P529" s="831">
        <f ca="1">2.98 + (RAND() * (3.03 - 2.98))</f>
        <v>2.9938200122100329</v>
      </c>
      <c r="Q529" s="832" t="str">
        <f ca="1">IF(D529="130 × 130", (130 + RANDBETWEEN(-1,1)) &amp; " × " &amp; (130 + RANDBETWEEN(-1,1)),
   IF(D529="160 × 160", (160 + RANDBETWEEN(-1,1)) &amp; " × " &amp; (160 + RANDBETWEEN(-1,1)),
   IF(D529="110 × 110", (110 + RANDBETWEEN(-1,1)) &amp; " × " &amp; (110 + RANDBETWEEN(-1,1)),
   "Value not matched")))</f>
        <v>Value not matched</v>
      </c>
      <c r="R529" s="833" t="s">
        <v>213</v>
      </c>
      <c r="S529" s="834" t="str">
        <f ca="1">IF(G529&lt;0.6, "IS 14650 CPS 10748/GR2", "IS 14650 CPS 10748/GR3")</f>
        <v>IS 14650 CPS 10748/GR2</v>
      </c>
      <c r="T529" s="831" t="s">
        <v>769</v>
      </c>
      <c r="U529" s="825"/>
      <c r="V529" s="826"/>
      <c r="W529" s="206">
        <f>Prod.!B297</f>
        <v>0</v>
      </c>
      <c r="X529" s="469">
        <f>Prod.!C297</f>
        <v>0</v>
      </c>
      <c r="Y529" s="469">
        <f>Prod.!D297</f>
        <v>0</v>
      </c>
      <c r="Z529" s="469">
        <f>Prod.!E297</f>
        <v>0</v>
      </c>
      <c r="AA529" s="282">
        <f>Prod.!F297</f>
        <v>0</v>
      </c>
      <c r="AB529" s="282">
        <f>Prod.!G297</f>
        <v>0</v>
      </c>
      <c r="AC529" s="836">
        <f>Prod.!H297</f>
        <v>0</v>
      </c>
      <c r="AD529" s="282">
        <f>Prod.!AB297</f>
        <v>0</v>
      </c>
      <c r="AE529" s="282">
        <f>AD529-AF529</f>
        <v>0</v>
      </c>
      <c r="AF529" s="282">
        <f>Prod.!AA297</f>
        <v>0</v>
      </c>
    </row>
    <row r="530" spans="1:32" ht="15" customHeight="1">
      <c r="A530" s="1435">
        <v>7</v>
      </c>
      <c r="B530" s="818">
        <f>W531</f>
        <v>0</v>
      </c>
      <c r="C530" s="819" t="s">
        <v>765</v>
      </c>
      <c r="D530" s="822"/>
      <c r="E530" s="822"/>
      <c r="F530" s="821">
        <f ca="1">F531 + (RAND() * 0.02 - 0.01)</f>
        <v>-3.7950800804343789E-3</v>
      </c>
      <c r="G530" s="821">
        <f ca="1">G531 + (RAND() * 0.06 - 0.03)</f>
        <v>0.47627051595073988</v>
      </c>
      <c r="H530" s="822">
        <f ca="1">H531 + (RAND() * 0.006 - 0.003)</f>
        <v>-1.3359453292717703E-3</v>
      </c>
      <c r="I530" s="822">
        <f ca="1">I531 + (RAND() * 0.006 - 0.003)</f>
        <v>2.3852918852479178E-3</v>
      </c>
      <c r="J530" s="821">
        <f ca="1">J531 + (RAND() * 0.02 - 0.01)</f>
        <v>-7.2885021337976193E-3</v>
      </c>
      <c r="K530" s="821"/>
      <c r="L530" s="822"/>
      <c r="M530" s="821"/>
      <c r="N530" s="823"/>
      <c r="O530" s="823"/>
      <c r="P530" s="823"/>
      <c r="Q530" s="823"/>
      <c r="R530" s="839"/>
      <c r="S530" s="821"/>
      <c r="T530" s="821"/>
      <c r="U530" s="825"/>
      <c r="V530" s="826"/>
    </row>
    <row r="531" spans="1:32" ht="15" customHeight="1">
      <c r="A531" s="1435"/>
      <c r="B531" s="827">
        <f>B530</f>
        <v>0</v>
      </c>
      <c r="C531" s="828" t="s">
        <v>768</v>
      </c>
      <c r="D531" s="829" t="str">
        <f>IF(AC531=130, "130 × 130", IF(AC531=160, "160 × 160", IF(AC531=110, "110 × 110", "Value not 130, 160, or 110")))</f>
        <v>Value not 130, 160, or 110</v>
      </c>
      <c r="E531" s="830">
        <f>AD531</f>
        <v>0</v>
      </c>
      <c r="F531" s="831">
        <f ca="1">IF(X531 &gt; 0.1, RAND() * (0.1 - 0.06) + 0.06, X531)</f>
        <v>0</v>
      </c>
      <c r="G531" s="831">
        <f ca="1">IF(Y531 &lt; 0.5, 0.5 + RAND() * 0.1, Y531)</f>
        <v>0.50395055208134187</v>
      </c>
      <c r="H531" s="830">
        <f ca="1">IF(AB531&gt;0.04, 0.029 + (0.039-0.029)*RAND(), AB531)</f>
        <v>0</v>
      </c>
      <c r="I531" s="830">
        <f ca="1">IF(AA531&gt;0.04, 0.029 + (0.039-0.029)*RAND(), AA531)</f>
        <v>0</v>
      </c>
      <c r="J531" s="831">
        <f ca="1">IF(Z531&gt;0.15, 0.11 + (0.15-0.11) * RAND(), Z531)</f>
        <v>0</v>
      </c>
      <c r="K531" s="830">
        <f ca="1">0.004 + (RAND() * (0.001 - 0.004))</f>
        <v>1.9317715425131972E-3</v>
      </c>
      <c r="L531" s="830">
        <f ca="1">H531+I531</f>
        <v>0</v>
      </c>
      <c r="M531" s="831">
        <f ca="1">(G531/6)+F531</f>
        <v>8.3991758680223641E-2</v>
      </c>
      <c r="N531" s="831">
        <f ca="1">2 + RAND()</f>
        <v>2.3350984940315165</v>
      </c>
      <c r="O531" s="831">
        <f ca="1">1 + RAND()</f>
        <v>1.0752413552277922</v>
      </c>
      <c r="P531" s="831">
        <f ca="1">2.98 + (RAND() * (3.03 - 2.98))</f>
        <v>3.0108191426479687</v>
      </c>
      <c r="Q531" s="832" t="str">
        <f ca="1">IF(D531="130 × 130", (130 + RANDBETWEEN(-1,1)) &amp; " × " &amp; (130 + RANDBETWEEN(-1,1)),
   IF(D531="160 × 160", (160 + RANDBETWEEN(-1,1)) &amp; " × " &amp; (160 + RANDBETWEEN(-1,1)),
   IF(D531="110 × 110", (110 + RANDBETWEEN(-1,1)) &amp; " × " &amp; (110 + RANDBETWEEN(-1,1)),
   "Value not matched")))</f>
        <v>Value not matched</v>
      </c>
      <c r="R531" s="833" t="s">
        <v>213</v>
      </c>
      <c r="S531" s="834" t="str">
        <f ca="1">IF(G531&lt;0.6, "IS 14650 CPS 10748/GR2", "IS 14650 CPS 10748/GR3")</f>
        <v>IS 14650 CPS 10748/GR2</v>
      </c>
      <c r="T531" s="831" t="s">
        <v>769</v>
      </c>
      <c r="U531" s="825"/>
      <c r="V531" s="826"/>
      <c r="W531" s="206">
        <f>Prod.!B298</f>
        <v>0</v>
      </c>
      <c r="X531" s="469">
        <f>Prod.!C298</f>
        <v>0</v>
      </c>
      <c r="Y531" s="469">
        <f>Prod.!D298</f>
        <v>0</v>
      </c>
      <c r="Z531" s="469">
        <f>Prod.!E298</f>
        <v>0</v>
      </c>
      <c r="AA531" s="282">
        <f>Prod.!F298</f>
        <v>0</v>
      </c>
      <c r="AB531" s="282">
        <f>Prod.!G298</f>
        <v>0</v>
      </c>
      <c r="AC531" s="836">
        <f>Prod.!H298</f>
        <v>0</v>
      </c>
      <c r="AD531" s="282">
        <f>Prod.!AB298</f>
        <v>0</v>
      </c>
      <c r="AE531" s="282">
        <f>AD531-AF531</f>
        <v>0</v>
      </c>
      <c r="AF531" s="282">
        <f>Prod.!AA298</f>
        <v>0</v>
      </c>
    </row>
    <row r="532" spans="1:32" ht="15" customHeight="1">
      <c r="A532" s="1435">
        <v>8</v>
      </c>
      <c r="B532" s="818">
        <f>W533</f>
        <v>0</v>
      </c>
      <c r="C532" s="819" t="s">
        <v>765</v>
      </c>
      <c r="D532" s="822"/>
      <c r="E532" s="822"/>
      <c r="F532" s="821">
        <f ca="1">F533 + (RAND() * 0.02 - 0.01)</f>
        <v>5.1408351409436108E-3</v>
      </c>
      <c r="G532" s="821">
        <f ca="1">G533 + (RAND() * 0.06 - 0.03)</f>
        <v>0.53781070424015143</v>
      </c>
      <c r="H532" s="822">
        <f ca="1">H533 + (RAND() * 0.006 - 0.003)</f>
        <v>-1.7155843934083799E-3</v>
      </c>
      <c r="I532" s="822">
        <f ca="1">I533 + (RAND() * 0.006 - 0.003)</f>
        <v>2.3711284890985959E-3</v>
      </c>
      <c r="J532" s="821">
        <f ca="1">J533 + (RAND() * 0.02 - 0.01)</f>
        <v>4.7773004367336544E-3</v>
      </c>
      <c r="K532" s="821"/>
      <c r="L532" s="822"/>
      <c r="M532" s="821"/>
      <c r="N532" s="823"/>
      <c r="O532" s="823"/>
      <c r="P532" s="823"/>
      <c r="Q532" s="823"/>
      <c r="R532" s="839"/>
      <c r="S532" s="821"/>
      <c r="T532" s="821"/>
      <c r="U532" s="825"/>
      <c r="V532" s="826"/>
    </row>
    <row r="533" spans="1:32" ht="15" customHeight="1">
      <c r="A533" s="1435"/>
      <c r="B533" s="827">
        <f>B532</f>
        <v>0</v>
      </c>
      <c r="C533" s="828" t="s">
        <v>768</v>
      </c>
      <c r="D533" s="829" t="str">
        <f>IF(AC533=130, "130 × 130", IF(AC533=160, "160 × 160", IF(AC533=110, "110 × 110", "Value not 130, 160, or 110")))</f>
        <v>Value not 130, 160, or 110</v>
      </c>
      <c r="E533" s="830">
        <f>AD533</f>
        <v>0</v>
      </c>
      <c r="F533" s="831">
        <f ca="1">IF(X533 &gt; 0.1, RAND() * (0.1 - 0.06) + 0.06, X533)</f>
        <v>0</v>
      </c>
      <c r="G533" s="831">
        <f ca="1">IF(Y533 &lt; 0.5, 0.5 + RAND() * 0.1, Y533)</f>
        <v>0.56343542866191054</v>
      </c>
      <c r="H533" s="830">
        <f ca="1">IF(AB533&gt;0.04, 0.029 + (0.039-0.029)*RAND(), AB533)</f>
        <v>0</v>
      </c>
      <c r="I533" s="830">
        <f ca="1">IF(AA533&gt;0.04, 0.029 + (0.039-0.029)*RAND(), AA533)</f>
        <v>0</v>
      </c>
      <c r="J533" s="831">
        <f ca="1">IF(Z533&gt;0.15, 0.11 + (0.15-0.11) * RAND(), Z533)</f>
        <v>0</v>
      </c>
      <c r="K533" s="830">
        <f ca="1">0.004 + (RAND() * (0.001 - 0.004))</f>
        <v>1.2306346004943005E-3</v>
      </c>
      <c r="L533" s="830">
        <f ca="1">H533+I533</f>
        <v>0</v>
      </c>
      <c r="M533" s="831">
        <f ca="1">(G533/6)+F533</f>
        <v>9.3905904776985086E-2</v>
      </c>
      <c r="N533" s="831">
        <f ca="1">2 + RAND()</f>
        <v>2.6783185119055348</v>
      </c>
      <c r="O533" s="831">
        <f ca="1">1 + RAND()</f>
        <v>1.0310896647146208</v>
      </c>
      <c r="P533" s="831">
        <f ca="1">2.98 + (RAND() * (3.03 - 2.98))</f>
        <v>2.9861554354548474</v>
      </c>
      <c r="Q533" s="832" t="str">
        <f ca="1">IF(D533="130 × 130", (130 + RANDBETWEEN(-1,1)) &amp; " × " &amp; (130 + RANDBETWEEN(-1,1)),
   IF(D533="160 × 160", (160 + RANDBETWEEN(-1,1)) &amp; " × " &amp; (160 + RANDBETWEEN(-1,1)),
   IF(D533="110 × 110", (110 + RANDBETWEEN(-1,1)) &amp; " × " &amp; (110 + RANDBETWEEN(-1,1)),
   "Value not matched")))</f>
        <v>Value not matched</v>
      </c>
      <c r="R533" s="833" t="s">
        <v>213</v>
      </c>
      <c r="S533" s="834" t="str">
        <f ca="1">IF(G533&lt;0.6, "IS 14650 CPS 10748/GR2", "IS 14650 CPS 10748/GR3")</f>
        <v>IS 14650 CPS 10748/GR2</v>
      </c>
      <c r="T533" s="831" t="s">
        <v>769</v>
      </c>
      <c r="U533" s="825"/>
      <c r="V533" s="826"/>
      <c r="W533" s="206">
        <f>Prod.!B299</f>
        <v>0</v>
      </c>
      <c r="X533" s="469">
        <f>Prod.!C299</f>
        <v>0</v>
      </c>
      <c r="Y533" s="469">
        <f>Prod.!D299</f>
        <v>0</v>
      </c>
      <c r="Z533" s="469">
        <f>Prod.!E299</f>
        <v>0</v>
      </c>
      <c r="AA533" s="282">
        <f>Prod.!F299</f>
        <v>0</v>
      </c>
      <c r="AB533" s="282">
        <f>Prod.!G299</f>
        <v>0</v>
      </c>
      <c r="AC533" s="836">
        <f>Prod.!H299</f>
        <v>0</v>
      </c>
      <c r="AD533" s="282">
        <f>Prod.!AB299</f>
        <v>0</v>
      </c>
      <c r="AE533" s="282">
        <f>AD533-AF533</f>
        <v>0</v>
      </c>
      <c r="AF533" s="282">
        <f>Prod.!AA299</f>
        <v>0</v>
      </c>
    </row>
    <row r="534" spans="1:32" ht="15" customHeight="1">
      <c r="A534" s="1435">
        <v>9</v>
      </c>
      <c r="B534" s="818">
        <f>W535</f>
        <v>0</v>
      </c>
      <c r="C534" s="819" t="s">
        <v>765</v>
      </c>
      <c r="D534" s="822"/>
      <c r="E534" s="822"/>
      <c r="F534" s="821">
        <f ca="1">F535 + (RAND() * 0.02 - 0.01)</f>
        <v>-5.0956922062313061E-3</v>
      </c>
      <c r="G534" s="821">
        <f ca="1">G535 + (RAND() * 0.06 - 0.03)</f>
        <v>0.57822715841104699</v>
      </c>
      <c r="H534" s="822">
        <f ca="1">H535 + (RAND() * 0.006 - 0.003)</f>
        <v>9.4949604590397266E-5</v>
      </c>
      <c r="I534" s="822">
        <f ca="1">I535 + (RAND() * 0.006 - 0.003)</f>
        <v>5.4674798372580198E-4</v>
      </c>
      <c r="J534" s="821">
        <f ca="1">J535 + (RAND() * 0.02 - 0.01)</f>
        <v>3.1520147642466467E-4</v>
      </c>
      <c r="K534" s="821"/>
      <c r="L534" s="822"/>
      <c r="M534" s="821"/>
      <c r="N534" s="823"/>
      <c r="O534" s="823"/>
      <c r="P534" s="823"/>
      <c r="Q534" s="823"/>
      <c r="R534" s="839"/>
      <c r="S534" s="821"/>
      <c r="T534" s="821"/>
      <c r="U534" s="825"/>
      <c r="V534" s="826"/>
    </row>
    <row r="535" spans="1:32" ht="15" customHeight="1">
      <c r="A535" s="1435"/>
      <c r="B535" s="827">
        <f>B534</f>
        <v>0</v>
      </c>
      <c r="C535" s="828" t="s">
        <v>768</v>
      </c>
      <c r="D535" s="829" t="str">
        <f>IF(AC535=130, "130 × 130", IF(AC535=160, "160 × 160", IF(AC535=110, "110 × 110", "Value not 130, 160, or 110")))</f>
        <v>Value not 130, 160, or 110</v>
      </c>
      <c r="E535" s="830">
        <f>AD535</f>
        <v>0</v>
      </c>
      <c r="F535" s="831">
        <f ca="1">IF(X535 &gt; 0.1, RAND() * (0.1 - 0.06) + 0.06, X535)</f>
        <v>0</v>
      </c>
      <c r="G535" s="831">
        <f ca="1">IF(Y535 &lt; 0.5, 0.5 + RAND() * 0.1, Y535)</f>
        <v>0.56087776249731003</v>
      </c>
      <c r="H535" s="830">
        <f ca="1">IF(AB535&gt;0.04, 0.029 + (0.039-0.029)*RAND(), AB535)</f>
        <v>0</v>
      </c>
      <c r="I535" s="830">
        <f ca="1">IF(AA535&gt;0.04, 0.029 + (0.039-0.029)*RAND(), AA535)</f>
        <v>0</v>
      </c>
      <c r="J535" s="831">
        <f ca="1">IF(Z535&gt;0.15, 0.11 + (0.15-0.11) * RAND(), Z535)</f>
        <v>0</v>
      </c>
      <c r="K535" s="830">
        <f ca="1">0.004 + (RAND() * (0.001 - 0.004))</f>
        <v>1.4108049535279245E-3</v>
      </c>
      <c r="L535" s="830">
        <f ca="1">H535+I535</f>
        <v>0</v>
      </c>
      <c r="M535" s="831">
        <f ca="1">(G535/6)+F535</f>
        <v>9.3479627082885E-2</v>
      </c>
      <c r="N535" s="831">
        <f ca="1">2 + RAND()</f>
        <v>2.0514850408254803</v>
      </c>
      <c r="O535" s="831">
        <f ca="1">1 + RAND()</f>
        <v>1.2524216278346578</v>
      </c>
      <c r="P535" s="831">
        <f ca="1">2.98 + (RAND() * (3.03 - 2.98))</f>
        <v>2.9986813609439102</v>
      </c>
      <c r="Q535" s="832" t="str">
        <f ca="1">IF(D535="130 × 130", (130 + RANDBETWEEN(-1,1)) &amp; " × " &amp; (130 + RANDBETWEEN(-1,1)),
   IF(D535="160 × 160", (160 + RANDBETWEEN(-1,1)) &amp; " × " &amp; (160 + RANDBETWEEN(-1,1)),
   IF(D535="110 × 110", (110 + RANDBETWEEN(-1,1)) &amp; " × " &amp; (110 + RANDBETWEEN(-1,1)),
   "Value not matched")))</f>
        <v>Value not matched</v>
      </c>
      <c r="R535" s="833" t="s">
        <v>213</v>
      </c>
      <c r="S535" s="834" t="str">
        <f ca="1">IF(G535&lt;0.6, "IS 14650 CPS 10748/GR2", "IS 14650 CPS 10748/GR3")</f>
        <v>IS 14650 CPS 10748/GR2</v>
      </c>
      <c r="T535" s="831" t="s">
        <v>769</v>
      </c>
      <c r="U535" s="825"/>
      <c r="V535" s="826"/>
      <c r="W535" s="206">
        <f>Prod.!B300</f>
        <v>0</v>
      </c>
      <c r="X535" s="469">
        <f>Prod.!C300</f>
        <v>0</v>
      </c>
      <c r="Y535" s="469">
        <f>Prod.!D300</f>
        <v>0</v>
      </c>
      <c r="Z535" s="469">
        <f>Prod.!E300</f>
        <v>0</v>
      </c>
      <c r="AA535" s="282">
        <f>Prod.!F300</f>
        <v>0</v>
      </c>
      <c r="AB535" s="282">
        <f>Prod.!G300</f>
        <v>0</v>
      </c>
      <c r="AC535" s="836">
        <f>Prod.!H300</f>
        <v>0</v>
      </c>
      <c r="AD535" s="282">
        <f>Prod.!AB300</f>
        <v>0</v>
      </c>
      <c r="AE535" s="282">
        <f>AD535-AF535</f>
        <v>0</v>
      </c>
      <c r="AF535" s="282">
        <f>Prod.!AA300</f>
        <v>0</v>
      </c>
    </row>
    <row r="536" spans="1:32" ht="15" customHeight="1">
      <c r="A536" s="1435">
        <v>10</v>
      </c>
      <c r="B536" s="818">
        <f>W537</f>
        <v>0</v>
      </c>
      <c r="C536" s="819" t="s">
        <v>765</v>
      </c>
      <c r="D536" s="822"/>
      <c r="E536" s="822"/>
      <c r="F536" s="821">
        <f ca="1">F537 + (RAND() * 0.02 - 0.01)</f>
        <v>7.1498920817491176E-3</v>
      </c>
      <c r="G536" s="821">
        <f ca="1">G537 + (RAND() * 0.06 - 0.03)</f>
        <v>0.56665510642876105</v>
      </c>
      <c r="H536" s="822">
        <f ca="1">H537 + (RAND() * 0.006 - 0.003)</f>
        <v>-1.1462317883893177E-3</v>
      </c>
      <c r="I536" s="822">
        <f ca="1">I537 + (RAND() * 0.006 - 0.003)</f>
        <v>2.8453564739352082E-3</v>
      </c>
      <c r="J536" s="821">
        <f ca="1">J537 + (RAND() * 0.02 - 0.01)</f>
        <v>6.5166645101027969E-3</v>
      </c>
      <c r="K536" s="821"/>
      <c r="L536" s="822"/>
      <c r="M536" s="821"/>
      <c r="N536" s="823"/>
      <c r="O536" s="823"/>
      <c r="P536" s="823"/>
      <c r="Q536" s="823"/>
      <c r="R536" s="839"/>
      <c r="S536" s="821"/>
      <c r="T536" s="821"/>
      <c r="U536" s="825"/>
      <c r="V536" s="826"/>
    </row>
    <row r="537" spans="1:32" ht="15" customHeight="1">
      <c r="A537" s="1435"/>
      <c r="B537" s="827">
        <f>B536</f>
        <v>0</v>
      </c>
      <c r="C537" s="828" t="s">
        <v>768</v>
      </c>
      <c r="D537" s="829" t="str">
        <f>IF(AC537=130, "130 × 130", IF(AC537=160, "160 × 160", IF(AC537=110, "110 × 110", "Value not 130, 160, or 110")))</f>
        <v>Value not 130, 160, or 110</v>
      </c>
      <c r="E537" s="830">
        <f>AD537</f>
        <v>0</v>
      </c>
      <c r="F537" s="831">
        <f ca="1">IF(X537 &gt; 0.1, RAND() * (0.1 - 0.06) + 0.06, X537)</f>
        <v>0</v>
      </c>
      <c r="G537" s="831">
        <f ca="1">IF(Y537 &lt; 0.5, 0.5 + RAND() * 0.1, Y537)</f>
        <v>0.57421081426141141</v>
      </c>
      <c r="H537" s="830">
        <f ca="1">IF(AB537&gt;0.04, 0.029 + (0.039-0.029)*RAND(), AB537)</f>
        <v>0</v>
      </c>
      <c r="I537" s="830">
        <f ca="1">IF(AA537&gt;0.04, 0.029 + (0.039-0.029)*RAND(), AA537)</f>
        <v>0</v>
      </c>
      <c r="J537" s="831">
        <f ca="1">IF(Z537&gt;0.15, 0.11 + (0.15-0.11) * RAND(), Z537)</f>
        <v>0</v>
      </c>
      <c r="K537" s="830">
        <f ca="1">0.004 + (RAND() * (0.001 - 0.004))</f>
        <v>3.061567360934804E-3</v>
      </c>
      <c r="L537" s="830">
        <f ca="1">H537+I537</f>
        <v>0</v>
      </c>
      <c r="M537" s="831">
        <f ca="1">(G537/6)+F537</f>
        <v>9.5701802376901901E-2</v>
      </c>
      <c r="N537" s="831">
        <f ca="1">2 + RAND()</f>
        <v>2.7537866724701443</v>
      </c>
      <c r="O537" s="831">
        <f ca="1">1 + RAND()</f>
        <v>1.504277925987253</v>
      </c>
      <c r="P537" s="831">
        <f ca="1">2.98 + (RAND() * (3.03 - 2.98))</f>
        <v>2.9926402098083345</v>
      </c>
      <c r="Q537" s="832" t="str">
        <f ca="1">IF(D537="130 × 130", (130 + RANDBETWEEN(-1,1)) &amp; " × " &amp; (130 + RANDBETWEEN(-1,1)),
   IF(D537="160 × 160", (160 + RANDBETWEEN(-1,1)) &amp; " × " &amp; (160 + RANDBETWEEN(-1,1)),
   IF(D537="110 × 110", (110 + RANDBETWEEN(-1,1)) &amp; " × " &amp; (110 + RANDBETWEEN(-1,1)),
   "Value not matched")))</f>
        <v>Value not matched</v>
      </c>
      <c r="R537" s="833" t="s">
        <v>213</v>
      </c>
      <c r="S537" s="834" t="str">
        <f ca="1">IF(G537&lt;0.6, "IS 14650 CPS 10748/GR2", "IS 14650 CPS 10748/GR3")</f>
        <v>IS 14650 CPS 10748/GR2</v>
      </c>
      <c r="T537" s="831" t="s">
        <v>769</v>
      </c>
      <c r="U537" s="825"/>
      <c r="V537" s="826"/>
      <c r="W537" s="206">
        <f>Prod.!B301</f>
        <v>0</v>
      </c>
      <c r="X537" s="469">
        <f>Prod.!C301</f>
        <v>0</v>
      </c>
      <c r="Y537" s="469">
        <f>Prod.!D301</f>
        <v>0</v>
      </c>
      <c r="Z537" s="469">
        <f>Prod.!E301</f>
        <v>0</v>
      </c>
      <c r="AA537" s="282">
        <f>Prod.!F301</f>
        <v>0</v>
      </c>
      <c r="AB537" s="282">
        <f>Prod.!G301</f>
        <v>0</v>
      </c>
      <c r="AC537" s="836">
        <f>Prod.!H301</f>
        <v>0</v>
      </c>
      <c r="AD537" s="282">
        <f>Prod.!AB301</f>
        <v>0</v>
      </c>
      <c r="AE537" s="282">
        <f>AD537-AF537</f>
        <v>0</v>
      </c>
      <c r="AF537" s="282">
        <f>Prod.!AA301</f>
        <v>0</v>
      </c>
    </row>
    <row r="538" spans="1:32" ht="15" customHeight="1">
      <c r="A538" s="1435">
        <v>11</v>
      </c>
      <c r="B538" s="818">
        <f>W539</f>
        <v>0</v>
      </c>
      <c r="C538" s="819" t="s">
        <v>765</v>
      </c>
      <c r="D538" s="822"/>
      <c r="E538" s="822"/>
      <c r="F538" s="821">
        <f ca="1">F539 + (RAND() * 0.02 - 0.01)</f>
        <v>8.4861805960718874E-3</v>
      </c>
      <c r="G538" s="821">
        <f ca="1">G539 + (RAND() * 0.06 - 0.03)</f>
        <v>0.54317930935800551</v>
      </c>
      <c r="H538" s="822">
        <f ca="1">H539 + (RAND() * 0.006 - 0.003)</f>
        <v>9.5898221744839147E-5</v>
      </c>
      <c r="I538" s="822">
        <f ca="1">I539 + (RAND() * 0.006 - 0.003)</f>
        <v>-5.4531118000823373E-4</v>
      </c>
      <c r="J538" s="821">
        <f ca="1">J539 + (RAND() * 0.02 - 0.01)</f>
        <v>2.2959861058898419E-3</v>
      </c>
      <c r="K538" s="821"/>
      <c r="L538" s="822"/>
      <c r="M538" s="821"/>
      <c r="N538" s="823"/>
      <c r="O538" s="823"/>
      <c r="P538" s="823"/>
      <c r="Q538" s="823"/>
      <c r="R538" s="839"/>
      <c r="S538" s="821"/>
      <c r="T538" s="821"/>
      <c r="U538" s="825"/>
      <c r="V538" s="826"/>
    </row>
    <row r="539" spans="1:32" ht="15" customHeight="1">
      <c r="A539" s="1435"/>
      <c r="B539" s="827">
        <f>B538</f>
        <v>0</v>
      </c>
      <c r="C539" s="828" t="s">
        <v>768</v>
      </c>
      <c r="D539" s="829" t="str">
        <f>IF(AC539=130, "130 × 130", IF(AC539=160, "160 × 160", IF(AC539=110, "110 × 110", "Value not 130, 160, or 110")))</f>
        <v>Value not 130, 160, or 110</v>
      </c>
      <c r="E539" s="830">
        <f>AD539</f>
        <v>0</v>
      </c>
      <c r="F539" s="831">
        <f ca="1">IF(X539 &gt; 0.1, RAND() * (0.1 - 0.06) + 0.06, X539)</f>
        <v>0</v>
      </c>
      <c r="G539" s="831">
        <f ca="1">IF(Y539 &lt; 0.5, 0.5 + RAND() * 0.1, Y539)</f>
        <v>0.52885607517278654</v>
      </c>
      <c r="H539" s="830">
        <f ca="1">IF(AB539&gt;0.04, 0.029 + (0.039-0.029)*RAND(), AB539)</f>
        <v>0</v>
      </c>
      <c r="I539" s="830">
        <f ca="1">IF(AA539&gt;0.04, 0.029 + (0.039-0.029)*RAND(), AA539)</f>
        <v>0</v>
      </c>
      <c r="J539" s="831">
        <f ca="1">IF(Z539&gt;0.15, 0.11 + (0.15-0.11) * RAND(), Z539)</f>
        <v>0</v>
      </c>
      <c r="K539" s="830">
        <f ca="1">0.004 + (RAND() * (0.001 - 0.004))</f>
        <v>3.9714879503400524E-3</v>
      </c>
      <c r="L539" s="830">
        <f ca="1">H539+I539</f>
        <v>0</v>
      </c>
      <c r="M539" s="831">
        <f ca="1">(G539/6)+F539</f>
        <v>8.8142679195464424E-2</v>
      </c>
      <c r="N539" s="831">
        <f ca="1">2 + RAND()</f>
        <v>2.7684937151111058</v>
      </c>
      <c r="O539" s="831">
        <f ca="1">1 + RAND()</f>
        <v>1.5606387033772187</v>
      </c>
      <c r="P539" s="831">
        <f ca="1">2.98 + (RAND() * (3.03 - 2.98))</f>
        <v>3.0145387466023643</v>
      </c>
      <c r="Q539" s="832" t="str">
        <f ca="1">IF(D539="130 × 130", (130 + RANDBETWEEN(-1,1)) &amp; " × " &amp; (130 + RANDBETWEEN(-1,1)),
   IF(D539="160 × 160", (160 + RANDBETWEEN(-1,1)) &amp; " × " &amp; (160 + RANDBETWEEN(-1,1)),
   IF(D539="110 × 110", (110 + RANDBETWEEN(-1,1)) &amp; " × " &amp; (110 + RANDBETWEEN(-1,1)),
   "Value not matched")))</f>
        <v>Value not matched</v>
      </c>
      <c r="R539" s="833" t="s">
        <v>213</v>
      </c>
      <c r="S539" s="834" t="str">
        <f ca="1">IF(G539&lt;0.6, "IS 14650 CPS 10748/GR2", "IS 14650 CPS 10748/GR3")</f>
        <v>IS 14650 CPS 10748/GR2</v>
      </c>
      <c r="T539" s="831" t="s">
        <v>769</v>
      </c>
      <c r="U539" s="825"/>
      <c r="V539" s="826"/>
      <c r="W539" s="206">
        <f>Prod.!B302</f>
        <v>0</v>
      </c>
      <c r="X539" s="469">
        <f>Prod.!C302</f>
        <v>0</v>
      </c>
      <c r="Y539" s="469">
        <f>Prod.!D302</f>
        <v>0</v>
      </c>
      <c r="Z539" s="469">
        <f>Prod.!E302</f>
        <v>0</v>
      </c>
      <c r="AA539" s="282">
        <f>Prod.!F302</f>
        <v>0</v>
      </c>
      <c r="AB539" s="282">
        <f>Prod.!G302</f>
        <v>0</v>
      </c>
      <c r="AC539" s="836">
        <f>Prod.!H302</f>
        <v>0</v>
      </c>
      <c r="AD539" s="282">
        <f>Prod.!AB302</f>
        <v>0</v>
      </c>
      <c r="AE539" s="282">
        <f>AD539-AF539</f>
        <v>0</v>
      </c>
      <c r="AF539" s="282">
        <f>Prod.!AA302</f>
        <v>0</v>
      </c>
    </row>
    <row r="540" spans="1:32" ht="15" customHeight="1">
      <c r="A540" s="1435">
        <v>12</v>
      </c>
      <c r="B540" s="818">
        <f>W541</f>
        <v>0</v>
      </c>
      <c r="C540" s="819" t="s">
        <v>765</v>
      </c>
      <c r="D540" s="822"/>
      <c r="E540" s="822"/>
      <c r="F540" s="821">
        <f ca="1">F541 + (RAND() * 0.02 - 0.01)</f>
        <v>-5.2348688162629697E-3</v>
      </c>
      <c r="G540" s="821">
        <f ca="1">G541 + (RAND() * 0.06 - 0.03)</f>
        <v>0.58644875762615056</v>
      </c>
      <c r="H540" s="822">
        <f ca="1">H541 + (RAND() * 0.006 - 0.003)</f>
        <v>9.3821223891121623E-4</v>
      </c>
      <c r="I540" s="822">
        <f ca="1">I541 + (RAND() * 0.006 - 0.003)</f>
        <v>-7.6948480878682654E-4</v>
      </c>
      <c r="J540" s="821">
        <f ca="1">J541 + (RAND() * 0.02 - 0.01)</f>
        <v>6.8922662511209844E-3</v>
      </c>
      <c r="K540" s="821"/>
      <c r="L540" s="822"/>
      <c r="M540" s="821"/>
      <c r="N540" s="823"/>
      <c r="O540" s="823"/>
      <c r="P540" s="823"/>
      <c r="Q540" s="823"/>
      <c r="R540" s="839"/>
      <c r="S540" s="821"/>
      <c r="T540" s="821"/>
      <c r="U540" s="825"/>
      <c r="V540" s="826"/>
    </row>
    <row r="541" spans="1:32" ht="15" customHeight="1">
      <c r="A541" s="1435"/>
      <c r="B541" s="827">
        <f>B540</f>
        <v>0</v>
      </c>
      <c r="C541" s="828" t="s">
        <v>768</v>
      </c>
      <c r="D541" s="829" t="str">
        <f>IF(AC541=130, "130 × 130", IF(AC541=160, "160 × 160", IF(AC541=110, "110 × 110", "Value not 130, 160, or 110")))</f>
        <v>Value not 130, 160, or 110</v>
      </c>
      <c r="E541" s="830">
        <f>AD541</f>
        <v>0</v>
      </c>
      <c r="F541" s="831">
        <f ca="1">IF(X541 &gt; 0.1, RAND() * (0.1 - 0.06) + 0.06, X541)</f>
        <v>0</v>
      </c>
      <c r="G541" s="831">
        <f ca="1">IF(Y541 &lt; 0.5, 0.5 + RAND() * 0.1, Y541)</f>
        <v>0.56389668472951704</v>
      </c>
      <c r="H541" s="830">
        <f ca="1">IF(AB541&gt;0.04, 0.029 + (0.039-0.029)*RAND(), AB541)</f>
        <v>0</v>
      </c>
      <c r="I541" s="830">
        <f ca="1">IF(AA541&gt;0.04, 0.029 + (0.039-0.029)*RAND(), AA541)</f>
        <v>0</v>
      </c>
      <c r="J541" s="831">
        <f ca="1">IF(Z541&gt;0.15, 0.11 + (0.15-0.11) * RAND(), Z541)</f>
        <v>0</v>
      </c>
      <c r="K541" s="830">
        <f ca="1">0.004 + (RAND() * (0.001 - 0.004))</f>
        <v>3.5269847050435569E-3</v>
      </c>
      <c r="L541" s="830">
        <f ca="1">H541+I541</f>
        <v>0</v>
      </c>
      <c r="M541" s="831">
        <f ca="1">(G541/6)+F541</f>
        <v>9.398278078825284E-2</v>
      </c>
      <c r="N541" s="831">
        <f ca="1">2 + RAND()</f>
        <v>2.8896514257119454</v>
      </c>
      <c r="O541" s="831">
        <f ca="1">1 + RAND()</f>
        <v>1.4689224011497752</v>
      </c>
      <c r="P541" s="831">
        <f ca="1">2.98 + (RAND() * (3.03 - 2.98))</f>
        <v>3.0034127701682878</v>
      </c>
      <c r="Q541" s="832" t="str">
        <f ca="1">IF(D541="130 × 130", (130 + RANDBETWEEN(-1,1)) &amp; " × " &amp; (130 + RANDBETWEEN(-1,1)),
   IF(D541="160 × 160", (160 + RANDBETWEEN(-1,1)) &amp; " × " &amp; (160 + RANDBETWEEN(-1,1)),
   IF(D541="110 × 110", (110 + RANDBETWEEN(-1,1)) &amp; " × " &amp; (110 + RANDBETWEEN(-1,1)),
   "Value not matched")))</f>
        <v>Value not matched</v>
      </c>
      <c r="R541" s="833" t="s">
        <v>213</v>
      </c>
      <c r="S541" s="834" t="str">
        <f ca="1">IF(G541&lt;0.6, "IS 14650 CPS 10748/GR2", "IS 14650 CPS 10748/GR3")</f>
        <v>IS 14650 CPS 10748/GR2</v>
      </c>
      <c r="T541" s="831" t="s">
        <v>769</v>
      </c>
      <c r="U541" s="825"/>
      <c r="V541" s="826"/>
      <c r="W541" s="206">
        <f>Prod.!B303</f>
        <v>0</v>
      </c>
      <c r="X541" s="469">
        <f>Prod.!C303</f>
        <v>0</v>
      </c>
      <c r="Y541" s="469">
        <f>Prod.!D303</f>
        <v>0</v>
      </c>
      <c r="Z541" s="469">
        <f>Prod.!E303</f>
        <v>0</v>
      </c>
      <c r="AA541" s="282">
        <f>Prod.!F303</f>
        <v>0</v>
      </c>
      <c r="AB541" s="282">
        <f>Prod.!G303</f>
        <v>0</v>
      </c>
      <c r="AC541" s="836">
        <f>Prod.!H303</f>
        <v>0</v>
      </c>
      <c r="AD541" s="282">
        <f>Prod.!AB303</f>
        <v>0</v>
      </c>
      <c r="AE541" s="282">
        <f>AD541-AF541</f>
        <v>0</v>
      </c>
      <c r="AF541" s="282">
        <f>Prod.!AA303</f>
        <v>0</v>
      </c>
    </row>
    <row r="542" spans="1:32" ht="15" customHeight="1">
      <c r="A542" s="1435"/>
      <c r="B542" s="818"/>
      <c r="C542" s="819"/>
      <c r="D542" s="822"/>
      <c r="E542" s="822"/>
      <c r="F542" s="821"/>
      <c r="G542" s="821"/>
      <c r="H542" s="840"/>
      <c r="I542" s="840"/>
      <c r="J542" s="821"/>
      <c r="K542" s="821"/>
      <c r="L542" s="822"/>
      <c r="M542" s="838"/>
      <c r="N542" s="821"/>
      <c r="O542" s="821"/>
      <c r="P542" s="821"/>
      <c r="Q542" s="821"/>
      <c r="R542" s="839"/>
      <c r="S542" s="841"/>
      <c r="T542" s="821"/>
      <c r="U542" s="825"/>
      <c r="V542" s="826"/>
    </row>
    <row r="543" spans="1:32" ht="15" customHeight="1">
      <c r="A543" s="1435"/>
      <c r="B543" s="827"/>
      <c r="C543" s="828"/>
      <c r="D543" s="842"/>
      <c r="E543" s="830"/>
      <c r="F543" s="831"/>
      <c r="G543" s="831"/>
      <c r="H543" s="843"/>
      <c r="I543" s="843"/>
      <c r="J543" s="831"/>
      <c r="K543" s="831"/>
      <c r="L543" s="830"/>
      <c r="M543" s="831"/>
      <c r="N543" s="831"/>
      <c r="O543" s="831"/>
      <c r="P543" s="831"/>
      <c r="Q543" s="831"/>
      <c r="R543" s="833"/>
      <c r="S543" s="834"/>
      <c r="T543" s="831"/>
      <c r="U543" s="825"/>
      <c r="V543" s="826"/>
    </row>
    <row r="544" spans="1:32" ht="15" customHeight="1">
      <c r="A544" s="180"/>
      <c r="B544" s="180"/>
      <c r="C544" s="180" t="s">
        <v>770</v>
      </c>
      <c r="D544" s="395"/>
      <c r="E544" s="844">
        <f>SUM(E518:E541)</f>
        <v>0</v>
      </c>
      <c r="F544" s="180"/>
      <c r="G544" s="180"/>
      <c r="H544" s="844"/>
      <c r="I544" s="180"/>
      <c r="J544" s="845"/>
      <c r="K544" s="845"/>
      <c r="L544" s="180"/>
      <c r="M544" s="845"/>
      <c r="N544" s="180"/>
      <c r="O544" s="180"/>
      <c r="P544" s="180"/>
      <c r="Q544" s="180"/>
      <c r="R544" s="263"/>
      <c r="S544" s="180"/>
      <c r="T544" s="180"/>
    </row>
    <row r="545" spans="1:32" ht="28.5" customHeight="1">
      <c r="A545" s="1436" t="s">
        <v>746</v>
      </c>
      <c r="B545" s="1436"/>
      <c r="C545" s="1436"/>
      <c r="D545" s="1436"/>
      <c r="E545" s="1436"/>
      <c r="F545" s="1436"/>
      <c r="G545" s="1436"/>
      <c r="H545" s="1436"/>
      <c r="I545" s="1436"/>
      <c r="J545" s="1436"/>
      <c r="K545" s="1436"/>
      <c r="L545" s="1436"/>
      <c r="M545" s="1436"/>
      <c r="N545" s="1436"/>
      <c r="O545" s="1436"/>
      <c r="P545" s="1436"/>
      <c r="Q545" s="1436"/>
      <c r="R545" s="1436"/>
      <c r="S545" s="1436"/>
      <c r="T545" s="1436"/>
      <c r="U545" s="515"/>
      <c r="V545" s="846"/>
    </row>
    <row r="546" spans="1:32" ht="15" customHeight="1">
      <c r="A546" s="1437" t="s">
        <v>747</v>
      </c>
      <c r="B546" s="1437"/>
      <c r="C546" s="1437"/>
      <c r="D546" s="1437"/>
      <c r="E546" s="1437"/>
      <c r="F546" s="1437"/>
      <c r="G546" s="1437"/>
      <c r="H546" s="1437"/>
      <c r="I546" s="1437"/>
      <c r="J546" s="1437"/>
      <c r="K546" s="1437"/>
      <c r="L546" s="1437"/>
      <c r="M546" s="1437"/>
      <c r="N546" s="1437"/>
      <c r="O546" s="1437"/>
      <c r="P546" s="1437"/>
      <c r="Q546" s="1437"/>
      <c r="R546" s="1437"/>
      <c r="S546" s="1437"/>
      <c r="T546" s="1437"/>
      <c r="U546" s="806"/>
      <c r="V546" s="807"/>
    </row>
    <row r="547" spans="1:32" ht="15" customHeight="1">
      <c r="A547" s="1438" t="str">
        <f>"DATE OF MANUFACTURING : " &amp; TEXT(V551, "DD-MM-YYYY")</f>
        <v>DATE OF MANUFACTURING : 00-01-1900</v>
      </c>
      <c r="B547" s="1438"/>
      <c r="C547" s="1438"/>
      <c r="D547" s="1438"/>
      <c r="E547" s="1438"/>
      <c r="F547" s="1438"/>
      <c r="G547" s="1438"/>
      <c r="H547" s="1438"/>
      <c r="I547" s="1438"/>
      <c r="J547" s="1438"/>
      <c r="K547" s="1438"/>
      <c r="L547" s="1438"/>
      <c r="M547" s="1438"/>
      <c r="N547" s="1437" t="s">
        <v>748</v>
      </c>
      <c r="O547" s="1437"/>
      <c r="P547" s="1437"/>
      <c r="Q547" s="1437"/>
      <c r="R547" s="1437"/>
      <c r="S547" s="1437"/>
      <c r="T547" s="1437"/>
      <c r="U547" s="808"/>
      <c r="V547" s="809"/>
    </row>
    <row r="548" spans="1:32" ht="29.25" customHeight="1">
      <c r="A548" s="1439" t="s">
        <v>749</v>
      </c>
      <c r="B548" s="1440" t="s">
        <v>750</v>
      </c>
      <c r="C548" s="1440"/>
      <c r="D548" s="1440" t="s">
        <v>751</v>
      </c>
      <c r="E548" s="1441" t="s">
        <v>752</v>
      </c>
      <c r="F548" s="1442" t="s">
        <v>753</v>
      </c>
      <c r="G548" s="1442"/>
      <c r="H548" s="1442"/>
      <c r="I548" s="1442"/>
      <c r="J548" s="1442"/>
      <c r="K548" s="1442"/>
      <c r="L548" s="1442"/>
      <c r="M548" s="1442"/>
      <c r="N548" s="1442" t="s">
        <v>754</v>
      </c>
      <c r="O548" s="1442"/>
      <c r="P548" s="1442"/>
      <c r="Q548" s="1442"/>
      <c r="R548" s="1443" t="s">
        <v>771</v>
      </c>
      <c r="S548" s="1441" t="s">
        <v>756</v>
      </c>
      <c r="T548" s="1440" t="s">
        <v>104</v>
      </c>
      <c r="U548" s="810"/>
      <c r="V548" s="811"/>
    </row>
    <row r="549" spans="1:32" ht="42.75" customHeight="1">
      <c r="A549" s="1439"/>
      <c r="B549" s="1440"/>
      <c r="C549" s="1440"/>
      <c r="D549" s="1440"/>
      <c r="E549" s="1440"/>
      <c r="F549" s="812" t="s">
        <v>40</v>
      </c>
      <c r="G549" s="812" t="s">
        <v>757</v>
      </c>
      <c r="H549" s="813" t="s">
        <v>758</v>
      </c>
      <c r="I549" s="812" t="s">
        <v>43</v>
      </c>
      <c r="J549" s="812" t="s">
        <v>42</v>
      </c>
      <c r="K549" s="812" t="s">
        <v>759</v>
      </c>
      <c r="L549" s="812" t="s">
        <v>760</v>
      </c>
      <c r="M549" s="812" t="s">
        <v>761</v>
      </c>
      <c r="N549" s="814" t="s">
        <v>762</v>
      </c>
      <c r="O549" s="815" t="s">
        <v>772</v>
      </c>
      <c r="P549" s="816" t="s">
        <v>773</v>
      </c>
      <c r="Q549" s="817" t="s">
        <v>764</v>
      </c>
      <c r="R549" s="1443"/>
      <c r="S549" s="1443"/>
      <c r="T549" s="1443"/>
      <c r="U549" s="810"/>
      <c r="V549" s="811"/>
    </row>
    <row r="550" spans="1:32" ht="15" customHeight="1">
      <c r="A550" s="1435">
        <v>1</v>
      </c>
      <c r="B550" s="818">
        <f>W551</f>
        <v>0</v>
      </c>
      <c r="C550" s="819" t="s">
        <v>765</v>
      </c>
      <c r="D550" s="820"/>
      <c r="E550" s="821"/>
      <c r="F550" s="821">
        <f ca="1">F551 + (RAND() * 0.02 - 0.01)</f>
        <v>8.3996323711242934E-3</v>
      </c>
      <c r="G550" s="821">
        <f ca="1">G551 + (RAND() * 0.06 - 0.03)</f>
        <v>0.56089874002782991</v>
      </c>
      <c r="H550" s="822">
        <f ca="1">H551 + (RAND() * 0.006 - 0.003)</f>
        <v>2.0864277087082224E-3</v>
      </c>
      <c r="I550" s="822">
        <f ca="1">I551 + (RAND() * 0.006 - 0.003)</f>
        <v>-1.3470233422173379E-3</v>
      </c>
      <c r="J550" s="821">
        <f ca="1">J551 + (RAND() * 0.02 - 0.01)</f>
        <v>-1.5972853630476895E-3</v>
      </c>
      <c r="K550" s="821"/>
      <c r="L550" s="822"/>
      <c r="M550" s="821"/>
      <c r="N550" s="823"/>
      <c r="O550" s="823"/>
      <c r="P550" s="823"/>
      <c r="Q550" s="823"/>
      <c r="R550" s="824"/>
      <c r="S550" s="821"/>
      <c r="T550" s="821"/>
      <c r="U550" s="825"/>
      <c r="V550" s="826"/>
      <c r="AE550" t="s">
        <v>767</v>
      </c>
    </row>
    <row r="551" spans="1:32" ht="15" customHeight="1">
      <c r="A551" s="1435"/>
      <c r="B551" s="827">
        <f>B550</f>
        <v>0</v>
      </c>
      <c r="C551" s="828" t="s">
        <v>768</v>
      </c>
      <c r="D551" s="829" t="str">
        <f>IF(AC551=130, "130 × 130", IF(AC551=160, "160 × 160", IF(AC551=110, "110 × 110", "Value not 130, 160, or 110")))</f>
        <v>Value not 130, 160, or 110</v>
      </c>
      <c r="E551" s="830">
        <f>AD551</f>
        <v>0</v>
      </c>
      <c r="F551" s="831">
        <f ca="1">IF(X551 &gt; 0.1, RAND() * (0.1 - 0.06) + 0.06, X551)</f>
        <v>0</v>
      </c>
      <c r="G551" s="831">
        <f ca="1">IF(Y551 &lt; 0.5, 0.5 + RAND() * 0.1, Y551)</f>
        <v>0.5590035219461007</v>
      </c>
      <c r="H551" s="830">
        <f ca="1">IF(AB551&gt;0.04, 0.029 + (0.039-0.029)*RAND(), AB551)</f>
        <v>0</v>
      </c>
      <c r="I551" s="830">
        <f ca="1">IF(AA551&gt;0.04, 0.029 + (0.039-0.029)*RAND(), AA551)</f>
        <v>0</v>
      </c>
      <c r="J551" s="831">
        <f ca="1">IF(Z551&gt;0.15, 0.11 + (0.15-0.11) * RAND(), Z551)</f>
        <v>0</v>
      </c>
      <c r="K551" s="830">
        <f ca="1">0.004 + (RAND() * (0.001 - 0.004))</f>
        <v>1.5687525703955551E-3</v>
      </c>
      <c r="L551" s="830">
        <f ca="1">H551+I551</f>
        <v>0</v>
      </c>
      <c r="M551" s="831">
        <f ca="1">(G551/6)+F551</f>
        <v>9.3167253657683455E-2</v>
      </c>
      <c r="N551" s="831">
        <f ca="1">2 + RAND()</f>
        <v>2.9659016558548825</v>
      </c>
      <c r="O551" s="831">
        <f ca="1">1 + RAND()</f>
        <v>1.5270981513534281</v>
      </c>
      <c r="P551" s="831">
        <f ca="1">2.98 + (RAND() * (3.03 - 2.98))</f>
        <v>3.0183360163076705</v>
      </c>
      <c r="Q551" s="832" t="str">
        <f ca="1">IF(D551="130 × 130", (130 + RANDBETWEEN(-1,1)) &amp; " × " &amp; (130 + RANDBETWEEN(-1,1)),
   IF(D551="160 × 160", (160 + RANDBETWEEN(-1,1)) &amp; " × " &amp; (160 + RANDBETWEEN(-1,1)),
   IF(D551="110 × 110", (110 + RANDBETWEEN(-1,1)) &amp; " × " &amp; (110 + RANDBETWEEN(-1,1)),
   "Value not matched")))</f>
        <v>Value not matched</v>
      </c>
      <c r="R551" s="833" t="s">
        <v>213</v>
      </c>
      <c r="S551" s="834" t="str">
        <f ca="1">IF(G551&lt;0.6, "IS 14650 CPS 10748/GR2", "IS 14650 CPS 10748/GR3")</f>
        <v>IS 14650 CPS 10748/GR2</v>
      </c>
      <c r="T551" s="831" t="s">
        <v>769</v>
      </c>
      <c r="U551" s="825"/>
      <c r="V551" s="835">
        <f>Prod.!A310</f>
        <v>0</v>
      </c>
      <c r="W551" s="206">
        <f>Prod.!B310</f>
        <v>0</v>
      </c>
      <c r="X551" s="469">
        <f>Prod.!C310</f>
        <v>0</v>
      </c>
      <c r="Y551" s="469">
        <f>Prod.!D310</f>
        <v>0</v>
      </c>
      <c r="Z551" s="469">
        <f>Prod.!E310</f>
        <v>0</v>
      </c>
      <c r="AA551" s="282">
        <f>Prod.!F310</f>
        <v>0</v>
      </c>
      <c r="AB551" s="282">
        <f>Prod.!G310</f>
        <v>0</v>
      </c>
      <c r="AC551" s="836">
        <f>Prod.!H310</f>
        <v>0</v>
      </c>
      <c r="AD551" s="282">
        <f>Prod.!AB310</f>
        <v>0</v>
      </c>
      <c r="AE551" s="282">
        <f>AD551-AF551</f>
        <v>0</v>
      </c>
      <c r="AF551" s="282">
        <f>Prod.!AA310</f>
        <v>0</v>
      </c>
    </row>
    <row r="552" spans="1:32" ht="15" customHeight="1">
      <c r="A552" s="1435">
        <v>2</v>
      </c>
      <c r="B552" s="818">
        <f>W553</f>
        <v>0</v>
      </c>
      <c r="C552" s="819" t="s">
        <v>765</v>
      </c>
      <c r="D552" s="822"/>
      <c r="E552" s="822"/>
      <c r="F552" s="821">
        <f ca="1">F553 + (RAND() * 0.02 - 0.01)</f>
        <v>-5.6260807185200268E-4</v>
      </c>
      <c r="G552" s="821">
        <f ca="1">G553 + (RAND() * 0.06 - 0.03)</f>
        <v>0.53811437443945787</v>
      </c>
      <c r="H552" s="822">
        <f ca="1">H553 + (RAND() * 0.006 - 0.003)</f>
        <v>2.8542103138368144E-3</v>
      </c>
      <c r="I552" s="822">
        <f ca="1">I553 + (RAND() * 0.006 - 0.003)</f>
        <v>-1.847687480791996E-3</v>
      </c>
      <c r="J552" s="821">
        <f ca="1">J553 + (RAND() * 0.02 - 0.01)</f>
        <v>5.2150242474916994E-4</v>
      </c>
      <c r="K552" s="821"/>
      <c r="L552" s="822"/>
      <c r="M552" s="821"/>
      <c r="N552" s="823"/>
      <c r="O552" s="823"/>
      <c r="P552" s="823"/>
      <c r="Q552" s="823"/>
      <c r="R552" s="837"/>
      <c r="S552" s="821"/>
      <c r="T552" s="838"/>
      <c r="U552" s="825"/>
      <c r="V552" s="826"/>
    </row>
    <row r="553" spans="1:32" ht="15" customHeight="1">
      <c r="A553" s="1435"/>
      <c r="B553" s="827">
        <f>B552</f>
        <v>0</v>
      </c>
      <c r="C553" s="828" t="s">
        <v>768</v>
      </c>
      <c r="D553" s="829" t="str">
        <f>IF(AC553=130, "130 × 130", IF(AC553=160, "160 × 160", IF(AC553=110, "110 × 110", "Value not 130, 160, or 110")))</f>
        <v>Value not 130, 160, or 110</v>
      </c>
      <c r="E553" s="830">
        <f>AD553</f>
        <v>0</v>
      </c>
      <c r="F553" s="831">
        <f ca="1">IF(X553 &gt; 0.1, RAND() * (0.1 - 0.06) + 0.06, X553)</f>
        <v>0</v>
      </c>
      <c r="G553" s="831">
        <f ca="1">IF(Y553 &lt; 0.5, 0.5 + RAND() * 0.1, Y553)</f>
        <v>0.55263602603852513</v>
      </c>
      <c r="H553" s="830">
        <f ca="1">IF(AB553&gt;0.04, 0.029 + (0.039-0.029)*RAND(), AB553)</f>
        <v>0</v>
      </c>
      <c r="I553" s="830">
        <f ca="1">IF(AA553&gt;0.04, 0.029 + (0.039-0.029)*RAND(), AA553)</f>
        <v>0</v>
      </c>
      <c r="J553" s="831">
        <f ca="1">IF(Z553&gt;0.15, 0.11 + (0.15-0.11) * RAND(), Z553)</f>
        <v>0</v>
      </c>
      <c r="K553" s="830">
        <f ca="1">0.004 + (RAND() * (0.001 - 0.004))</f>
        <v>2.8859951567058281E-3</v>
      </c>
      <c r="L553" s="830">
        <f ca="1">H553+I553</f>
        <v>0</v>
      </c>
      <c r="M553" s="831">
        <f ca="1">(G553/6)+F553</f>
        <v>9.2106004339754188E-2</v>
      </c>
      <c r="N553" s="831">
        <f ca="1">2 + RAND()</f>
        <v>2.5447274891416436</v>
      </c>
      <c r="O553" s="831">
        <f ca="1">1 + RAND()</f>
        <v>1.6681721566974699</v>
      </c>
      <c r="P553" s="831">
        <f ca="1">2.98 + (RAND() * (3.03 - 2.98))</f>
        <v>3.0188757605031258</v>
      </c>
      <c r="Q553" s="832" t="str">
        <f ca="1">IF(D553="130 × 130", (130 + RANDBETWEEN(-1,1)) &amp; " × " &amp; (130 + RANDBETWEEN(-1,1)),
   IF(D553="160 × 160", (160 + RANDBETWEEN(-1,1)) &amp; " × " &amp; (160 + RANDBETWEEN(-1,1)),
   IF(D553="110 × 110", (110 + RANDBETWEEN(-1,1)) &amp; " × " &amp; (110 + RANDBETWEEN(-1,1)),
   "Value not matched")))</f>
        <v>Value not matched</v>
      </c>
      <c r="R553" s="833" t="s">
        <v>213</v>
      </c>
      <c r="S553" s="834" t="str">
        <f ca="1">IF(G553&lt;0.6, "IS 14650 CPS 10748/GR2", "IS 14650 CPS 10748/GR3")</f>
        <v>IS 14650 CPS 10748/GR2</v>
      </c>
      <c r="T553" s="831" t="s">
        <v>769</v>
      </c>
      <c r="U553" s="825"/>
      <c r="V553" s="826"/>
      <c r="W553" s="206">
        <f>Prod.!B311</f>
        <v>0</v>
      </c>
      <c r="X553" s="469">
        <f>Prod.!C311</f>
        <v>0</v>
      </c>
      <c r="Y553" s="469">
        <f>Prod.!D311</f>
        <v>0</v>
      </c>
      <c r="Z553" s="469">
        <f>Prod.!E311</f>
        <v>0</v>
      </c>
      <c r="AA553" s="282">
        <f>Prod.!F311</f>
        <v>0</v>
      </c>
      <c r="AB553" s="282">
        <f>Prod.!G311</f>
        <v>0</v>
      </c>
      <c r="AC553" s="836">
        <f>Prod.!H311</f>
        <v>0</v>
      </c>
      <c r="AD553" s="282">
        <f>Prod.!AB311</f>
        <v>0</v>
      </c>
      <c r="AE553" s="282">
        <f>AD553-AF553</f>
        <v>0</v>
      </c>
      <c r="AF553" s="282">
        <f>Prod.!AA311</f>
        <v>0</v>
      </c>
    </row>
    <row r="554" spans="1:32" ht="15" customHeight="1">
      <c r="A554" s="1435">
        <v>3</v>
      </c>
      <c r="B554" s="818">
        <f>W555</f>
        <v>0</v>
      </c>
      <c r="C554" s="819" t="s">
        <v>765</v>
      </c>
      <c r="D554" s="822"/>
      <c r="E554" s="822"/>
      <c r="F554" s="821">
        <f ca="1">F555 + (RAND() * 0.02 - 0.01)</f>
        <v>3.06749591784004E-3</v>
      </c>
      <c r="G554" s="821">
        <f ca="1">G555 + (RAND() * 0.06 - 0.03)</f>
        <v>0.55947710017320929</v>
      </c>
      <c r="H554" s="822">
        <f ca="1">H555 + (RAND() * 0.006 - 0.003)</f>
        <v>1.8121237595610925E-3</v>
      </c>
      <c r="I554" s="822">
        <f ca="1">I555 + (RAND() * 0.006 - 0.003)</f>
        <v>-2.5205173857280119E-3</v>
      </c>
      <c r="J554" s="821">
        <f ca="1">J555 + (RAND() * 0.02 - 0.01)</f>
        <v>-9.0772225205615568E-3</v>
      </c>
      <c r="K554" s="821"/>
      <c r="L554" s="822"/>
      <c r="M554" s="821"/>
      <c r="N554" s="823"/>
      <c r="O554" s="823"/>
      <c r="P554" s="823"/>
      <c r="Q554" s="823"/>
      <c r="R554" s="839"/>
      <c r="S554" s="821"/>
      <c r="T554" s="821"/>
      <c r="U554" s="825"/>
      <c r="V554" s="826"/>
    </row>
    <row r="555" spans="1:32" ht="15" customHeight="1">
      <c r="A555" s="1435"/>
      <c r="B555" s="827">
        <f>B554</f>
        <v>0</v>
      </c>
      <c r="C555" s="828" t="s">
        <v>768</v>
      </c>
      <c r="D555" s="829" t="str">
        <f>IF(AC555=130, "130 × 130", IF(AC555=160, "160 × 160", IF(AC555=110, "110 × 110", "Value not 130, 160, or 110")))</f>
        <v>Value not 130, 160, or 110</v>
      </c>
      <c r="E555" s="830">
        <f>AD555</f>
        <v>0</v>
      </c>
      <c r="F555" s="831">
        <f ca="1">IF(X555 &gt; 0.1, RAND() * (0.1 - 0.06) + 0.06, X555)</f>
        <v>0</v>
      </c>
      <c r="G555" s="831">
        <f ca="1">IF(Y555 &lt; 0.5, 0.5 + RAND() * 0.1, Y555)</f>
        <v>0.57356028186956354</v>
      </c>
      <c r="H555" s="830">
        <f ca="1">IF(AB555&gt;0.04, 0.029 + (0.039-0.029)*RAND(), AB555)</f>
        <v>0</v>
      </c>
      <c r="I555" s="830">
        <f ca="1">IF(AA555&gt;0.04, 0.029 + (0.039-0.029)*RAND(), AA555)</f>
        <v>0</v>
      </c>
      <c r="J555" s="831">
        <f ca="1">IF(Z555&gt;0.15, 0.11 + (0.15-0.11) * RAND(), Z555)</f>
        <v>0</v>
      </c>
      <c r="K555" s="830">
        <f ca="1">0.004 + (RAND() * (0.001 - 0.004))</f>
        <v>1.3653968724997166E-3</v>
      </c>
      <c r="L555" s="830">
        <f ca="1">H555+I555</f>
        <v>0</v>
      </c>
      <c r="M555" s="831">
        <f ca="1">(G555/6)+F555</f>
        <v>9.5593380311593923E-2</v>
      </c>
      <c r="N555" s="831">
        <f ca="1">2 + RAND()</f>
        <v>2.8884361990536753</v>
      </c>
      <c r="O555" s="831">
        <f ca="1">1 + RAND()</f>
        <v>1.1641514924113505</v>
      </c>
      <c r="P555" s="831">
        <f ca="1">2.98 + (RAND() * (3.03 - 2.98))</f>
        <v>2.9823113599953994</v>
      </c>
      <c r="Q555" s="832" t="str">
        <f ca="1">IF(D555="130 × 130", (130 + RANDBETWEEN(-1,1)) &amp; " × " &amp; (130 + RANDBETWEEN(-1,1)),
   IF(D555="160 × 160", (160 + RANDBETWEEN(-1,1)) &amp; " × " &amp; (160 + RANDBETWEEN(-1,1)),
   IF(D555="110 × 110", (110 + RANDBETWEEN(-1,1)) &amp; " × " &amp; (110 + RANDBETWEEN(-1,1)),
   "Value not matched")))</f>
        <v>Value not matched</v>
      </c>
      <c r="R555" s="833" t="s">
        <v>213</v>
      </c>
      <c r="S555" s="834" t="str">
        <f ca="1">IF(G555&lt;0.6, "IS 14650 CPS 10748/GR2", "IS 14650 CPS 10748/GR3")</f>
        <v>IS 14650 CPS 10748/GR2</v>
      </c>
      <c r="T555" s="831" t="s">
        <v>769</v>
      </c>
      <c r="U555" s="825"/>
      <c r="V555" s="826"/>
      <c r="W555" s="206">
        <f>Prod.!B312</f>
        <v>0</v>
      </c>
      <c r="X555" s="469">
        <f>Prod.!C312</f>
        <v>0</v>
      </c>
      <c r="Y555" s="469">
        <f>Prod.!D312</f>
        <v>0</v>
      </c>
      <c r="Z555" s="469">
        <f>Prod.!E312</f>
        <v>0</v>
      </c>
      <c r="AA555" s="282">
        <f>Prod.!F312</f>
        <v>0</v>
      </c>
      <c r="AB555" s="282">
        <f>Prod.!G312</f>
        <v>0</v>
      </c>
      <c r="AC555" s="836">
        <f>Prod.!H312</f>
        <v>0</v>
      </c>
      <c r="AD555" s="282">
        <f>Prod.!AB312</f>
        <v>0</v>
      </c>
      <c r="AE555" s="282">
        <f>AD555-AF555</f>
        <v>0</v>
      </c>
      <c r="AF555" s="282">
        <f>Prod.!AA312</f>
        <v>0</v>
      </c>
    </row>
    <row r="556" spans="1:32" ht="15" customHeight="1">
      <c r="A556" s="1435">
        <v>4</v>
      </c>
      <c r="B556" s="818">
        <f>W557</f>
        <v>0</v>
      </c>
      <c r="C556" s="819" t="s">
        <v>765</v>
      </c>
      <c r="D556" s="822"/>
      <c r="E556" s="822"/>
      <c r="F556" s="821">
        <f ca="1">F557 + (RAND() * 0.02 - 0.01)</f>
        <v>2.0748834879770681E-3</v>
      </c>
      <c r="G556" s="821">
        <f ca="1">G557 + (RAND() * 0.06 - 0.03)</f>
        <v>0.53319200819543389</v>
      </c>
      <c r="H556" s="822">
        <f ca="1">H557 + (RAND() * 0.006 - 0.003)</f>
        <v>-2.8327778623949279E-3</v>
      </c>
      <c r="I556" s="822">
        <f ca="1">I557 + (RAND() * 0.006 - 0.003)</f>
        <v>-1.9093364101662629E-3</v>
      </c>
      <c r="J556" s="821">
        <f ca="1">J557 + (RAND() * 0.02 - 0.01)</f>
        <v>-4.2922087565086088E-3</v>
      </c>
      <c r="K556" s="821"/>
      <c r="L556" s="822"/>
      <c r="M556" s="821"/>
      <c r="N556" s="823"/>
      <c r="O556" s="823"/>
      <c r="P556" s="823"/>
      <c r="Q556" s="823"/>
      <c r="R556" s="839"/>
      <c r="S556" s="821"/>
      <c r="T556" s="821"/>
      <c r="U556" s="825"/>
      <c r="V556" s="826"/>
    </row>
    <row r="557" spans="1:32" ht="15" customHeight="1">
      <c r="A557" s="1435"/>
      <c r="B557" s="827">
        <f>B556</f>
        <v>0</v>
      </c>
      <c r="C557" s="828" t="s">
        <v>768</v>
      </c>
      <c r="D557" s="829" t="str">
        <f>IF(AC557=130, "130 × 130", IF(AC557=160, "160 × 160", IF(AC557=110, "110 × 110", "Value not 130, 160, or 110")))</f>
        <v>Value not 130, 160, or 110</v>
      </c>
      <c r="E557" s="830">
        <f>AD557</f>
        <v>0</v>
      </c>
      <c r="F557" s="831">
        <f ca="1">IF(X557 &gt; 0.1, RAND() * (0.1 - 0.06) + 0.06, X557)</f>
        <v>0</v>
      </c>
      <c r="G557" s="831">
        <f ca="1">IF(Y557 &lt; 0.5, 0.5 + RAND() * 0.1, Y557)</f>
        <v>0.54144276833321381</v>
      </c>
      <c r="H557" s="830">
        <f ca="1">IF(AB557&gt;0.04, 0.029 + (0.039-0.029)*RAND(), AB557)</f>
        <v>0</v>
      </c>
      <c r="I557" s="830">
        <f ca="1">IF(AA557&gt;0.04, 0.029 + (0.039-0.029)*RAND(), AA557)</f>
        <v>0</v>
      </c>
      <c r="J557" s="831">
        <f ca="1">IF(Z557&gt;0.15, 0.11 + (0.15-0.11) * RAND(), Z557)</f>
        <v>0</v>
      </c>
      <c r="K557" s="830">
        <f ca="1">0.004 + (RAND() * (0.001 - 0.004))</f>
        <v>1.2999620260362409E-3</v>
      </c>
      <c r="L557" s="830">
        <f ca="1">H557+I557</f>
        <v>0</v>
      </c>
      <c r="M557" s="831">
        <f ca="1">(G557/6)+F557</f>
        <v>9.0240461388868973E-2</v>
      </c>
      <c r="N557" s="831">
        <f ca="1">2 + RAND()</f>
        <v>2.8691480583102025</v>
      </c>
      <c r="O557" s="831">
        <f ca="1">1 + RAND()</f>
        <v>1.2688552651263589</v>
      </c>
      <c r="P557" s="831">
        <f ca="1">2.98 + (RAND() * (3.03 - 2.98))</f>
        <v>3.0255520725203953</v>
      </c>
      <c r="Q557" s="832" t="str">
        <f ca="1">IF(D557="130 × 130", (130 + RANDBETWEEN(-1,1)) &amp; " × " &amp; (130 + RANDBETWEEN(-1,1)),
   IF(D557="160 × 160", (160 + RANDBETWEEN(-1,1)) &amp; " × " &amp; (160 + RANDBETWEEN(-1,1)),
   IF(D557="110 × 110", (110 + RANDBETWEEN(-1,1)) &amp; " × " &amp; (110 + RANDBETWEEN(-1,1)),
   "Value not matched")))</f>
        <v>Value not matched</v>
      </c>
      <c r="R557" s="833" t="s">
        <v>213</v>
      </c>
      <c r="S557" s="834" t="str">
        <f ca="1">IF(G557&lt;0.6, "IS 14650 CPS 10748/GR2", "IS 14650 CPS 10748/GR3")</f>
        <v>IS 14650 CPS 10748/GR2</v>
      </c>
      <c r="T557" s="831" t="s">
        <v>769</v>
      </c>
      <c r="U557" s="825"/>
      <c r="V557" s="826"/>
      <c r="W557" s="206">
        <f>Prod.!B313</f>
        <v>0</v>
      </c>
      <c r="X557" s="469">
        <f>Prod.!C313</f>
        <v>0</v>
      </c>
      <c r="Y557" s="469">
        <f>Prod.!D313</f>
        <v>0</v>
      </c>
      <c r="Z557" s="469">
        <f>Prod.!E313</f>
        <v>0</v>
      </c>
      <c r="AA557" s="282">
        <f>Prod.!F313</f>
        <v>0</v>
      </c>
      <c r="AB557" s="282">
        <f>Prod.!G313</f>
        <v>0</v>
      </c>
      <c r="AC557" s="836">
        <f>Prod.!H313</f>
        <v>0</v>
      </c>
      <c r="AD557" s="282">
        <f>Prod.!AB313</f>
        <v>0</v>
      </c>
      <c r="AE557" s="282">
        <f>AD557-AF557</f>
        <v>0</v>
      </c>
      <c r="AF557" s="282">
        <f>Prod.!AA313</f>
        <v>0</v>
      </c>
    </row>
    <row r="558" spans="1:32" ht="15" customHeight="1">
      <c r="A558" s="1435">
        <v>5</v>
      </c>
      <c r="B558" s="818">
        <f>W559</f>
        <v>0</v>
      </c>
      <c r="C558" s="819" t="s">
        <v>765</v>
      </c>
      <c r="D558" s="822"/>
      <c r="E558" s="822"/>
      <c r="F558" s="821">
        <f ca="1">F559 + (RAND() * 0.02 - 0.01)</f>
        <v>6.3460720396395064E-3</v>
      </c>
      <c r="G558" s="821">
        <f ca="1">G559 + (RAND() * 0.06 - 0.03)</f>
        <v>0.57240556702012524</v>
      </c>
      <c r="H558" s="822">
        <f ca="1">H559 + (RAND() * 0.006 - 0.003)</f>
        <v>-1.2976537363155755E-5</v>
      </c>
      <c r="I558" s="822">
        <f ca="1">I559 + (RAND() * 0.006 - 0.003)</f>
        <v>-2.8822881316258797E-3</v>
      </c>
      <c r="J558" s="821">
        <f ca="1">J559 + (RAND() * 0.02 - 0.01)</f>
        <v>-1.3999908155734372E-3</v>
      </c>
      <c r="K558" s="821"/>
      <c r="L558" s="822"/>
      <c r="M558" s="821"/>
      <c r="N558" s="823"/>
      <c r="O558" s="823"/>
      <c r="P558" s="823"/>
      <c r="Q558" s="823"/>
      <c r="R558" s="839"/>
      <c r="S558" s="821"/>
      <c r="T558" s="821"/>
      <c r="U558" s="825"/>
      <c r="V558" s="826"/>
    </row>
    <row r="559" spans="1:32" ht="15" customHeight="1">
      <c r="A559" s="1435"/>
      <c r="B559" s="827">
        <f>B558</f>
        <v>0</v>
      </c>
      <c r="C559" s="828" t="s">
        <v>768</v>
      </c>
      <c r="D559" s="829" t="str">
        <f>IF(AC559=130, "130 × 130", IF(AC559=160, "160 × 160", IF(AC559=110, "110 × 110", "Value not 130, 160, or 110")))</f>
        <v>Value not 130, 160, or 110</v>
      </c>
      <c r="E559" s="830">
        <f>AD559</f>
        <v>0</v>
      </c>
      <c r="F559" s="831">
        <f ca="1">IF(X559 &gt; 0.1, RAND() * (0.1 - 0.06) + 0.06, X559)</f>
        <v>0</v>
      </c>
      <c r="G559" s="831">
        <f ca="1">IF(Y559 &lt; 0.5, 0.5 + RAND() * 0.1, Y559)</f>
        <v>0.55146269910742052</v>
      </c>
      <c r="H559" s="830">
        <f ca="1">IF(AB559&gt;0.04, 0.029 + (0.039-0.029)*RAND(), AB559)</f>
        <v>0</v>
      </c>
      <c r="I559" s="830">
        <f ca="1">IF(AA559&gt;0.04, 0.029 + (0.039-0.029)*RAND(), AA559)</f>
        <v>0</v>
      </c>
      <c r="J559" s="831">
        <f ca="1">IF(Z559&gt;0.15, 0.11 + (0.15-0.11) * RAND(), Z559)</f>
        <v>0</v>
      </c>
      <c r="K559" s="830">
        <f ca="1">0.004 + (RAND() * (0.001 - 0.004))</f>
        <v>1.736817699955746E-3</v>
      </c>
      <c r="L559" s="830">
        <f ca="1">H559+I559</f>
        <v>0</v>
      </c>
      <c r="M559" s="831">
        <f ca="1">(G559/6)+F559</f>
        <v>9.1910449851236753E-2</v>
      </c>
      <c r="N559" s="831">
        <f ca="1">2 + RAND()</f>
        <v>2.1643091457253592</v>
      </c>
      <c r="O559" s="831">
        <f ca="1">1 + RAND()</f>
        <v>1.723459350070137</v>
      </c>
      <c r="P559" s="831">
        <f ca="1">2.98 + (RAND() * (3.03 - 2.98))</f>
        <v>3.0085585439398699</v>
      </c>
      <c r="Q559" s="832" t="str">
        <f ca="1">IF(D559="130 × 130", (130 + RANDBETWEEN(-1,1)) &amp; " × " &amp; (130 + RANDBETWEEN(-1,1)),
   IF(D559="160 × 160", (160 + RANDBETWEEN(-1,1)) &amp; " × " &amp; (160 + RANDBETWEEN(-1,1)),
   IF(D559="110 × 110", (110 + RANDBETWEEN(-1,1)) &amp; " × " &amp; (110 + RANDBETWEEN(-1,1)),
   "Value not matched")))</f>
        <v>Value not matched</v>
      </c>
      <c r="R559" s="833" t="s">
        <v>213</v>
      </c>
      <c r="S559" s="834" t="str">
        <f ca="1">IF(G559&lt;0.6, "IS 14650 CPS 10748/GR2", "IS 14650 CPS 10748/GR3")</f>
        <v>IS 14650 CPS 10748/GR2</v>
      </c>
      <c r="T559" s="831" t="s">
        <v>769</v>
      </c>
      <c r="U559" s="825"/>
      <c r="V559" s="826"/>
      <c r="W559" s="206">
        <f>Prod.!B314</f>
        <v>0</v>
      </c>
      <c r="X559" s="469">
        <f>Prod.!C314</f>
        <v>0</v>
      </c>
      <c r="Y559" s="469">
        <f>Prod.!D314</f>
        <v>0</v>
      </c>
      <c r="Z559" s="469">
        <f>Prod.!E314</f>
        <v>0</v>
      </c>
      <c r="AA559" s="282">
        <f>Prod.!F314</f>
        <v>0</v>
      </c>
      <c r="AB559" s="282">
        <f>Prod.!G314</f>
        <v>0</v>
      </c>
      <c r="AC559" s="836">
        <f>Prod.!H314</f>
        <v>0</v>
      </c>
      <c r="AD559" s="282">
        <f>Prod.!AB314</f>
        <v>0</v>
      </c>
      <c r="AE559" s="282">
        <f>AD559-AF559</f>
        <v>0</v>
      </c>
      <c r="AF559" s="282">
        <f>Prod.!AA314</f>
        <v>0</v>
      </c>
    </row>
    <row r="560" spans="1:32" ht="15" customHeight="1">
      <c r="A560" s="1435">
        <v>6</v>
      </c>
      <c r="B560" s="818">
        <f>W561</f>
        <v>0</v>
      </c>
      <c r="C560" s="819" t="s">
        <v>765</v>
      </c>
      <c r="D560" s="822"/>
      <c r="E560" s="822"/>
      <c r="F560" s="821">
        <f ca="1">F561 + (RAND() * 0.02 - 0.01)</f>
        <v>5.6564573789062694E-3</v>
      </c>
      <c r="G560" s="821">
        <f ca="1">G561 + (RAND() * 0.06 - 0.03)</f>
        <v>0.60804315523036989</v>
      </c>
      <c r="H560" s="822">
        <f ca="1">H561 + (RAND() * 0.006 - 0.003)</f>
        <v>1.3001005339527104E-3</v>
      </c>
      <c r="I560" s="822">
        <f ca="1">I561 + (RAND() * 0.006 - 0.003)</f>
        <v>-6.8452890005979471E-4</v>
      </c>
      <c r="J560" s="821">
        <f ca="1">J561 + (RAND() * 0.02 - 0.01)</f>
        <v>-3.6929260054462468E-3</v>
      </c>
      <c r="K560" s="821"/>
      <c r="L560" s="822"/>
      <c r="M560" s="821"/>
      <c r="N560" s="823"/>
      <c r="O560" s="823"/>
      <c r="P560" s="823"/>
      <c r="Q560" s="823"/>
      <c r="R560" s="839"/>
      <c r="S560" s="821"/>
      <c r="T560" s="821"/>
      <c r="U560" s="825"/>
      <c r="V560" s="826"/>
    </row>
    <row r="561" spans="1:32" ht="15" customHeight="1">
      <c r="A561" s="1435"/>
      <c r="B561" s="827">
        <f>B560</f>
        <v>0</v>
      </c>
      <c r="C561" s="828" t="s">
        <v>768</v>
      </c>
      <c r="D561" s="829" t="str">
        <f>IF(AC561=130, "130 × 130", IF(AC561=160, "160 × 160", IF(AC561=110, "110 × 110", "Value not 130, 160, or 110")))</f>
        <v>Value not 130, 160, or 110</v>
      </c>
      <c r="E561" s="830">
        <f>AD561</f>
        <v>0</v>
      </c>
      <c r="F561" s="831">
        <f ca="1">IF(X561 &gt; 0.1, RAND() * (0.1 - 0.06) + 0.06, X561)</f>
        <v>0</v>
      </c>
      <c r="G561" s="831">
        <f ca="1">IF(Y561 &lt; 0.5, 0.5 + RAND() * 0.1, Y561)</f>
        <v>0.59163056106225487</v>
      </c>
      <c r="H561" s="830">
        <f ca="1">IF(AB561&gt;0.04, 0.029 + (0.039-0.029)*RAND(), AB561)</f>
        <v>0</v>
      </c>
      <c r="I561" s="830">
        <f ca="1">IF(AA561&gt;0.04, 0.029 + (0.039-0.029)*RAND(), AA561)</f>
        <v>0</v>
      </c>
      <c r="J561" s="831">
        <f ca="1">IF(Z561&gt;0.15, 0.11 + (0.15-0.11) * RAND(), Z561)</f>
        <v>0</v>
      </c>
      <c r="K561" s="830">
        <f ca="1">0.004 + (RAND() * (0.001 - 0.004))</f>
        <v>2.7392209777690629E-3</v>
      </c>
      <c r="L561" s="830">
        <f ca="1">H561+I561</f>
        <v>0</v>
      </c>
      <c r="M561" s="831">
        <f ca="1">(G561/6)+F561</f>
        <v>9.8605093510375816E-2</v>
      </c>
      <c r="N561" s="831">
        <f ca="1">2 + RAND()</f>
        <v>2.2536024762669373</v>
      </c>
      <c r="O561" s="831">
        <f ca="1">1 + RAND()</f>
        <v>1.8278220394787594</v>
      </c>
      <c r="P561" s="831">
        <f ca="1">2.98 + (RAND() * (3.03 - 2.98))</f>
        <v>3.0183343262246818</v>
      </c>
      <c r="Q561" s="832" t="str">
        <f ca="1">IF(D561="130 × 130", (130 + RANDBETWEEN(-1,1)) &amp; " × " &amp; (130 + RANDBETWEEN(-1,1)),
   IF(D561="160 × 160", (160 + RANDBETWEEN(-1,1)) &amp; " × " &amp; (160 + RANDBETWEEN(-1,1)),
   IF(D561="110 × 110", (110 + RANDBETWEEN(-1,1)) &amp; " × " &amp; (110 + RANDBETWEEN(-1,1)),
   "Value not matched")))</f>
        <v>Value not matched</v>
      </c>
      <c r="R561" s="833" t="s">
        <v>213</v>
      </c>
      <c r="S561" s="834" t="str">
        <f ca="1">IF(G561&lt;0.6, "IS 14650 CPS 10748/GR2", "IS 14650 CPS 10748/GR3")</f>
        <v>IS 14650 CPS 10748/GR2</v>
      </c>
      <c r="T561" s="831" t="s">
        <v>769</v>
      </c>
      <c r="U561" s="825"/>
      <c r="V561" s="826"/>
      <c r="W561" s="206">
        <f>Prod.!B315</f>
        <v>0</v>
      </c>
      <c r="X561" s="469">
        <f>Prod.!C315</f>
        <v>0</v>
      </c>
      <c r="Y561" s="469">
        <f>Prod.!D315</f>
        <v>0</v>
      </c>
      <c r="Z561" s="469">
        <f>Prod.!E315</f>
        <v>0</v>
      </c>
      <c r="AA561" s="282">
        <f>Prod.!F315</f>
        <v>0</v>
      </c>
      <c r="AB561" s="282">
        <f>Prod.!G315</f>
        <v>0</v>
      </c>
      <c r="AC561" s="836">
        <f>Prod.!H315</f>
        <v>0</v>
      </c>
      <c r="AD561" s="282">
        <f>Prod.!AB315</f>
        <v>0</v>
      </c>
      <c r="AE561" s="282">
        <f>AD561-AF561</f>
        <v>0</v>
      </c>
      <c r="AF561" s="282">
        <f>Prod.!AA315</f>
        <v>0</v>
      </c>
    </row>
    <row r="562" spans="1:32" ht="15" customHeight="1">
      <c r="A562" s="1435">
        <v>7</v>
      </c>
      <c r="B562" s="818">
        <f>W563</f>
        <v>0</v>
      </c>
      <c r="C562" s="819" t="s">
        <v>765</v>
      </c>
      <c r="D562" s="822"/>
      <c r="E562" s="822"/>
      <c r="F562" s="821">
        <f ca="1">F563 + (RAND() * 0.02 - 0.01)</f>
        <v>-6.6293805859103739E-3</v>
      </c>
      <c r="G562" s="821">
        <f ca="1">G563 + (RAND() * 0.06 - 0.03)</f>
        <v>0.53285215488789806</v>
      </c>
      <c r="H562" s="822">
        <f ca="1">H563 + (RAND() * 0.006 - 0.003)</f>
        <v>-1.2668508950758836E-3</v>
      </c>
      <c r="I562" s="822">
        <f ca="1">I563 + (RAND() * 0.006 - 0.003)</f>
        <v>-1.9292316128842791E-3</v>
      </c>
      <c r="J562" s="821">
        <f ca="1">J563 + (RAND() * 0.02 - 0.01)</f>
        <v>-7.51062906777741E-3</v>
      </c>
      <c r="K562" s="821"/>
      <c r="L562" s="822"/>
      <c r="M562" s="821"/>
      <c r="N562" s="823"/>
      <c r="O562" s="823"/>
      <c r="P562" s="823"/>
      <c r="Q562" s="823"/>
      <c r="R562" s="839"/>
      <c r="S562" s="821"/>
      <c r="T562" s="821"/>
      <c r="U562" s="825"/>
      <c r="V562" s="826"/>
    </row>
    <row r="563" spans="1:32" ht="15" customHeight="1">
      <c r="A563" s="1435"/>
      <c r="B563" s="827">
        <f>B562</f>
        <v>0</v>
      </c>
      <c r="C563" s="828" t="s">
        <v>768</v>
      </c>
      <c r="D563" s="829" t="str">
        <f>IF(AC563=130, "130 × 130", IF(AC563=160, "160 × 160", IF(AC563=110, "110 × 110", "Value not 130, 160, or 110")))</f>
        <v>Value not 130, 160, or 110</v>
      </c>
      <c r="E563" s="830">
        <f>AD563</f>
        <v>0</v>
      </c>
      <c r="F563" s="831">
        <f ca="1">IF(X563 &gt; 0.1, RAND() * (0.1 - 0.06) + 0.06, X563)</f>
        <v>0</v>
      </c>
      <c r="G563" s="831">
        <f ca="1">IF(Y563 &lt; 0.5, 0.5 + RAND() * 0.1, Y563)</f>
        <v>0.51589000471411883</v>
      </c>
      <c r="H563" s="830">
        <f ca="1">IF(AB563&gt;0.04, 0.029 + (0.039-0.029)*RAND(), AB563)</f>
        <v>0</v>
      </c>
      <c r="I563" s="830">
        <f ca="1">IF(AA563&gt;0.04, 0.029 + (0.039-0.029)*RAND(), AA563)</f>
        <v>0</v>
      </c>
      <c r="J563" s="831">
        <f ca="1">IF(Z563&gt;0.15, 0.11 + (0.15-0.11) * RAND(), Z563)</f>
        <v>0</v>
      </c>
      <c r="K563" s="830">
        <f ca="1">0.004 + (RAND() * (0.001 - 0.004))</f>
        <v>3.3752110368290111E-3</v>
      </c>
      <c r="L563" s="830">
        <f ca="1">H563+I563</f>
        <v>0</v>
      </c>
      <c r="M563" s="831">
        <f ca="1">(G563/6)+F563</f>
        <v>8.5981667452353139E-2</v>
      </c>
      <c r="N563" s="831">
        <f ca="1">2 + RAND()</f>
        <v>2.1727946864791878</v>
      </c>
      <c r="O563" s="831">
        <f ca="1">1 + RAND()</f>
        <v>1.1549242228263581</v>
      </c>
      <c r="P563" s="831">
        <f ca="1">2.98 + (RAND() * (3.03 - 2.98))</f>
        <v>3.0095110986239679</v>
      </c>
      <c r="Q563" s="832" t="str">
        <f ca="1">IF(D563="130 × 130", (130 + RANDBETWEEN(-1,1)) &amp; " × " &amp; (130 + RANDBETWEEN(-1,1)),
   IF(D563="160 × 160", (160 + RANDBETWEEN(-1,1)) &amp; " × " &amp; (160 + RANDBETWEEN(-1,1)),
   IF(D563="110 × 110", (110 + RANDBETWEEN(-1,1)) &amp; " × " &amp; (110 + RANDBETWEEN(-1,1)),
   "Value not matched")))</f>
        <v>Value not matched</v>
      </c>
      <c r="R563" s="833" t="s">
        <v>213</v>
      </c>
      <c r="S563" s="834" t="str">
        <f ca="1">IF(G563&lt;0.6, "IS 14650 CPS 10748/GR2", "IS 14650 CPS 10748/GR3")</f>
        <v>IS 14650 CPS 10748/GR2</v>
      </c>
      <c r="T563" s="831" t="s">
        <v>769</v>
      </c>
      <c r="U563" s="825"/>
      <c r="V563" s="826"/>
      <c r="W563" s="206">
        <f>Prod.!B316</f>
        <v>0</v>
      </c>
      <c r="X563" s="469">
        <f>Prod.!C316</f>
        <v>0</v>
      </c>
      <c r="Y563" s="469">
        <f>Prod.!D316</f>
        <v>0</v>
      </c>
      <c r="Z563" s="469">
        <f>Prod.!E316</f>
        <v>0</v>
      </c>
      <c r="AA563" s="282">
        <f>Prod.!F316</f>
        <v>0</v>
      </c>
      <c r="AB563" s="282">
        <f>Prod.!G316</f>
        <v>0</v>
      </c>
      <c r="AC563" s="836">
        <f>Prod.!H316</f>
        <v>0</v>
      </c>
      <c r="AD563" s="282">
        <f>Prod.!AB316</f>
        <v>0</v>
      </c>
      <c r="AE563" s="282">
        <f>AD563-AF563</f>
        <v>0</v>
      </c>
      <c r="AF563" s="282">
        <f>Prod.!AA316</f>
        <v>0</v>
      </c>
    </row>
    <row r="564" spans="1:32" ht="15" customHeight="1">
      <c r="A564" s="1435">
        <v>8</v>
      </c>
      <c r="B564" s="818">
        <f>W565</f>
        <v>0</v>
      </c>
      <c r="C564" s="819" t="s">
        <v>765</v>
      </c>
      <c r="D564" s="822"/>
      <c r="E564" s="822"/>
      <c r="F564" s="821">
        <f ca="1">F565 + (RAND() * 0.02 - 0.01)</f>
        <v>1.7902699126959992E-4</v>
      </c>
      <c r="G564" s="821">
        <f ca="1">G565 + (RAND() * 0.06 - 0.03)</f>
        <v>0.53856699729209734</v>
      </c>
      <c r="H564" s="822">
        <f ca="1">H565 + (RAND() * 0.006 - 0.003)</f>
        <v>5.0911711896620138E-4</v>
      </c>
      <c r="I564" s="822">
        <f ca="1">I565 + (RAND() * 0.006 - 0.003)</f>
        <v>-2.3796560376443485E-3</v>
      </c>
      <c r="J564" s="821">
        <f ca="1">J565 + (RAND() * 0.02 - 0.01)</f>
        <v>9.9913131252503517E-3</v>
      </c>
      <c r="K564" s="821"/>
      <c r="L564" s="822"/>
      <c r="M564" s="821"/>
      <c r="N564" s="823"/>
      <c r="O564" s="823"/>
      <c r="P564" s="823"/>
      <c r="Q564" s="823"/>
      <c r="R564" s="839"/>
      <c r="S564" s="821"/>
      <c r="T564" s="821"/>
      <c r="U564" s="825"/>
      <c r="V564" s="826"/>
    </row>
    <row r="565" spans="1:32" ht="15" customHeight="1">
      <c r="A565" s="1435"/>
      <c r="B565" s="827">
        <f>B564</f>
        <v>0</v>
      </c>
      <c r="C565" s="828" t="s">
        <v>768</v>
      </c>
      <c r="D565" s="829" t="str">
        <f>IF(AC565=130, "130 × 130", IF(AC565=160, "160 × 160", IF(AC565=110, "110 × 110", "Value not 130, 160, or 110")))</f>
        <v>Value not 130, 160, or 110</v>
      </c>
      <c r="E565" s="830">
        <f>AD565</f>
        <v>0</v>
      </c>
      <c r="F565" s="831">
        <f ca="1">IF(X565 &gt; 0.1, RAND() * (0.1 - 0.06) + 0.06, X565)</f>
        <v>0</v>
      </c>
      <c r="G565" s="831">
        <f ca="1">IF(Y565 &lt; 0.5, 0.5 + RAND() * 0.1, Y565)</f>
        <v>0.53629908626570821</v>
      </c>
      <c r="H565" s="830">
        <f ca="1">IF(AB565&gt;0.04, 0.029 + (0.039-0.029)*RAND(), AB565)</f>
        <v>0</v>
      </c>
      <c r="I565" s="830">
        <f ca="1">IF(AA565&gt;0.04, 0.029 + (0.039-0.029)*RAND(), AA565)</f>
        <v>0</v>
      </c>
      <c r="J565" s="831">
        <f ca="1">IF(Z565&gt;0.15, 0.11 + (0.15-0.11) * RAND(), Z565)</f>
        <v>0</v>
      </c>
      <c r="K565" s="830">
        <f ca="1">0.004 + (RAND() * (0.001 - 0.004))</f>
        <v>2.2439332039974487E-3</v>
      </c>
      <c r="L565" s="830">
        <f ca="1">H565+I565</f>
        <v>0</v>
      </c>
      <c r="M565" s="831">
        <f ca="1">(G565/6)+F565</f>
        <v>8.9383181044284707E-2</v>
      </c>
      <c r="N565" s="831">
        <f ca="1">2 + RAND()</f>
        <v>2.7258658832562168</v>
      </c>
      <c r="O565" s="831">
        <f ca="1">1 + RAND()</f>
        <v>1.7554935046980218</v>
      </c>
      <c r="P565" s="831">
        <f ca="1">2.98 + (RAND() * (3.03 - 2.98))</f>
        <v>2.9980446048572404</v>
      </c>
      <c r="Q565" s="832" t="str">
        <f ca="1">IF(D565="130 × 130", (130 + RANDBETWEEN(-1,1)) &amp; " × " &amp; (130 + RANDBETWEEN(-1,1)),
   IF(D565="160 × 160", (160 + RANDBETWEEN(-1,1)) &amp; " × " &amp; (160 + RANDBETWEEN(-1,1)),
   IF(D565="110 × 110", (110 + RANDBETWEEN(-1,1)) &amp; " × " &amp; (110 + RANDBETWEEN(-1,1)),
   "Value not matched")))</f>
        <v>Value not matched</v>
      </c>
      <c r="R565" s="833" t="s">
        <v>213</v>
      </c>
      <c r="S565" s="834" t="str">
        <f ca="1">IF(G565&lt;0.6, "IS 14650 CPS 10748/GR2", "IS 14650 CPS 10748/GR3")</f>
        <v>IS 14650 CPS 10748/GR2</v>
      </c>
      <c r="T565" s="831" t="s">
        <v>769</v>
      </c>
      <c r="U565" s="825"/>
      <c r="V565" s="826"/>
      <c r="W565" s="206">
        <f>Prod.!B317</f>
        <v>0</v>
      </c>
      <c r="X565" s="469">
        <f>Prod.!C317</f>
        <v>0</v>
      </c>
      <c r="Y565" s="469">
        <f>Prod.!D317</f>
        <v>0</v>
      </c>
      <c r="Z565" s="469">
        <f>Prod.!E317</f>
        <v>0</v>
      </c>
      <c r="AA565" s="282">
        <f>Prod.!F317</f>
        <v>0</v>
      </c>
      <c r="AB565" s="282">
        <f>Prod.!G317</f>
        <v>0</v>
      </c>
      <c r="AC565" s="836">
        <f>Prod.!H317</f>
        <v>0</v>
      </c>
      <c r="AD565" s="282">
        <f>Prod.!AB317</f>
        <v>0</v>
      </c>
      <c r="AE565" s="282">
        <f>AD565-AF565</f>
        <v>0</v>
      </c>
      <c r="AF565" s="282">
        <f>Prod.!AA317</f>
        <v>0</v>
      </c>
    </row>
    <row r="566" spans="1:32" ht="15" customHeight="1">
      <c r="A566" s="1435">
        <v>9</v>
      </c>
      <c r="B566" s="818">
        <f>W567</f>
        <v>0</v>
      </c>
      <c r="C566" s="819" t="s">
        <v>765</v>
      </c>
      <c r="D566" s="822"/>
      <c r="E566" s="822"/>
      <c r="F566" s="821">
        <f ca="1">F567 + (RAND() * 0.02 - 0.01)</f>
        <v>5.2612978256692082E-3</v>
      </c>
      <c r="G566" s="821">
        <f ca="1">G567 + (RAND() * 0.06 - 0.03)</f>
        <v>0.53986853917741917</v>
      </c>
      <c r="H566" s="822">
        <f ca="1">H567 + (RAND() * 0.006 - 0.003)</f>
        <v>-2.1353584940231891E-3</v>
      </c>
      <c r="I566" s="822">
        <f ca="1">I567 + (RAND() * 0.006 - 0.003)</f>
        <v>1.4307423920709925E-3</v>
      </c>
      <c r="J566" s="821">
        <f ca="1">J567 + (RAND() * 0.02 - 0.01)</f>
        <v>8.8321160553891578E-3</v>
      </c>
      <c r="K566" s="821"/>
      <c r="L566" s="822"/>
      <c r="M566" s="821"/>
      <c r="N566" s="823"/>
      <c r="O566" s="823"/>
      <c r="P566" s="823"/>
      <c r="Q566" s="823"/>
      <c r="R566" s="839"/>
      <c r="S566" s="821"/>
      <c r="T566" s="821"/>
      <c r="U566" s="825"/>
      <c r="V566" s="826"/>
    </row>
    <row r="567" spans="1:32" ht="15" customHeight="1">
      <c r="A567" s="1435"/>
      <c r="B567" s="827">
        <f>B566</f>
        <v>0</v>
      </c>
      <c r="C567" s="828" t="s">
        <v>768</v>
      </c>
      <c r="D567" s="829" t="str">
        <f>IF(AC567=130, "130 × 130", IF(AC567=160, "160 × 160", IF(AC567=110, "110 × 110", "Value not 130, 160, or 110")))</f>
        <v>Value not 130, 160, or 110</v>
      </c>
      <c r="E567" s="830">
        <f>AD567</f>
        <v>0</v>
      </c>
      <c r="F567" s="831">
        <f ca="1">IF(X567 &gt; 0.1, RAND() * (0.1 - 0.06) + 0.06, X567)</f>
        <v>0</v>
      </c>
      <c r="G567" s="831">
        <f ca="1">IF(Y567 &lt; 0.5, 0.5 + RAND() * 0.1, Y567)</f>
        <v>0.56415831650987114</v>
      </c>
      <c r="H567" s="830">
        <f ca="1">IF(AB567&gt;0.04, 0.029 + (0.039-0.029)*RAND(), AB567)</f>
        <v>0</v>
      </c>
      <c r="I567" s="830">
        <f ca="1">IF(AA567&gt;0.04, 0.029 + (0.039-0.029)*RAND(), AA567)</f>
        <v>0</v>
      </c>
      <c r="J567" s="831">
        <f ca="1">IF(Z567&gt;0.15, 0.11 + (0.15-0.11) * RAND(), Z567)</f>
        <v>0</v>
      </c>
      <c r="K567" s="830">
        <f ca="1">0.004 + (RAND() * (0.001 - 0.004))</f>
        <v>2.8532652163327336E-3</v>
      </c>
      <c r="L567" s="830">
        <f ca="1">H567+I567</f>
        <v>0</v>
      </c>
      <c r="M567" s="831">
        <f ca="1">(G567/6)+F567</f>
        <v>9.4026386084978528E-2</v>
      </c>
      <c r="N567" s="831">
        <f ca="1">2 + RAND()</f>
        <v>2.0087083185249206</v>
      </c>
      <c r="O567" s="831">
        <f ca="1">1 + RAND()</f>
        <v>1.6447092599881912</v>
      </c>
      <c r="P567" s="831">
        <f ca="1">2.98 + (RAND() * (3.03 - 2.98))</f>
        <v>2.9962439654615971</v>
      </c>
      <c r="Q567" s="832" t="str">
        <f ca="1">IF(D567="130 × 130", (130 + RANDBETWEEN(-1,1)) &amp; " × " &amp; (130 + RANDBETWEEN(-1,1)),
   IF(D567="160 × 160", (160 + RANDBETWEEN(-1,1)) &amp; " × " &amp; (160 + RANDBETWEEN(-1,1)),
   IF(D567="110 × 110", (110 + RANDBETWEEN(-1,1)) &amp; " × " &amp; (110 + RANDBETWEEN(-1,1)),
   "Value not matched")))</f>
        <v>Value not matched</v>
      </c>
      <c r="R567" s="833" t="s">
        <v>213</v>
      </c>
      <c r="S567" s="834" t="str">
        <f ca="1">IF(G567&lt;0.6, "IS 14650 CPS 10748/GR2", "IS 14650 CPS 10748/GR3")</f>
        <v>IS 14650 CPS 10748/GR2</v>
      </c>
      <c r="T567" s="831" t="s">
        <v>769</v>
      </c>
      <c r="U567" s="825"/>
      <c r="V567" s="826"/>
      <c r="W567" s="206">
        <f>Prod.!B318</f>
        <v>0</v>
      </c>
      <c r="X567" s="469">
        <f>Prod.!C318</f>
        <v>0</v>
      </c>
      <c r="Y567" s="469">
        <f>Prod.!D318</f>
        <v>0</v>
      </c>
      <c r="Z567" s="469">
        <f>Prod.!E318</f>
        <v>0</v>
      </c>
      <c r="AA567" s="282">
        <f>Prod.!F318</f>
        <v>0</v>
      </c>
      <c r="AB567" s="282">
        <f>Prod.!G318</f>
        <v>0</v>
      </c>
      <c r="AC567" s="836">
        <f>Prod.!H318</f>
        <v>0</v>
      </c>
      <c r="AD567" s="282">
        <f>Prod.!AB318</f>
        <v>0</v>
      </c>
      <c r="AE567" s="282">
        <f>AD567-AF567</f>
        <v>0</v>
      </c>
      <c r="AF567" s="282">
        <f>Prod.!AA318</f>
        <v>0</v>
      </c>
    </row>
    <row r="568" spans="1:32" ht="15" customHeight="1">
      <c r="A568" s="1435">
        <v>10</v>
      </c>
      <c r="B568" s="818">
        <f>W569</f>
        <v>0</v>
      </c>
      <c r="C568" s="819" t="s">
        <v>765</v>
      </c>
      <c r="D568" s="822"/>
      <c r="E568" s="822"/>
      <c r="F568" s="821">
        <f ca="1">F569 + (RAND() * 0.02 - 0.01)</f>
        <v>-4.5270328543936889E-3</v>
      </c>
      <c r="G568" s="821">
        <f ca="1">G569 + (RAND() * 0.06 - 0.03)</f>
        <v>0.53293468664626997</v>
      </c>
      <c r="H568" s="822">
        <f ca="1">H569 + (RAND() * 0.006 - 0.003)</f>
        <v>-4.4492436830363257E-5</v>
      </c>
      <c r="I568" s="822">
        <f ca="1">I569 + (RAND() * 0.006 - 0.003)</f>
        <v>-2.1354169055070801E-4</v>
      </c>
      <c r="J568" s="821">
        <f ca="1">J569 + (RAND() * 0.02 - 0.01)</f>
        <v>2.5155863634587165E-3</v>
      </c>
      <c r="K568" s="821"/>
      <c r="L568" s="822"/>
      <c r="M568" s="821"/>
      <c r="N568" s="823"/>
      <c r="O568" s="823"/>
      <c r="P568" s="823"/>
      <c r="Q568" s="823"/>
      <c r="R568" s="839"/>
      <c r="S568" s="821"/>
      <c r="T568" s="821"/>
      <c r="U568" s="825"/>
      <c r="V568" s="826"/>
    </row>
    <row r="569" spans="1:32" ht="15" customHeight="1">
      <c r="A569" s="1435"/>
      <c r="B569" s="827">
        <f>B568</f>
        <v>0</v>
      </c>
      <c r="C569" s="828" t="s">
        <v>768</v>
      </c>
      <c r="D569" s="829" t="str">
        <f>IF(AC569=130, "130 × 130", IF(AC569=160, "160 × 160", IF(AC569=110, "110 × 110", "Value not 130, 160, or 110")))</f>
        <v>Value not 130, 160, or 110</v>
      </c>
      <c r="E569" s="830">
        <f>AD569</f>
        <v>0</v>
      </c>
      <c r="F569" s="831">
        <f ca="1">IF(X569 &gt; 0.1, RAND() * (0.1 - 0.06) + 0.06, X569)</f>
        <v>0</v>
      </c>
      <c r="G569" s="831">
        <f ca="1">IF(Y569 &lt; 0.5, 0.5 + RAND() * 0.1, Y569)</f>
        <v>0.51005652435911741</v>
      </c>
      <c r="H569" s="830">
        <f ca="1">IF(AB569&gt;0.04, 0.029 + (0.039-0.029)*RAND(), AB569)</f>
        <v>0</v>
      </c>
      <c r="I569" s="830">
        <f ca="1">IF(AA569&gt;0.04, 0.029 + (0.039-0.029)*RAND(), AA569)</f>
        <v>0</v>
      </c>
      <c r="J569" s="831">
        <f ca="1">IF(Z569&gt;0.15, 0.11 + (0.15-0.11) * RAND(), Z569)</f>
        <v>0</v>
      </c>
      <c r="K569" s="830">
        <f ca="1">0.004 + (RAND() * (0.001 - 0.004))</f>
        <v>3.0135459495015827E-3</v>
      </c>
      <c r="L569" s="830">
        <f ca="1">H569+I569</f>
        <v>0</v>
      </c>
      <c r="M569" s="831">
        <f ca="1">(G569/6)+F569</f>
        <v>8.5009420726519569E-2</v>
      </c>
      <c r="N569" s="831">
        <f ca="1">2 + RAND()</f>
        <v>2.9134759230994094</v>
      </c>
      <c r="O569" s="831">
        <f ca="1">1 + RAND()</f>
        <v>1.4267750467994365</v>
      </c>
      <c r="P569" s="831">
        <f ca="1">2.98 + (RAND() * (3.03 - 2.98))</f>
        <v>3.0064382971923762</v>
      </c>
      <c r="Q569" s="832" t="str">
        <f ca="1">IF(D569="130 × 130", (130 + RANDBETWEEN(-1,1)) &amp; " × " &amp; (130 + RANDBETWEEN(-1,1)),
   IF(D569="160 × 160", (160 + RANDBETWEEN(-1,1)) &amp; " × " &amp; (160 + RANDBETWEEN(-1,1)),
   IF(D569="110 × 110", (110 + RANDBETWEEN(-1,1)) &amp; " × " &amp; (110 + RANDBETWEEN(-1,1)),
   "Value not matched")))</f>
        <v>Value not matched</v>
      </c>
      <c r="R569" s="833" t="s">
        <v>213</v>
      </c>
      <c r="S569" s="834" t="str">
        <f ca="1">IF(G569&lt;0.6, "IS 14650 CPS 10748/GR2", "IS 14650 CPS 10748/GR3")</f>
        <v>IS 14650 CPS 10748/GR2</v>
      </c>
      <c r="T569" s="831" t="s">
        <v>769</v>
      </c>
      <c r="U569" s="825"/>
      <c r="V569" s="826"/>
      <c r="W569" s="206">
        <f>Prod.!B319</f>
        <v>0</v>
      </c>
      <c r="X569" s="469">
        <f>Prod.!C319</f>
        <v>0</v>
      </c>
      <c r="Y569" s="469">
        <f>Prod.!D319</f>
        <v>0</v>
      </c>
      <c r="Z569" s="469">
        <f>Prod.!E319</f>
        <v>0</v>
      </c>
      <c r="AA569" s="282">
        <f>Prod.!F319</f>
        <v>0</v>
      </c>
      <c r="AB569" s="282">
        <f>Prod.!G319</f>
        <v>0</v>
      </c>
      <c r="AC569" s="836">
        <f>Prod.!H319</f>
        <v>0</v>
      </c>
      <c r="AD569" s="282">
        <f>Prod.!AB319</f>
        <v>0</v>
      </c>
      <c r="AE569" s="282">
        <f>AD569-AF569</f>
        <v>0</v>
      </c>
      <c r="AF569" s="282">
        <f>Prod.!AA319</f>
        <v>0</v>
      </c>
    </row>
    <row r="570" spans="1:32" ht="15" customHeight="1">
      <c r="A570" s="1435">
        <v>11</v>
      </c>
      <c r="B570" s="818">
        <f>W571</f>
        <v>0</v>
      </c>
      <c r="C570" s="819" t="s">
        <v>765</v>
      </c>
      <c r="D570" s="822"/>
      <c r="E570" s="822"/>
      <c r="F570" s="821">
        <f ca="1">F571 + (RAND() * 0.02 - 0.01)</f>
        <v>3.8618847205814169E-4</v>
      </c>
      <c r="G570" s="821">
        <f ca="1">G571 + (RAND() * 0.06 - 0.03)</f>
        <v>0.5400642153469114</v>
      </c>
      <c r="H570" s="822">
        <f ca="1">H571 + (RAND() * 0.006 - 0.003)</f>
        <v>1.1222757875919568E-3</v>
      </c>
      <c r="I570" s="822">
        <f ca="1">I571 + (RAND() * 0.006 - 0.003)</f>
        <v>-2.790886967006721E-3</v>
      </c>
      <c r="J570" s="821">
        <f ca="1">J571 + (RAND() * 0.02 - 0.01)</f>
        <v>-3.4613768185581574E-3</v>
      </c>
      <c r="K570" s="821"/>
      <c r="L570" s="822"/>
      <c r="M570" s="821"/>
      <c r="N570" s="823"/>
      <c r="O570" s="823"/>
      <c r="P570" s="823"/>
      <c r="Q570" s="823"/>
      <c r="R570" s="839"/>
      <c r="S570" s="821"/>
      <c r="T570" s="821"/>
      <c r="U570" s="825"/>
      <c r="V570" s="826"/>
    </row>
    <row r="571" spans="1:32" ht="15" customHeight="1">
      <c r="A571" s="1435"/>
      <c r="B571" s="827">
        <f>B570</f>
        <v>0</v>
      </c>
      <c r="C571" s="828" t="s">
        <v>768</v>
      </c>
      <c r="D571" s="829" t="str">
        <f>IF(AC571=130, "130 × 130", IF(AC571=160, "160 × 160", IF(AC571=110, "110 × 110", "Value not 130, 160, or 110")))</f>
        <v>Value not 130, 160, or 110</v>
      </c>
      <c r="E571" s="830">
        <f>AD571</f>
        <v>0</v>
      </c>
      <c r="F571" s="831">
        <f ca="1">IF(X571 &gt; 0.1, RAND() * (0.1 - 0.06) + 0.06, X571)</f>
        <v>0</v>
      </c>
      <c r="G571" s="831">
        <f ca="1">IF(Y571 &lt; 0.5, 0.5 + RAND() * 0.1, Y571)</f>
        <v>0.55926563651767225</v>
      </c>
      <c r="H571" s="830">
        <f ca="1">IF(AB571&gt;0.04, 0.029 + (0.039-0.029)*RAND(), AB571)</f>
        <v>0</v>
      </c>
      <c r="I571" s="830">
        <f ca="1">IF(AA571&gt;0.04, 0.029 + (0.039-0.029)*RAND(), AA571)</f>
        <v>0</v>
      </c>
      <c r="J571" s="831">
        <f ca="1">IF(Z571&gt;0.15, 0.11 + (0.15-0.11) * RAND(), Z571)</f>
        <v>0</v>
      </c>
      <c r="K571" s="830">
        <f ca="1">0.004 + (RAND() * (0.001 - 0.004))</f>
        <v>1.9755038925824545E-3</v>
      </c>
      <c r="L571" s="830">
        <f ca="1">H571+I571</f>
        <v>0</v>
      </c>
      <c r="M571" s="831">
        <f ca="1">(G571/6)+F571</f>
        <v>9.3210939419612046E-2</v>
      </c>
      <c r="N571" s="831">
        <f ca="1">2 + RAND()</f>
        <v>2.533404854608734</v>
      </c>
      <c r="O571" s="831">
        <f ca="1">1 + RAND()</f>
        <v>1.9894646738295498</v>
      </c>
      <c r="P571" s="831">
        <f ca="1">2.98 + (RAND() * (3.03 - 2.98))</f>
        <v>2.9863007440093985</v>
      </c>
      <c r="Q571" s="832" t="str">
        <f ca="1">IF(D571="130 × 130", (130 + RANDBETWEEN(-1,1)) &amp; " × " &amp; (130 + RANDBETWEEN(-1,1)),
   IF(D571="160 × 160", (160 + RANDBETWEEN(-1,1)) &amp; " × " &amp; (160 + RANDBETWEEN(-1,1)),
   IF(D571="110 × 110", (110 + RANDBETWEEN(-1,1)) &amp; " × " &amp; (110 + RANDBETWEEN(-1,1)),
   "Value not matched")))</f>
        <v>Value not matched</v>
      </c>
      <c r="R571" s="833" t="s">
        <v>213</v>
      </c>
      <c r="S571" s="834" t="str">
        <f ca="1">IF(G571&lt;0.6, "IS 14650 CPS 10748/GR2", "IS 14650 CPS 10748/GR3")</f>
        <v>IS 14650 CPS 10748/GR2</v>
      </c>
      <c r="T571" s="831" t="s">
        <v>769</v>
      </c>
      <c r="U571" s="825"/>
      <c r="V571" s="826"/>
      <c r="W571" s="206">
        <f>Prod.!B320</f>
        <v>0</v>
      </c>
      <c r="X571" s="469">
        <f>Prod.!C320</f>
        <v>0</v>
      </c>
      <c r="Y571" s="469">
        <f>Prod.!D320</f>
        <v>0</v>
      </c>
      <c r="Z571" s="469">
        <f>Prod.!E320</f>
        <v>0</v>
      </c>
      <c r="AA571" s="282">
        <f>Prod.!F320</f>
        <v>0</v>
      </c>
      <c r="AB571" s="282">
        <f>Prod.!G320</f>
        <v>0</v>
      </c>
      <c r="AC571" s="836">
        <f>Prod.!H320</f>
        <v>0</v>
      </c>
      <c r="AD571" s="282">
        <f>Prod.!AB320</f>
        <v>0</v>
      </c>
      <c r="AE571" s="282">
        <f>AD571-AF571</f>
        <v>0</v>
      </c>
      <c r="AF571" s="282">
        <f>Prod.!AA320</f>
        <v>0</v>
      </c>
    </row>
    <row r="572" spans="1:32" ht="15" customHeight="1">
      <c r="A572" s="1435">
        <v>12</v>
      </c>
      <c r="B572" s="818">
        <f>W573</f>
        <v>0</v>
      </c>
      <c r="C572" s="819" t="s">
        <v>765</v>
      </c>
      <c r="D572" s="822"/>
      <c r="E572" s="822"/>
      <c r="F572" s="821">
        <f ca="1">F573 + (RAND() * 0.02 - 0.01)</f>
        <v>-9.1537663848813636E-4</v>
      </c>
      <c r="G572" s="821">
        <f ca="1">G573 + (RAND() * 0.06 - 0.03)</f>
        <v>0.53163214866495978</v>
      </c>
      <c r="H572" s="822">
        <f ca="1">H573 + (RAND() * 0.006 - 0.003)</f>
        <v>4.477680412373025E-4</v>
      </c>
      <c r="I572" s="822">
        <f ca="1">I573 + (RAND() * 0.006 - 0.003)</f>
        <v>-2.8909510144846987E-3</v>
      </c>
      <c r="J572" s="821">
        <f ca="1">J573 + (RAND() * 0.02 - 0.01)</f>
        <v>5.612712655777544E-3</v>
      </c>
      <c r="K572" s="821"/>
      <c r="L572" s="822"/>
      <c r="M572" s="821"/>
      <c r="N572" s="823"/>
      <c r="O572" s="823"/>
      <c r="P572" s="823"/>
      <c r="Q572" s="823"/>
      <c r="R572" s="839"/>
      <c r="S572" s="821"/>
      <c r="T572" s="821"/>
      <c r="U572" s="825"/>
      <c r="V572" s="826"/>
    </row>
    <row r="573" spans="1:32" ht="15" customHeight="1">
      <c r="A573" s="1435"/>
      <c r="B573" s="827">
        <f>B572</f>
        <v>0</v>
      </c>
      <c r="C573" s="828" t="s">
        <v>768</v>
      </c>
      <c r="D573" s="829" t="str">
        <f>IF(AC573=130, "130 × 130", IF(AC573=160, "160 × 160", IF(AC573=110, "110 × 110", "Value not 130, 160, or 110")))</f>
        <v>Value not 130, 160, or 110</v>
      </c>
      <c r="E573" s="830">
        <f>AD573</f>
        <v>0</v>
      </c>
      <c r="F573" s="831">
        <f ca="1">IF(X573 &gt; 0.1, RAND() * (0.1 - 0.06) + 0.06, X573)</f>
        <v>0</v>
      </c>
      <c r="G573" s="831">
        <f ca="1">IF(Y573 &lt; 0.5, 0.5 + RAND() * 0.1, Y573)</f>
        <v>0.52705994713411397</v>
      </c>
      <c r="H573" s="830">
        <f ca="1">IF(AB573&gt;0.04, 0.029 + (0.039-0.029)*RAND(), AB573)</f>
        <v>0</v>
      </c>
      <c r="I573" s="830">
        <f ca="1">IF(AA573&gt;0.04, 0.029 + (0.039-0.029)*RAND(), AA573)</f>
        <v>0</v>
      </c>
      <c r="J573" s="831">
        <f ca="1">IF(Z573&gt;0.15, 0.11 + (0.15-0.11) * RAND(), Z573)</f>
        <v>0</v>
      </c>
      <c r="K573" s="830">
        <f ca="1">0.004 + (RAND() * (0.001 - 0.004))</f>
        <v>1.6469709512398185E-3</v>
      </c>
      <c r="L573" s="830">
        <f ca="1">H573+I573</f>
        <v>0</v>
      </c>
      <c r="M573" s="831">
        <f ca="1">(G573/6)+F573</f>
        <v>8.7843324522352328E-2</v>
      </c>
      <c r="N573" s="831">
        <f ca="1">2 + RAND()</f>
        <v>2.7575210026272381</v>
      </c>
      <c r="O573" s="831">
        <f ca="1">1 + RAND()</f>
        <v>1.3235586603584588</v>
      </c>
      <c r="P573" s="831">
        <f ca="1">2.98 + (RAND() * (3.03 - 2.98))</f>
        <v>3.0009235263590308</v>
      </c>
      <c r="Q573" s="832" t="str">
        <f ca="1">IF(D573="130 × 130", (130 + RANDBETWEEN(-1,1)) &amp; " × " &amp; (130 + RANDBETWEEN(-1,1)),
   IF(D573="160 × 160", (160 + RANDBETWEEN(-1,1)) &amp; " × " &amp; (160 + RANDBETWEEN(-1,1)),
   IF(D573="110 × 110", (110 + RANDBETWEEN(-1,1)) &amp; " × " &amp; (110 + RANDBETWEEN(-1,1)),
   "Value not matched")))</f>
        <v>Value not matched</v>
      </c>
      <c r="R573" s="833" t="s">
        <v>213</v>
      </c>
      <c r="S573" s="834" t="str">
        <f ca="1">IF(G573&lt;0.6, "IS 14650 CPS 10748/GR2", "IS 14650 CPS 10748/GR3")</f>
        <v>IS 14650 CPS 10748/GR2</v>
      </c>
      <c r="T573" s="831" t="s">
        <v>769</v>
      </c>
      <c r="U573" s="825"/>
      <c r="V573" s="826"/>
      <c r="W573" s="206">
        <f>Prod.!B321</f>
        <v>0</v>
      </c>
      <c r="X573" s="469">
        <f>Prod.!C321</f>
        <v>0</v>
      </c>
      <c r="Y573" s="469">
        <f>Prod.!D321</f>
        <v>0</v>
      </c>
      <c r="Z573" s="469">
        <f>Prod.!E321</f>
        <v>0</v>
      </c>
      <c r="AA573" s="282">
        <f>Prod.!F321</f>
        <v>0</v>
      </c>
      <c r="AB573" s="282">
        <f>Prod.!G321</f>
        <v>0</v>
      </c>
      <c r="AC573" s="836">
        <f>Prod.!H321</f>
        <v>0</v>
      </c>
      <c r="AD573" s="282">
        <f>Prod.!AB321</f>
        <v>0</v>
      </c>
      <c r="AE573" s="282">
        <f>AD573-AF573</f>
        <v>0</v>
      </c>
      <c r="AF573" s="282">
        <f>Prod.!AA321</f>
        <v>0</v>
      </c>
    </row>
    <row r="574" spans="1:32" ht="15" customHeight="1">
      <c r="A574" s="1435"/>
      <c r="B574" s="818"/>
      <c r="C574" s="819"/>
      <c r="D574" s="822"/>
      <c r="E574" s="822"/>
      <c r="F574" s="821"/>
      <c r="G574" s="821"/>
      <c r="H574" s="822"/>
      <c r="I574" s="822"/>
      <c r="J574" s="821"/>
      <c r="K574" s="821"/>
      <c r="L574" s="822"/>
      <c r="M574" s="821"/>
      <c r="N574" s="823"/>
      <c r="O574" s="823"/>
      <c r="P574" s="823"/>
      <c r="Q574" s="823"/>
      <c r="R574" s="839"/>
      <c r="S574" s="821"/>
      <c r="T574" s="821"/>
      <c r="U574" s="825"/>
      <c r="V574" s="826"/>
    </row>
    <row r="575" spans="1:32" ht="15" customHeight="1">
      <c r="A575" s="1435"/>
      <c r="B575" s="827"/>
      <c r="C575" s="828"/>
      <c r="D575" s="829"/>
      <c r="E575" s="830"/>
      <c r="F575" s="831"/>
      <c r="G575" s="831"/>
      <c r="H575" s="830"/>
      <c r="I575" s="830"/>
      <c r="J575" s="831"/>
      <c r="K575" s="830"/>
      <c r="L575" s="830"/>
      <c r="M575" s="831"/>
      <c r="N575" s="831"/>
      <c r="O575" s="831"/>
      <c r="P575" s="831"/>
      <c r="Q575" s="832"/>
      <c r="R575" s="833"/>
      <c r="S575" s="834"/>
      <c r="T575" s="831"/>
      <c r="U575" s="825"/>
      <c r="V575" s="826"/>
    </row>
    <row r="576" spans="1:32" ht="15" customHeight="1">
      <c r="A576" s="180"/>
      <c r="B576" s="180"/>
      <c r="C576" s="180" t="s">
        <v>770</v>
      </c>
      <c r="D576" s="395"/>
      <c r="E576" s="844">
        <f>SUM(E550:E575)</f>
        <v>0</v>
      </c>
      <c r="F576" s="180"/>
      <c r="G576" s="180"/>
      <c r="H576" s="844"/>
      <c r="I576" s="180"/>
      <c r="J576" s="845"/>
      <c r="K576" s="845"/>
      <c r="L576" s="180"/>
      <c r="M576" s="845"/>
      <c r="N576" s="180"/>
      <c r="O576" s="180"/>
      <c r="P576" s="180"/>
      <c r="Q576" s="180"/>
      <c r="R576" s="263"/>
      <c r="S576" s="180"/>
      <c r="T576" s="180"/>
    </row>
    <row r="577" spans="1:32" ht="28.5" customHeight="1">
      <c r="A577" s="1436" t="s">
        <v>746</v>
      </c>
      <c r="B577" s="1436"/>
      <c r="C577" s="1436"/>
      <c r="D577" s="1436"/>
      <c r="E577" s="1436"/>
      <c r="F577" s="1436"/>
      <c r="G577" s="1436"/>
      <c r="H577" s="1436"/>
      <c r="I577" s="1436"/>
      <c r="J577" s="1436"/>
      <c r="K577" s="1436"/>
      <c r="L577" s="1436"/>
      <c r="M577" s="1436"/>
      <c r="N577" s="1436"/>
      <c r="O577" s="1436"/>
      <c r="P577" s="1436"/>
      <c r="Q577" s="1436"/>
      <c r="R577" s="1436"/>
      <c r="S577" s="1436"/>
      <c r="T577" s="1436"/>
      <c r="U577" s="515"/>
      <c r="V577" s="846"/>
    </row>
    <row r="578" spans="1:32" ht="15" customHeight="1">
      <c r="A578" s="1437" t="s">
        <v>747</v>
      </c>
      <c r="B578" s="1437"/>
      <c r="C578" s="1437"/>
      <c r="D578" s="1437"/>
      <c r="E578" s="1437"/>
      <c r="F578" s="1437"/>
      <c r="G578" s="1437"/>
      <c r="H578" s="1437"/>
      <c r="I578" s="1437"/>
      <c r="J578" s="1437"/>
      <c r="K578" s="1437"/>
      <c r="L578" s="1437"/>
      <c r="M578" s="1437"/>
      <c r="N578" s="1437"/>
      <c r="O578" s="1437"/>
      <c r="P578" s="1437"/>
      <c r="Q578" s="1437"/>
      <c r="R578" s="1437"/>
      <c r="S578" s="1437"/>
      <c r="T578" s="1437"/>
      <c r="U578" s="806"/>
      <c r="V578" s="807"/>
    </row>
    <row r="579" spans="1:32" ht="15" customHeight="1">
      <c r="A579" s="1438" t="str">
        <f>"DATE OF MANUFACTURING : " &amp; TEXT(V583, "DD-MM-YYYY")</f>
        <v>DATE OF MANUFACTURING : 00-01-1900</v>
      </c>
      <c r="B579" s="1438"/>
      <c r="C579" s="1438"/>
      <c r="D579" s="1438"/>
      <c r="E579" s="1438"/>
      <c r="F579" s="1438"/>
      <c r="G579" s="1438"/>
      <c r="H579" s="1438"/>
      <c r="I579" s="1438"/>
      <c r="J579" s="1438"/>
      <c r="K579" s="1438"/>
      <c r="L579" s="1438"/>
      <c r="M579" s="1438"/>
      <c r="N579" s="1437" t="s">
        <v>748</v>
      </c>
      <c r="O579" s="1437"/>
      <c r="P579" s="1437"/>
      <c r="Q579" s="1437"/>
      <c r="R579" s="1437"/>
      <c r="S579" s="1437"/>
      <c r="T579" s="1437"/>
      <c r="U579" s="808"/>
      <c r="V579" s="809"/>
    </row>
    <row r="580" spans="1:32" ht="29.25" customHeight="1">
      <c r="A580" s="1439" t="s">
        <v>749</v>
      </c>
      <c r="B580" s="1440" t="s">
        <v>750</v>
      </c>
      <c r="C580" s="1440"/>
      <c r="D580" s="1440" t="s">
        <v>751</v>
      </c>
      <c r="E580" s="1441" t="s">
        <v>752</v>
      </c>
      <c r="F580" s="1442" t="s">
        <v>753</v>
      </c>
      <c r="G580" s="1442"/>
      <c r="H580" s="1442"/>
      <c r="I580" s="1442"/>
      <c r="J580" s="1442"/>
      <c r="K580" s="1442"/>
      <c r="L580" s="1442"/>
      <c r="M580" s="1442"/>
      <c r="N580" s="1442" t="s">
        <v>754</v>
      </c>
      <c r="O580" s="1442"/>
      <c r="P580" s="1442"/>
      <c r="Q580" s="1442"/>
      <c r="R580" s="1443" t="s">
        <v>771</v>
      </c>
      <c r="S580" s="1441" t="s">
        <v>756</v>
      </c>
      <c r="T580" s="1440" t="s">
        <v>104</v>
      </c>
      <c r="U580" s="810"/>
      <c r="V580" s="811"/>
    </row>
    <row r="581" spans="1:32" ht="42.75" customHeight="1">
      <c r="A581" s="1439"/>
      <c r="B581" s="1440"/>
      <c r="C581" s="1440"/>
      <c r="D581" s="1440"/>
      <c r="E581" s="1440"/>
      <c r="F581" s="812" t="s">
        <v>40</v>
      </c>
      <c r="G581" s="812" t="s">
        <v>757</v>
      </c>
      <c r="H581" s="813" t="s">
        <v>758</v>
      </c>
      <c r="I581" s="812" t="s">
        <v>43</v>
      </c>
      <c r="J581" s="812" t="s">
        <v>42</v>
      </c>
      <c r="K581" s="812" t="s">
        <v>759</v>
      </c>
      <c r="L581" s="812" t="s">
        <v>760</v>
      </c>
      <c r="M581" s="812" t="s">
        <v>761</v>
      </c>
      <c r="N581" s="814" t="s">
        <v>762</v>
      </c>
      <c r="O581" s="815" t="s">
        <v>772</v>
      </c>
      <c r="P581" s="816" t="s">
        <v>773</v>
      </c>
      <c r="Q581" s="817" t="s">
        <v>764</v>
      </c>
      <c r="R581" s="1443"/>
      <c r="S581" s="1443"/>
      <c r="T581" s="1443"/>
      <c r="U581" s="810"/>
      <c r="V581" s="811"/>
    </row>
    <row r="582" spans="1:32" ht="15" customHeight="1">
      <c r="A582" s="1435">
        <v>1</v>
      </c>
      <c r="B582" s="818">
        <f>W583</f>
        <v>0</v>
      </c>
      <c r="C582" s="819" t="s">
        <v>765</v>
      </c>
      <c r="D582" s="820"/>
      <c r="E582" s="821"/>
      <c r="F582" s="821">
        <f ca="1">F583 + (RAND() * 0.02 - 0.01)</f>
        <v>4.8689857800923823E-3</v>
      </c>
      <c r="G582" s="821">
        <f ca="1">G583 + (RAND() * 0.06 - 0.03)</f>
        <v>0.5461674250232863</v>
      </c>
      <c r="H582" s="822">
        <f ca="1">H583 + (RAND() * 0.006 - 0.003)</f>
        <v>1.0664177220467948E-3</v>
      </c>
      <c r="I582" s="822">
        <f ca="1">I583 + (RAND() * 0.006 - 0.003)</f>
        <v>-1.6913024236747238E-3</v>
      </c>
      <c r="J582" s="821">
        <f ca="1">J583 + (RAND() * 0.02 - 0.01)</f>
        <v>-9.411740967845493E-3</v>
      </c>
      <c r="K582" s="821"/>
      <c r="L582" s="822"/>
      <c r="M582" s="821"/>
      <c r="N582" s="823"/>
      <c r="O582" s="823"/>
      <c r="P582" s="823"/>
      <c r="Q582" s="823"/>
      <c r="R582" s="824"/>
      <c r="S582" s="821"/>
      <c r="T582" s="821"/>
      <c r="U582" s="825"/>
      <c r="V582" s="826"/>
      <c r="AE582" t="s">
        <v>767</v>
      </c>
    </row>
    <row r="583" spans="1:32" ht="15" customHeight="1">
      <c r="A583" s="1435"/>
      <c r="B583" s="827">
        <f>B582</f>
        <v>0</v>
      </c>
      <c r="C583" s="828" t="s">
        <v>768</v>
      </c>
      <c r="D583" s="829" t="str">
        <f>IF(AC583=130, "130 × 130", IF(AC583=160, "160 × 160", IF(AC583=110, "110 × 110", "Value not 130, 160, or 110")))</f>
        <v>Value not 130, 160, or 110</v>
      </c>
      <c r="E583" s="830">
        <f>AD583</f>
        <v>0</v>
      </c>
      <c r="F583" s="831">
        <f ca="1">IF(X583 &gt; 0.1, RAND() * (0.1 - 0.06) + 0.06, X583)</f>
        <v>0</v>
      </c>
      <c r="G583" s="831">
        <f ca="1">IF(Y583 &lt; 0.5, 0.5 + RAND() * 0.1, Y583)</f>
        <v>0.54514788148600368</v>
      </c>
      <c r="H583" s="830">
        <f ca="1">IF(AB583&gt;0.04, 0.029 + (0.039-0.029)*RAND(), AB583)</f>
        <v>0</v>
      </c>
      <c r="I583" s="830">
        <f ca="1">IF(AA583&gt;0.04, 0.029 + (0.039-0.029)*RAND(), AA583)</f>
        <v>0</v>
      </c>
      <c r="J583" s="831">
        <f ca="1">IF(Z583&gt;0.15, 0.11 + (0.15-0.11) * RAND(), Z583)</f>
        <v>0</v>
      </c>
      <c r="K583" s="830">
        <f ca="1">0.004 + (RAND() * (0.001 - 0.004))</f>
        <v>2.5938210613026323E-3</v>
      </c>
      <c r="L583" s="830">
        <f ca="1">H583+I583</f>
        <v>0</v>
      </c>
      <c r="M583" s="831">
        <f ca="1">(G583/6)+F583</f>
        <v>9.085798024766728E-2</v>
      </c>
      <c r="N583" s="831">
        <f ca="1">2 + RAND()</f>
        <v>2.2285000291926949</v>
      </c>
      <c r="O583" s="831">
        <f ca="1">1 + RAND()</f>
        <v>1.7576423060264106</v>
      </c>
      <c r="P583" s="831">
        <f ca="1">2.98 + (RAND() * (3.03 - 2.98))</f>
        <v>3.0204688146189347</v>
      </c>
      <c r="Q583" s="832" t="str">
        <f ca="1">IF(D583="130 × 130", (130 + RANDBETWEEN(-1,1)) &amp; " × " &amp; (130 + RANDBETWEEN(-1,1)),
   IF(D583="160 × 160", (160 + RANDBETWEEN(-1,1)) &amp; " × " &amp; (160 + RANDBETWEEN(-1,1)),
   IF(D583="110 × 110", (110 + RANDBETWEEN(-1,1)) &amp; " × " &amp; (110 + RANDBETWEEN(-1,1)),
   "Value not matched")))</f>
        <v>Value not matched</v>
      </c>
      <c r="R583" s="833" t="s">
        <v>213</v>
      </c>
      <c r="S583" s="834" t="str">
        <f ca="1">IF(G583&lt;0.6, "IS 14650 CPS 10748/GR2", "IS 14650 CPS 10748/GR3")</f>
        <v>IS 14650 CPS 10748/GR2</v>
      </c>
      <c r="T583" s="831" t="s">
        <v>769</v>
      </c>
      <c r="U583" s="825"/>
      <c r="V583" s="835">
        <f>Prod.!A328</f>
        <v>0</v>
      </c>
      <c r="W583" s="206">
        <f>Prod.!B328</f>
        <v>0</v>
      </c>
      <c r="X583" s="469">
        <f>Prod.!C328</f>
        <v>0</v>
      </c>
      <c r="Y583" s="469">
        <f>Prod.!D328</f>
        <v>0</v>
      </c>
      <c r="Z583" s="469">
        <f>Prod.!E328</f>
        <v>0</v>
      </c>
      <c r="AA583" s="282">
        <f>Prod.!F328</f>
        <v>0</v>
      </c>
      <c r="AB583" s="282">
        <f>Prod.!G328</f>
        <v>0</v>
      </c>
      <c r="AC583" s="836">
        <f>Prod.!H328</f>
        <v>0</v>
      </c>
      <c r="AD583" s="282">
        <f>Prod.!AB328</f>
        <v>0</v>
      </c>
      <c r="AE583" s="282">
        <f>AD583-AF583</f>
        <v>0</v>
      </c>
      <c r="AF583" s="282">
        <f>Prod.!AA328</f>
        <v>0</v>
      </c>
    </row>
    <row r="584" spans="1:32" ht="15" customHeight="1">
      <c r="A584" s="1435">
        <v>2</v>
      </c>
      <c r="B584" s="818">
        <f>W585</f>
        <v>0</v>
      </c>
      <c r="C584" s="819" t="s">
        <v>765</v>
      </c>
      <c r="D584" s="822"/>
      <c r="E584" s="822"/>
      <c r="F584" s="821">
        <f ca="1">F585 + (RAND() * 0.02 - 0.01)</f>
        <v>6.9514426594781565E-3</v>
      </c>
      <c r="G584" s="821">
        <f ca="1">G585 + (RAND() * 0.06 - 0.03)</f>
        <v>0.53511218664718063</v>
      </c>
      <c r="H584" s="822">
        <f ca="1">H585 + (RAND() * 0.006 - 0.003)</f>
        <v>1.1167605040034454E-3</v>
      </c>
      <c r="I584" s="822">
        <f ca="1">I585 + (RAND() * 0.006 - 0.003)</f>
        <v>2.9761789210876284E-3</v>
      </c>
      <c r="J584" s="821">
        <f ca="1">J585 + (RAND() * 0.02 - 0.01)</f>
        <v>2.3933414614417167E-3</v>
      </c>
      <c r="K584" s="821"/>
      <c r="L584" s="822"/>
      <c r="M584" s="821"/>
      <c r="N584" s="823"/>
      <c r="O584" s="823"/>
      <c r="P584" s="823"/>
      <c r="Q584" s="823"/>
      <c r="R584" s="837"/>
      <c r="S584" s="821"/>
      <c r="T584" s="838"/>
      <c r="U584" s="825"/>
      <c r="V584" s="826"/>
    </row>
    <row r="585" spans="1:32" ht="15" customHeight="1">
      <c r="A585" s="1435"/>
      <c r="B585" s="827">
        <f>B584</f>
        <v>0</v>
      </c>
      <c r="C585" s="828" t="s">
        <v>768</v>
      </c>
      <c r="D585" s="829" t="str">
        <f>IF(AC585=130, "130 × 130", IF(AC585=160, "160 × 160", IF(AC585=110, "110 × 110", "Value not 130, 160, or 110")))</f>
        <v>Value not 130, 160, or 110</v>
      </c>
      <c r="E585" s="830">
        <f>AD585</f>
        <v>0</v>
      </c>
      <c r="F585" s="831">
        <f ca="1">IF(X585 &gt; 0.1, RAND() * (0.1 - 0.06) + 0.06, X585)</f>
        <v>0</v>
      </c>
      <c r="G585" s="831">
        <f ca="1">IF(Y585 &lt; 0.5, 0.5 + RAND() * 0.1, Y585)</f>
        <v>0.5555622260121833</v>
      </c>
      <c r="H585" s="830">
        <f ca="1">IF(AB585&gt;0.04, 0.029 + (0.039-0.029)*RAND(), AB585)</f>
        <v>0</v>
      </c>
      <c r="I585" s="830">
        <f ca="1">IF(AA585&gt;0.04, 0.029 + (0.039-0.029)*RAND(), AA585)</f>
        <v>0</v>
      </c>
      <c r="J585" s="831">
        <f ca="1">IF(Z585&gt;0.15, 0.11 + (0.15-0.11) * RAND(), Z585)</f>
        <v>0</v>
      </c>
      <c r="K585" s="830">
        <f ca="1">0.004 + (RAND() * (0.001 - 0.004))</f>
        <v>2.9503784156839317E-3</v>
      </c>
      <c r="L585" s="830">
        <f ca="1">H585+I585</f>
        <v>0</v>
      </c>
      <c r="M585" s="831">
        <f ca="1">(G585/6)+F585</f>
        <v>9.2593704335363888E-2</v>
      </c>
      <c r="N585" s="831">
        <f ca="1">2 + RAND()</f>
        <v>2.7607457356875247</v>
      </c>
      <c r="O585" s="831">
        <f ca="1">1 + RAND()</f>
        <v>1.9551490929411512</v>
      </c>
      <c r="P585" s="831">
        <f ca="1">2.98 + (RAND() * (3.03 - 2.98))</f>
        <v>3.0040524892659035</v>
      </c>
      <c r="Q585" s="832" t="str">
        <f ca="1">IF(D585="130 × 130", (130 + RANDBETWEEN(-1,1)) &amp; " × " &amp; (130 + RANDBETWEEN(-1,1)),
   IF(D585="160 × 160", (160 + RANDBETWEEN(-1,1)) &amp; " × " &amp; (160 + RANDBETWEEN(-1,1)),
   IF(D585="110 × 110", (110 + RANDBETWEEN(-1,1)) &amp; " × " &amp; (110 + RANDBETWEEN(-1,1)),
   "Value not matched")))</f>
        <v>Value not matched</v>
      </c>
      <c r="R585" s="833" t="s">
        <v>213</v>
      </c>
      <c r="S585" s="834" t="str">
        <f ca="1">IF(G585&lt;0.6, "IS 14650 CPS 10748/GR2", "IS 14650 CPS 10748/GR3")</f>
        <v>IS 14650 CPS 10748/GR2</v>
      </c>
      <c r="T585" s="831" t="s">
        <v>769</v>
      </c>
      <c r="U585" s="825"/>
      <c r="V585" s="826"/>
      <c r="W585" s="206">
        <f>Prod.!B329</f>
        <v>0</v>
      </c>
      <c r="X585" s="469">
        <f>Prod.!C329</f>
        <v>0</v>
      </c>
      <c r="Y585" s="469">
        <f>Prod.!D329</f>
        <v>0</v>
      </c>
      <c r="Z585" s="469">
        <f>Prod.!E329</f>
        <v>0</v>
      </c>
      <c r="AA585" s="282">
        <f>Prod.!F329</f>
        <v>0</v>
      </c>
      <c r="AB585" s="282">
        <f>Prod.!G329</f>
        <v>0</v>
      </c>
      <c r="AC585" s="836">
        <f>Prod.!H329</f>
        <v>0</v>
      </c>
      <c r="AD585" s="282">
        <f>Prod.!AB329</f>
        <v>0</v>
      </c>
      <c r="AE585" s="282">
        <f>AD585-AF585</f>
        <v>0</v>
      </c>
      <c r="AF585" s="282">
        <f>Prod.!AA329</f>
        <v>0</v>
      </c>
    </row>
    <row r="586" spans="1:32" ht="15" customHeight="1">
      <c r="A586" s="1435">
        <v>3</v>
      </c>
      <c r="B586" s="818">
        <f>W587</f>
        <v>0</v>
      </c>
      <c r="C586" s="819" t="s">
        <v>765</v>
      </c>
      <c r="D586" s="822"/>
      <c r="E586" s="822"/>
      <c r="F586" s="821">
        <f ca="1">F587 + (RAND() * 0.02 - 0.01)</f>
        <v>2.7384846248973745E-3</v>
      </c>
      <c r="G586" s="821">
        <f ca="1">G587 + (RAND() * 0.06 - 0.03)</f>
        <v>0.50078342426803624</v>
      </c>
      <c r="H586" s="822">
        <f ca="1">H587 + (RAND() * 0.006 - 0.003)</f>
        <v>1.9826640244045559E-3</v>
      </c>
      <c r="I586" s="822">
        <f ca="1">I587 + (RAND() * 0.006 - 0.003)</f>
        <v>-2.1563627093740757E-3</v>
      </c>
      <c r="J586" s="821">
        <f ca="1">J587 + (RAND() * 0.02 - 0.01)</f>
        <v>1.6611882611153334E-3</v>
      </c>
      <c r="K586" s="821"/>
      <c r="L586" s="822"/>
      <c r="M586" s="821"/>
      <c r="N586" s="823"/>
      <c r="O586" s="823"/>
      <c r="P586" s="823"/>
      <c r="Q586" s="823"/>
      <c r="R586" s="839"/>
      <c r="S586" s="821"/>
      <c r="T586" s="821"/>
      <c r="U586" s="825"/>
      <c r="V586" s="826"/>
    </row>
    <row r="587" spans="1:32" ht="15" customHeight="1">
      <c r="A587" s="1435"/>
      <c r="B587" s="827">
        <f>B586</f>
        <v>0</v>
      </c>
      <c r="C587" s="828" t="s">
        <v>768</v>
      </c>
      <c r="D587" s="829" t="str">
        <f>IF(AC587=130, "130 × 130", IF(AC587=160, "160 × 160", IF(AC587=110, "110 × 110", "Value not 130, 160, or 110")))</f>
        <v>Value not 130, 160, or 110</v>
      </c>
      <c r="E587" s="830">
        <f>AD587</f>
        <v>0</v>
      </c>
      <c r="F587" s="831">
        <f ca="1">IF(X587 &gt; 0.1, RAND() * (0.1 - 0.06) + 0.06, X587)</f>
        <v>0</v>
      </c>
      <c r="G587" s="831">
        <f ca="1">IF(Y587 &lt; 0.5, 0.5 + RAND() * 0.1, Y587)</f>
        <v>0.51202180484202564</v>
      </c>
      <c r="H587" s="830">
        <f ca="1">IF(AB587&gt;0.04, 0.029 + (0.039-0.029)*RAND(), AB587)</f>
        <v>0</v>
      </c>
      <c r="I587" s="830">
        <f ca="1">IF(AA587&gt;0.04, 0.029 + (0.039-0.029)*RAND(), AA587)</f>
        <v>0</v>
      </c>
      <c r="J587" s="831">
        <f ca="1">IF(Z587&gt;0.15, 0.11 + (0.15-0.11) * RAND(), Z587)</f>
        <v>0</v>
      </c>
      <c r="K587" s="830">
        <f ca="1">0.004 + (RAND() * (0.001 - 0.004))</f>
        <v>3.9851203609567506E-3</v>
      </c>
      <c r="L587" s="830">
        <f ca="1">H587+I587</f>
        <v>0</v>
      </c>
      <c r="M587" s="831">
        <f ca="1">(G587/6)+F587</f>
        <v>8.5336967473670935E-2</v>
      </c>
      <c r="N587" s="831">
        <f ca="1">2 + RAND()</f>
        <v>2.7661161050257252</v>
      </c>
      <c r="O587" s="831">
        <f ca="1">1 + RAND()</f>
        <v>1.9599957854950059</v>
      </c>
      <c r="P587" s="831">
        <f ca="1">2.98 + (RAND() * (3.03 - 2.98))</f>
        <v>2.9800385353445287</v>
      </c>
      <c r="Q587" s="832" t="str">
        <f ca="1">IF(D587="130 × 130", (130 + RANDBETWEEN(-1,1)) &amp; " × " &amp; (130 + RANDBETWEEN(-1,1)),
   IF(D587="160 × 160", (160 + RANDBETWEEN(-1,1)) &amp; " × " &amp; (160 + RANDBETWEEN(-1,1)),
   IF(D587="110 × 110", (110 + RANDBETWEEN(-1,1)) &amp; " × " &amp; (110 + RANDBETWEEN(-1,1)),
   "Value not matched")))</f>
        <v>Value not matched</v>
      </c>
      <c r="R587" s="833" t="s">
        <v>213</v>
      </c>
      <c r="S587" s="834" t="str">
        <f ca="1">IF(G587&lt;0.6, "IS 14650 CPS 10748/GR2", "IS 14650 CPS 10748/GR3")</f>
        <v>IS 14650 CPS 10748/GR2</v>
      </c>
      <c r="T587" s="831" t="s">
        <v>769</v>
      </c>
      <c r="U587" s="825"/>
      <c r="V587" s="826"/>
      <c r="W587" s="206">
        <f>Prod.!B330</f>
        <v>0</v>
      </c>
      <c r="X587" s="469">
        <f>Prod.!C330</f>
        <v>0</v>
      </c>
      <c r="Y587" s="469">
        <f>Prod.!D330</f>
        <v>0</v>
      </c>
      <c r="Z587" s="469">
        <f>Prod.!E330</f>
        <v>0</v>
      </c>
      <c r="AA587" s="282">
        <f>Prod.!F330</f>
        <v>0</v>
      </c>
      <c r="AB587" s="282">
        <f>Prod.!G330</f>
        <v>0</v>
      </c>
      <c r="AC587" s="836">
        <f>Prod.!H330</f>
        <v>0</v>
      </c>
      <c r="AD587" s="282">
        <f>Prod.!AB330</f>
        <v>0</v>
      </c>
      <c r="AE587" s="282">
        <f>AD587-AF587</f>
        <v>0</v>
      </c>
      <c r="AF587" s="282">
        <f>Prod.!AA330</f>
        <v>0</v>
      </c>
    </row>
    <row r="588" spans="1:32" ht="15" customHeight="1">
      <c r="A588" s="1435">
        <v>4</v>
      </c>
      <c r="B588" s="818">
        <f>W589</f>
        <v>0</v>
      </c>
      <c r="C588" s="819" t="s">
        <v>765</v>
      </c>
      <c r="D588" s="822"/>
      <c r="E588" s="822"/>
      <c r="F588" s="821">
        <f ca="1">F589 + (RAND() * 0.02 - 0.01)</f>
        <v>-6.1341681890861605E-3</v>
      </c>
      <c r="G588" s="821">
        <f ca="1">G589 + (RAND() * 0.06 - 0.03)</f>
        <v>0.509689953780601</v>
      </c>
      <c r="H588" s="822">
        <f ca="1">H589 + (RAND() * 0.006 - 0.003)</f>
        <v>-4.9322045284342806E-4</v>
      </c>
      <c r="I588" s="822">
        <f ca="1">I589 + (RAND() * 0.006 - 0.003)</f>
        <v>4.7540754723542685E-4</v>
      </c>
      <c r="J588" s="821">
        <f ca="1">J589 + (RAND() * 0.02 - 0.01)</f>
        <v>-7.3763425436378302E-3</v>
      </c>
      <c r="K588" s="821"/>
      <c r="L588" s="822"/>
      <c r="M588" s="821"/>
      <c r="N588" s="823"/>
      <c r="O588" s="823"/>
      <c r="P588" s="823"/>
      <c r="Q588" s="823"/>
      <c r="R588" s="839"/>
      <c r="S588" s="821"/>
      <c r="T588" s="821"/>
      <c r="U588" s="825"/>
      <c r="V588" s="826"/>
    </row>
    <row r="589" spans="1:32" ht="15" customHeight="1">
      <c r="A589" s="1435"/>
      <c r="B589" s="827">
        <f>B588</f>
        <v>0</v>
      </c>
      <c r="C589" s="828" t="s">
        <v>768</v>
      </c>
      <c r="D589" s="829" t="str">
        <f>IF(AC589=130, "130 × 130", IF(AC589=160, "160 × 160", IF(AC589=110, "110 × 110", "Value not 130, 160, or 110")))</f>
        <v>Value not 130, 160, or 110</v>
      </c>
      <c r="E589" s="830">
        <f>AD589</f>
        <v>0</v>
      </c>
      <c r="F589" s="831">
        <f ca="1">IF(X589 &gt; 0.1, RAND() * (0.1 - 0.06) + 0.06, X589)</f>
        <v>0</v>
      </c>
      <c r="G589" s="831">
        <f ca="1">IF(Y589 &lt; 0.5, 0.5 + RAND() * 0.1, Y589)</f>
        <v>0.52070375206449893</v>
      </c>
      <c r="H589" s="830">
        <f ca="1">IF(AB589&gt;0.04, 0.029 + (0.039-0.029)*RAND(), AB589)</f>
        <v>0</v>
      </c>
      <c r="I589" s="830">
        <f ca="1">IF(AA589&gt;0.04, 0.029 + (0.039-0.029)*RAND(), AA589)</f>
        <v>0</v>
      </c>
      <c r="J589" s="831">
        <f ca="1">IF(Z589&gt;0.15, 0.11 + (0.15-0.11) * RAND(), Z589)</f>
        <v>0</v>
      </c>
      <c r="K589" s="830">
        <f ca="1">0.004 + (RAND() * (0.001 - 0.004))</f>
        <v>3.4770249653550641E-3</v>
      </c>
      <c r="L589" s="830">
        <f ca="1">H589+I589</f>
        <v>0</v>
      </c>
      <c r="M589" s="831">
        <f ca="1">(G589/6)+F589</f>
        <v>8.6783958677416492E-2</v>
      </c>
      <c r="N589" s="831">
        <f ca="1">2 + RAND()</f>
        <v>2.3290935948643234</v>
      </c>
      <c r="O589" s="831">
        <f ca="1">1 + RAND()</f>
        <v>1.7210166331291004</v>
      </c>
      <c r="P589" s="831">
        <f ca="1">2.98 + (RAND() * (3.03 - 2.98))</f>
        <v>3.0286052870289137</v>
      </c>
      <c r="Q589" s="832" t="str">
        <f ca="1">IF(D589="130 × 130", (130 + RANDBETWEEN(-1,1)) &amp; " × " &amp; (130 + RANDBETWEEN(-1,1)),
   IF(D589="160 × 160", (160 + RANDBETWEEN(-1,1)) &amp; " × " &amp; (160 + RANDBETWEEN(-1,1)),
   IF(D589="110 × 110", (110 + RANDBETWEEN(-1,1)) &amp; " × " &amp; (110 + RANDBETWEEN(-1,1)),
   "Value not matched")))</f>
        <v>Value not matched</v>
      </c>
      <c r="R589" s="833" t="s">
        <v>213</v>
      </c>
      <c r="S589" s="834" t="str">
        <f ca="1">IF(G589&lt;0.6, "IS 14650 CPS 10748/GR2", "IS 14650 CPS 10748/GR3")</f>
        <v>IS 14650 CPS 10748/GR2</v>
      </c>
      <c r="T589" s="831" t="s">
        <v>769</v>
      </c>
      <c r="U589" s="825"/>
      <c r="V589" s="826"/>
      <c r="W589" s="206">
        <f>Prod.!B331</f>
        <v>0</v>
      </c>
      <c r="X589" s="469">
        <f>Prod.!C331</f>
        <v>0</v>
      </c>
      <c r="Y589" s="469">
        <f>Prod.!D331</f>
        <v>0</v>
      </c>
      <c r="Z589" s="469">
        <f>Prod.!E331</f>
        <v>0</v>
      </c>
      <c r="AA589" s="282">
        <f>Prod.!F331</f>
        <v>0</v>
      </c>
      <c r="AB589" s="282">
        <f>Prod.!G331</f>
        <v>0</v>
      </c>
      <c r="AC589" s="836">
        <f>Prod.!H331</f>
        <v>0</v>
      </c>
      <c r="AD589" s="282">
        <f>Prod.!AB331</f>
        <v>0</v>
      </c>
      <c r="AE589" s="282">
        <f>AD589-AF589</f>
        <v>0</v>
      </c>
      <c r="AF589" s="282">
        <f>Prod.!AA331</f>
        <v>0</v>
      </c>
    </row>
    <row r="590" spans="1:32" ht="15" customHeight="1">
      <c r="A590" s="1435">
        <v>5</v>
      </c>
      <c r="B590" s="818">
        <f>W591</f>
        <v>0</v>
      </c>
      <c r="C590" s="819" t="s">
        <v>765</v>
      </c>
      <c r="D590" s="822"/>
      <c r="E590" s="822"/>
      <c r="F590" s="821">
        <f ca="1">F591 + (RAND() * 0.02 - 0.01)</f>
        <v>9.2287617622870775E-3</v>
      </c>
      <c r="G590" s="821">
        <f ca="1">G591 + (RAND() * 0.06 - 0.03)</f>
        <v>0.50695960080459301</v>
      </c>
      <c r="H590" s="822">
        <f ca="1">H591 + (RAND() * 0.006 - 0.003)</f>
        <v>-2.117964448409876E-4</v>
      </c>
      <c r="I590" s="822">
        <f ca="1">I591 + (RAND() * 0.006 - 0.003)</f>
        <v>1.3018757839452014E-4</v>
      </c>
      <c r="J590" s="821">
        <f ca="1">J591 + (RAND() * 0.02 - 0.01)</f>
        <v>4.7055917600475755E-3</v>
      </c>
      <c r="K590" s="821"/>
      <c r="L590" s="822"/>
      <c r="M590" s="821"/>
      <c r="N590" s="823"/>
      <c r="O590" s="823"/>
      <c r="P590" s="823"/>
      <c r="Q590" s="823"/>
      <c r="R590" s="839"/>
      <c r="S590" s="821"/>
      <c r="T590" s="821"/>
      <c r="U590" s="825"/>
      <c r="V590" s="826"/>
    </row>
    <row r="591" spans="1:32" ht="15" customHeight="1">
      <c r="A591" s="1435"/>
      <c r="B591" s="827">
        <f>B590</f>
        <v>0</v>
      </c>
      <c r="C591" s="828" t="s">
        <v>768</v>
      </c>
      <c r="D591" s="829" t="str">
        <f>IF(AC591=130, "130 × 130", IF(AC591=160, "160 × 160", IF(AC591=110, "110 × 110", "Value not 130, 160, or 110")))</f>
        <v>Value not 130, 160, or 110</v>
      </c>
      <c r="E591" s="830">
        <f>AD591</f>
        <v>0</v>
      </c>
      <c r="F591" s="831">
        <f ca="1">IF(X591 &gt; 0.1, RAND() * (0.1 - 0.06) + 0.06, X591)</f>
        <v>0</v>
      </c>
      <c r="G591" s="831">
        <f ca="1">IF(Y591 &lt; 0.5, 0.5 + RAND() * 0.1, Y591)</f>
        <v>0.50956129403295181</v>
      </c>
      <c r="H591" s="830">
        <f ca="1">IF(AB591&gt;0.04, 0.029 + (0.039-0.029)*RAND(), AB591)</f>
        <v>0</v>
      </c>
      <c r="I591" s="830">
        <f ca="1">IF(AA591&gt;0.04, 0.029 + (0.039-0.029)*RAND(), AA591)</f>
        <v>0</v>
      </c>
      <c r="J591" s="831">
        <f ca="1">IF(Z591&gt;0.15, 0.11 + (0.15-0.11) * RAND(), Z591)</f>
        <v>0</v>
      </c>
      <c r="K591" s="830">
        <f ca="1">0.004 + (RAND() * (0.001 - 0.004))</f>
        <v>2.9967853900194725E-3</v>
      </c>
      <c r="L591" s="830">
        <f ca="1">H591+I591</f>
        <v>0</v>
      </c>
      <c r="M591" s="831">
        <f ca="1">(G591/6)+F591</f>
        <v>8.4926882338825296E-2</v>
      </c>
      <c r="N591" s="831">
        <f ca="1">2 + RAND()</f>
        <v>2.0824853763879916</v>
      </c>
      <c r="O591" s="831">
        <f ca="1">1 + RAND()</f>
        <v>1.478183143776755</v>
      </c>
      <c r="P591" s="831">
        <f ca="1">2.98 + (RAND() * (3.03 - 2.98))</f>
        <v>3.0202813680562519</v>
      </c>
      <c r="Q591" s="832" t="str">
        <f ca="1">IF(D591="130 × 130", (130 + RANDBETWEEN(-1,1)) &amp; " × " &amp; (130 + RANDBETWEEN(-1,1)),
   IF(D591="160 × 160", (160 + RANDBETWEEN(-1,1)) &amp; " × " &amp; (160 + RANDBETWEEN(-1,1)),
   IF(D591="110 × 110", (110 + RANDBETWEEN(-1,1)) &amp; " × " &amp; (110 + RANDBETWEEN(-1,1)),
   "Value not matched")))</f>
        <v>Value not matched</v>
      </c>
      <c r="R591" s="833" t="s">
        <v>213</v>
      </c>
      <c r="S591" s="834" t="str">
        <f ca="1">IF(G591&lt;0.6, "IS 14650 CPS 10748/GR2", "IS 14650 CPS 10748/GR3")</f>
        <v>IS 14650 CPS 10748/GR2</v>
      </c>
      <c r="T591" s="831" t="s">
        <v>769</v>
      </c>
      <c r="U591" s="825"/>
      <c r="V591" s="826"/>
      <c r="W591" s="206">
        <f>Prod.!B332</f>
        <v>0</v>
      </c>
      <c r="X591" s="469">
        <f>Prod.!C332</f>
        <v>0</v>
      </c>
      <c r="Y591" s="469">
        <f>Prod.!D332</f>
        <v>0</v>
      </c>
      <c r="Z591" s="469">
        <f>Prod.!E332</f>
        <v>0</v>
      </c>
      <c r="AA591" s="282">
        <f>Prod.!F332</f>
        <v>0</v>
      </c>
      <c r="AB591" s="282">
        <f>Prod.!G332</f>
        <v>0</v>
      </c>
      <c r="AC591" s="836">
        <f>Prod.!H332</f>
        <v>0</v>
      </c>
      <c r="AD591" s="282">
        <f>Prod.!AB332</f>
        <v>0</v>
      </c>
      <c r="AE591" s="282">
        <f>AD591-AF591</f>
        <v>0</v>
      </c>
      <c r="AF591" s="282">
        <f>Prod.!AA332</f>
        <v>0</v>
      </c>
    </row>
    <row r="592" spans="1:32" ht="15" customHeight="1">
      <c r="A592" s="1435">
        <v>6</v>
      </c>
      <c r="B592" s="818">
        <f>W593</f>
        <v>0</v>
      </c>
      <c r="C592" s="819" t="s">
        <v>765</v>
      </c>
      <c r="D592" s="822"/>
      <c r="E592" s="822"/>
      <c r="F592" s="821">
        <f ca="1">F593 + (RAND() * 0.02 - 0.01)</f>
        <v>-9.5725055098309572E-3</v>
      </c>
      <c r="G592" s="821">
        <f ca="1">G593 + (RAND() * 0.06 - 0.03)</f>
        <v>0.56169460344202637</v>
      </c>
      <c r="H592" s="822">
        <f ca="1">H593 + (RAND() * 0.006 - 0.003)</f>
        <v>-2.690230170293018E-3</v>
      </c>
      <c r="I592" s="822">
        <f ca="1">I593 + (RAND() * 0.006 - 0.003)</f>
        <v>2.9067974811167376E-3</v>
      </c>
      <c r="J592" s="821">
        <f ca="1">J593 + (RAND() * 0.02 - 0.01)</f>
        <v>3.3942319014847872E-5</v>
      </c>
      <c r="K592" s="821"/>
      <c r="L592" s="822"/>
      <c r="M592" s="821"/>
      <c r="N592" s="823"/>
      <c r="O592" s="823"/>
      <c r="P592" s="823"/>
      <c r="Q592" s="823"/>
      <c r="R592" s="839"/>
      <c r="S592" s="821"/>
      <c r="T592" s="821"/>
      <c r="U592" s="825"/>
      <c r="V592" s="826"/>
    </row>
    <row r="593" spans="1:32" ht="15" customHeight="1">
      <c r="A593" s="1435"/>
      <c r="B593" s="827">
        <f>B592</f>
        <v>0</v>
      </c>
      <c r="C593" s="828" t="s">
        <v>768</v>
      </c>
      <c r="D593" s="829" t="str">
        <f>IF(AC593=130, "130 × 130", IF(AC593=160, "160 × 160", IF(AC593=110, "110 × 110", "Value not 130, 160, or 110")))</f>
        <v>Value not 130, 160, or 110</v>
      </c>
      <c r="E593" s="830">
        <f>AD593</f>
        <v>0</v>
      </c>
      <c r="F593" s="831">
        <f ca="1">IF(X593 &gt; 0.1, RAND() * (0.1 - 0.06) + 0.06, X593)</f>
        <v>0</v>
      </c>
      <c r="G593" s="831">
        <f ca="1">IF(Y593 &lt; 0.5, 0.5 + RAND() * 0.1, Y593)</f>
        <v>0.55790463541882107</v>
      </c>
      <c r="H593" s="830">
        <f ca="1">IF(AB593&gt;0.04, 0.029 + (0.039-0.029)*RAND(), AB593)</f>
        <v>0</v>
      </c>
      <c r="I593" s="830">
        <f ca="1">IF(AA593&gt;0.04, 0.029 + (0.039-0.029)*RAND(), AA593)</f>
        <v>0</v>
      </c>
      <c r="J593" s="831">
        <f ca="1">IF(Z593&gt;0.15, 0.11 + (0.15-0.11) * RAND(), Z593)</f>
        <v>0</v>
      </c>
      <c r="K593" s="830">
        <f ca="1">0.004 + (RAND() * (0.001 - 0.004))</f>
        <v>1.0906603310923352E-3</v>
      </c>
      <c r="L593" s="830">
        <f ca="1">H593+I593</f>
        <v>0</v>
      </c>
      <c r="M593" s="831">
        <f ca="1">(G593/6)+F593</f>
        <v>9.2984105903136841E-2</v>
      </c>
      <c r="N593" s="831">
        <f ca="1">2 + RAND()</f>
        <v>2.9754365811247676</v>
      </c>
      <c r="O593" s="831">
        <f ca="1">1 + RAND()</f>
        <v>1.1531084367958979</v>
      </c>
      <c r="P593" s="831">
        <f ca="1">2.98 + (RAND() * (3.03 - 2.98))</f>
        <v>3.0227030514683357</v>
      </c>
      <c r="Q593" s="832" t="str">
        <f ca="1">IF(D593="130 × 130", (130 + RANDBETWEEN(-1,1)) &amp; " × " &amp; (130 + RANDBETWEEN(-1,1)),
   IF(D593="160 × 160", (160 + RANDBETWEEN(-1,1)) &amp; " × " &amp; (160 + RANDBETWEEN(-1,1)),
   IF(D593="110 × 110", (110 + RANDBETWEEN(-1,1)) &amp; " × " &amp; (110 + RANDBETWEEN(-1,1)),
   "Value not matched")))</f>
        <v>Value not matched</v>
      </c>
      <c r="R593" s="833" t="s">
        <v>213</v>
      </c>
      <c r="S593" s="834" t="str">
        <f ca="1">IF(G593&lt;0.6, "IS 14650 CPS 10748/GR2", "IS 14650 CPS 10748/GR3")</f>
        <v>IS 14650 CPS 10748/GR2</v>
      </c>
      <c r="T593" s="831" t="s">
        <v>769</v>
      </c>
      <c r="U593" s="825"/>
      <c r="V593" s="826"/>
      <c r="W593" s="206">
        <f>Prod.!B333</f>
        <v>0</v>
      </c>
      <c r="X593" s="469">
        <f>Prod.!C333</f>
        <v>0</v>
      </c>
      <c r="Y593" s="469">
        <f>Prod.!D333</f>
        <v>0</v>
      </c>
      <c r="Z593" s="469">
        <f>Prod.!E333</f>
        <v>0</v>
      </c>
      <c r="AA593" s="282">
        <f>Prod.!F333</f>
        <v>0</v>
      </c>
      <c r="AB593" s="282">
        <f>Prod.!G333</f>
        <v>0</v>
      </c>
      <c r="AC593" s="836">
        <f>Prod.!H333</f>
        <v>0</v>
      </c>
      <c r="AD593" s="282">
        <f>Prod.!AB333</f>
        <v>0</v>
      </c>
      <c r="AE593" s="282">
        <f>AD593-AF593</f>
        <v>0</v>
      </c>
      <c r="AF593" s="282">
        <f>Prod.!AA333</f>
        <v>0</v>
      </c>
    </row>
    <row r="594" spans="1:32" ht="15" customHeight="1">
      <c r="A594" s="1435">
        <v>7</v>
      </c>
      <c r="B594" s="818">
        <f>W595</f>
        <v>0</v>
      </c>
      <c r="C594" s="819" t="s">
        <v>765</v>
      </c>
      <c r="D594" s="822"/>
      <c r="E594" s="822"/>
      <c r="F594" s="821">
        <f ca="1">F595 + (RAND() * 0.02 - 0.01)</f>
        <v>-5.014583456884273E-4</v>
      </c>
      <c r="G594" s="821">
        <f ca="1">G595 + (RAND() * 0.06 - 0.03)</f>
        <v>0.50927096726419951</v>
      </c>
      <c r="H594" s="822">
        <f ca="1">H595 + (RAND() * 0.006 - 0.003)</f>
        <v>3.0674260834322523E-4</v>
      </c>
      <c r="I594" s="822">
        <f ca="1">I595 + (RAND() * 0.006 - 0.003)</f>
        <v>-2.4900216942358592E-3</v>
      </c>
      <c r="J594" s="821">
        <f ca="1">J595 + (RAND() * 0.02 - 0.01)</f>
        <v>3.5168625344213812E-3</v>
      </c>
      <c r="K594" s="821"/>
      <c r="L594" s="822"/>
      <c r="M594" s="821"/>
      <c r="N594" s="823"/>
      <c r="O594" s="823"/>
      <c r="P594" s="823"/>
      <c r="Q594" s="823"/>
      <c r="R594" s="839"/>
      <c r="S594" s="821"/>
      <c r="T594" s="821"/>
      <c r="U594" s="825"/>
      <c r="V594" s="826"/>
    </row>
    <row r="595" spans="1:32" ht="15" customHeight="1">
      <c r="A595" s="1435"/>
      <c r="B595" s="827">
        <f>B594</f>
        <v>0</v>
      </c>
      <c r="C595" s="828" t="s">
        <v>768</v>
      </c>
      <c r="D595" s="829" t="str">
        <f>IF(AC595=130, "130 × 130", IF(AC595=160, "160 × 160", IF(AC595=110, "110 × 110", "Value not 130, 160, or 110")))</f>
        <v>Value not 130, 160, or 110</v>
      </c>
      <c r="E595" s="830">
        <f>AD595</f>
        <v>0</v>
      </c>
      <c r="F595" s="831">
        <f ca="1">IF(X595 &gt; 0.1, RAND() * (0.1 - 0.06) + 0.06, X595)</f>
        <v>0</v>
      </c>
      <c r="G595" s="831">
        <f ca="1">IF(Y595 &lt; 0.5, 0.5 + RAND() * 0.1, Y595)</f>
        <v>0.50859489195197116</v>
      </c>
      <c r="H595" s="830">
        <f ca="1">IF(AB595&gt;0.04, 0.029 + (0.039-0.029)*RAND(), AB595)</f>
        <v>0</v>
      </c>
      <c r="I595" s="830">
        <f ca="1">IF(AA595&gt;0.04, 0.029 + (0.039-0.029)*RAND(), AA595)</f>
        <v>0</v>
      </c>
      <c r="J595" s="831">
        <f ca="1">IF(Z595&gt;0.15, 0.11 + (0.15-0.11) * RAND(), Z595)</f>
        <v>0</v>
      </c>
      <c r="K595" s="830">
        <f ca="1">0.004 + (RAND() * (0.001 - 0.004))</f>
        <v>1.4539119962319515E-3</v>
      </c>
      <c r="L595" s="830">
        <f ca="1">H595+I595</f>
        <v>0</v>
      </c>
      <c r="M595" s="831">
        <f ca="1">(G595/6)+F595</f>
        <v>8.4765815325328522E-2</v>
      </c>
      <c r="N595" s="831">
        <f ca="1">2 + RAND()</f>
        <v>2.6999875576626486</v>
      </c>
      <c r="O595" s="831">
        <f ca="1">1 + RAND()</f>
        <v>1.4399472431405593</v>
      </c>
      <c r="P595" s="831">
        <f ca="1">2.98 + (RAND() * (3.03 - 2.98))</f>
        <v>3.0275719472210363</v>
      </c>
      <c r="Q595" s="832" t="str">
        <f ca="1">IF(D595="130 × 130", (130 + RANDBETWEEN(-1,1)) &amp; " × " &amp; (130 + RANDBETWEEN(-1,1)),
   IF(D595="160 × 160", (160 + RANDBETWEEN(-1,1)) &amp; " × " &amp; (160 + RANDBETWEEN(-1,1)),
   IF(D595="110 × 110", (110 + RANDBETWEEN(-1,1)) &amp; " × " &amp; (110 + RANDBETWEEN(-1,1)),
   "Value not matched")))</f>
        <v>Value not matched</v>
      </c>
      <c r="R595" s="833" t="s">
        <v>213</v>
      </c>
      <c r="S595" s="834" t="str">
        <f ca="1">IF(G595&lt;0.6, "IS 14650 CPS 10748/GR2", "IS 14650 CPS 10748/GR3")</f>
        <v>IS 14650 CPS 10748/GR2</v>
      </c>
      <c r="T595" s="831" t="s">
        <v>769</v>
      </c>
      <c r="U595" s="825"/>
      <c r="V595" s="826"/>
      <c r="W595" s="206">
        <f>Prod.!B334</f>
        <v>0</v>
      </c>
      <c r="X595" s="469">
        <f>Prod.!C334</f>
        <v>0</v>
      </c>
      <c r="Y595" s="469">
        <f>Prod.!D334</f>
        <v>0</v>
      </c>
      <c r="Z595" s="469">
        <f>Prod.!E334</f>
        <v>0</v>
      </c>
      <c r="AA595" s="282">
        <f>Prod.!F334</f>
        <v>0</v>
      </c>
      <c r="AB595" s="282">
        <f>Prod.!G334</f>
        <v>0</v>
      </c>
      <c r="AC595" s="836">
        <f>Prod.!H334</f>
        <v>0</v>
      </c>
      <c r="AD595" s="282">
        <f>Prod.!AB334</f>
        <v>0</v>
      </c>
      <c r="AE595" s="282">
        <f>AD595-AF595</f>
        <v>0</v>
      </c>
      <c r="AF595" s="282">
        <f>Prod.!AA334</f>
        <v>0</v>
      </c>
    </row>
    <row r="596" spans="1:32" ht="15" customHeight="1">
      <c r="A596" s="1435">
        <v>8</v>
      </c>
      <c r="B596" s="818">
        <f>W597</f>
        <v>0</v>
      </c>
      <c r="C596" s="819" t="s">
        <v>765</v>
      </c>
      <c r="D596" s="822"/>
      <c r="E596" s="822"/>
      <c r="F596" s="821">
        <f ca="1">F597 + (RAND() * 0.02 - 0.01)</f>
        <v>-4.1259803742359578E-3</v>
      </c>
      <c r="G596" s="821">
        <f ca="1">G597 + (RAND() * 0.06 - 0.03)</f>
        <v>0.55101370812497241</v>
      </c>
      <c r="H596" s="822">
        <f ca="1">H597 + (RAND() * 0.006 - 0.003)</f>
        <v>-1.3574904516485422E-3</v>
      </c>
      <c r="I596" s="822">
        <f ca="1">I597 + (RAND() * 0.006 - 0.003)</f>
        <v>-1.5414153401254681E-3</v>
      </c>
      <c r="J596" s="821">
        <f ca="1">J597 + (RAND() * 0.02 - 0.01)</f>
        <v>1.5876233719403013E-3</v>
      </c>
      <c r="K596" s="821"/>
      <c r="L596" s="822"/>
      <c r="M596" s="821"/>
      <c r="N596" s="823"/>
      <c r="O596" s="823"/>
      <c r="P596" s="823"/>
      <c r="Q596" s="823"/>
      <c r="R596" s="839"/>
      <c r="S596" s="821"/>
      <c r="T596" s="821"/>
      <c r="U596" s="825"/>
      <c r="V596" s="826"/>
    </row>
    <row r="597" spans="1:32" ht="15" customHeight="1">
      <c r="A597" s="1435"/>
      <c r="B597" s="827">
        <f>B596</f>
        <v>0</v>
      </c>
      <c r="C597" s="828" t="s">
        <v>768</v>
      </c>
      <c r="D597" s="829" t="str">
        <f>IF(AC597=130, "130 × 130", IF(AC597=160, "160 × 160", IF(AC597=110, "110 × 110", "Value not 130, 160, or 110")))</f>
        <v>Value not 130, 160, or 110</v>
      </c>
      <c r="E597" s="830">
        <f>AD597</f>
        <v>0</v>
      </c>
      <c r="F597" s="831">
        <f ca="1">IF(X597 &gt; 0.1, RAND() * (0.1 - 0.06) + 0.06, X597)</f>
        <v>0</v>
      </c>
      <c r="G597" s="831">
        <f ca="1">IF(Y597 &lt; 0.5, 0.5 + RAND() * 0.1, Y597)</f>
        <v>0.55327251158051971</v>
      </c>
      <c r="H597" s="830">
        <f ca="1">IF(AB597&gt;0.04, 0.029 + (0.039-0.029)*RAND(), AB597)</f>
        <v>0</v>
      </c>
      <c r="I597" s="830">
        <f ca="1">IF(AA597&gt;0.04, 0.029 + (0.039-0.029)*RAND(), AA597)</f>
        <v>0</v>
      </c>
      <c r="J597" s="831">
        <f ca="1">IF(Z597&gt;0.15, 0.11 + (0.15-0.11) * RAND(), Z597)</f>
        <v>0</v>
      </c>
      <c r="K597" s="830">
        <f ca="1">0.004 + (RAND() * (0.001 - 0.004))</f>
        <v>3.4573233195816424E-3</v>
      </c>
      <c r="L597" s="830">
        <f ca="1">H597+I597</f>
        <v>0</v>
      </c>
      <c r="M597" s="831">
        <f ca="1">(G597/6)+F597</f>
        <v>9.2212085263419952E-2</v>
      </c>
      <c r="N597" s="831">
        <f ca="1">2 + RAND()</f>
        <v>2.3534775592138892</v>
      </c>
      <c r="O597" s="831">
        <f ca="1">1 + RAND()</f>
        <v>1.2186122630920497</v>
      </c>
      <c r="P597" s="831">
        <f ca="1">2.98 + (RAND() * (3.03 - 2.98))</f>
        <v>3.0180089196627473</v>
      </c>
      <c r="Q597" s="832" t="str">
        <f ca="1">IF(D597="130 × 130", (130 + RANDBETWEEN(-1,1)) &amp; " × " &amp; (130 + RANDBETWEEN(-1,1)),
   IF(D597="160 × 160", (160 + RANDBETWEEN(-1,1)) &amp; " × " &amp; (160 + RANDBETWEEN(-1,1)),
   IF(D597="110 × 110", (110 + RANDBETWEEN(-1,1)) &amp; " × " &amp; (110 + RANDBETWEEN(-1,1)),
   "Value not matched")))</f>
        <v>Value not matched</v>
      </c>
      <c r="R597" s="833" t="s">
        <v>213</v>
      </c>
      <c r="S597" s="834" t="str">
        <f ca="1">IF(G597&lt;0.6, "IS 14650 CPS 10748/GR2", "IS 14650 CPS 10748/GR3")</f>
        <v>IS 14650 CPS 10748/GR2</v>
      </c>
      <c r="T597" s="831" t="s">
        <v>769</v>
      </c>
      <c r="U597" s="825"/>
      <c r="V597" s="826"/>
      <c r="W597" s="206">
        <f>Prod.!B335</f>
        <v>0</v>
      </c>
      <c r="X597" s="469">
        <f>Prod.!C335</f>
        <v>0</v>
      </c>
      <c r="Y597" s="469">
        <f>Prod.!D335</f>
        <v>0</v>
      </c>
      <c r="Z597" s="469">
        <f>Prod.!E335</f>
        <v>0</v>
      </c>
      <c r="AA597" s="282">
        <f>Prod.!F335</f>
        <v>0</v>
      </c>
      <c r="AB597" s="282">
        <f>Prod.!G335</f>
        <v>0</v>
      </c>
      <c r="AC597" s="836">
        <f>Prod.!H335</f>
        <v>0</v>
      </c>
      <c r="AD597" s="282">
        <f>Prod.!AB335</f>
        <v>0</v>
      </c>
      <c r="AE597" s="282">
        <f>AD597-AF597</f>
        <v>0</v>
      </c>
      <c r="AF597" s="282">
        <f>Prod.!AA335</f>
        <v>0</v>
      </c>
    </row>
    <row r="598" spans="1:32" ht="15" customHeight="1">
      <c r="A598" s="1435">
        <v>9</v>
      </c>
      <c r="B598" s="818">
        <f>W599</f>
        <v>0</v>
      </c>
      <c r="C598" s="819" t="s">
        <v>765</v>
      </c>
      <c r="D598" s="822"/>
      <c r="E598" s="822"/>
      <c r="F598" s="821">
        <f ca="1">F599 + (RAND() * 0.02 - 0.01)</f>
        <v>-5.2474185755934542E-3</v>
      </c>
      <c r="G598" s="821">
        <f ca="1">G599 + (RAND() * 0.06 - 0.03)</f>
        <v>0.58412337496514688</v>
      </c>
      <c r="H598" s="822">
        <f ca="1">H599 + (RAND() * 0.006 - 0.003)</f>
        <v>-2.6085655401070834E-3</v>
      </c>
      <c r="I598" s="822">
        <f ca="1">I599 + (RAND() * 0.006 - 0.003)</f>
        <v>2.0099933350954729E-3</v>
      </c>
      <c r="J598" s="821">
        <f ca="1">J599 + (RAND() * 0.02 - 0.01)</f>
        <v>2.9702171479786734E-3</v>
      </c>
      <c r="K598" s="821"/>
      <c r="L598" s="822"/>
      <c r="M598" s="821"/>
      <c r="N598" s="823"/>
      <c r="O598" s="823"/>
      <c r="P598" s="823"/>
      <c r="Q598" s="823"/>
      <c r="R598" s="839"/>
      <c r="S598" s="821"/>
      <c r="T598" s="821"/>
      <c r="U598" s="825"/>
      <c r="V598" s="826"/>
    </row>
    <row r="599" spans="1:32" ht="15" customHeight="1">
      <c r="A599" s="1435"/>
      <c r="B599" s="827">
        <f>B598</f>
        <v>0</v>
      </c>
      <c r="C599" s="828" t="s">
        <v>768</v>
      </c>
      <c r="D599" s="829" t="str">
        <f>IF(AC599=130, "130 × 130", IF(AC599=160, "160 × 160", IF(AC599=110, "110 × 110", "Value not 130, 160, or 110")))</f>
        <v>Value not 130, 160, or 110</v>
      </c>
      <c r="E599" s="830">
        <f>AD599</f>
        <v>0</v>
      </c>
      <c r="F599" s="831">
        <f ca="1">IF(X599 &gt; 0.1, RAND() * (0.1 - 0.06) + 0.06, X599)</f>
        <v>0</v>
      </c>
      <c r="G599" s="831">
        <f ca="1">IF(Y599 &lt; 0.5, 0.5 + RAND() * 0.1, Y599)</f>
        <v>0.5999956243459581</v>
      </c>
      <c r="H599" s="830">
        <f ca="1">IF(AB599&gt;0.04, 0.029 + (0.039-0.029)*RAND(), AB599)</f>
        <v>0</v>
      </c>
      <c r="I599" s="830">
        <f ca="1">IF(AA599&gt;0.04, 0.029 + (0.039-0.029)*RAND(), AA599)</f>
        <v>0</v>
      </c>
      <c r="J599" s="831">
        <f ca="1">IF(Z599&gt;0.15, 0.11 + (0.15-0.11) * RAND(), Z599)</f>
        <v>0</v>
      </c>
      <c r="K599" s="830">
        <f ca="1">0.004 + (RAND() * (0.001 - 0.004))</f>
        <v>2.7009160405917672E-3</v>
      </c>
      <c r="L599" s="830">
        <f ca="1">H599+I599</f>
        <v>0</v>
      </c>
      <c r="M599" s="831">
        <f ca="1">(G599/6)+F599</f>
        <v>9.999927072432635E-2</v>
      </c>
      <c r="N599" s="831">
        <f ca="1">2 + RAND()</f>
        <v>2.946494302458381</v>
      </c>
      <c r="O599" s="831">
        <f ca="1">1 + RAND()</f>
        <v>1.8730376682066106</v>
      </c>
      <c r="P599" s="831">
        <f ca="1">2.98 + (RAND() * (3.03 - 2.98))</f>
        <v>2.9952517144741932</v>
      </c>
      <c r="Q599" s="832" t="str">
        <f ca="1">IF(D599="130 × 130", (130 + RANDBETWEEN(-1,1)) &amp; " × " &amp; (130 + RANDBETWEEN(-1,1)),
   IF(D599="160 × 160", (160 + RANDBETWEEN(-1,1)) &amp; " × " &amp; (160 + RANDBETWEEN(-1,1)),
   IF(D599="110 × 110", (110 + RANDBETWEEN(-1,1)) &amp; " × " &amp; (110 + RANDBETWEEN(-1,1)),
   "Value not matched")))</f>
        <v>Value not matched</v>
      </c>
      <c r="R599" s="833" t="s">
        <v>213</v>
      </c>
      <c r="S599" s="834" t="str">
        <f ca="1">IF(G599&lt;0.6, "IS 14650 CPS 10748/GR2", "IS 14650 CPS 10748/GR3")</f>
        <v>IS 14650 CPS 10748/GR2</v>
      </c>
      <c r="T599" s="831" t="s">
        <v>769</v>
      </c>
      <c r="U599" s="825"/>
      <c r="V599" s="826"/>
      <c r="W599" s="206">
        <f>Prod.!B336</f>
        <v>0</v>
      </c>
      <c r="X599" s="469">
        <f>Prod.!C336</f>
        <v>0</v>
      </c>
      <c r="Y599" s="469">
        <f>Prod.!D336</f>
        <v>0</v>
      </c>
      <c r="Z599" s="469">
        <f>Prod.!E336</f>
        <v>0</v>
      </c>
      <c r="AA599" s="282">
        <f>Prod.!F336</f>
        <v>0</v>
      </c>
      <c r="AB599" s="282">
        <f>Prod.!G336</f>
        <v>0</v>
      </c>
      <c r="AC599" s="836">
        <f>Prod.!H336</f>
        <v>0</v>
      </c>
      <c r="AD599" s="282">
        <f>Prod.!AB336</f>
        <v>0</v>
      </c>
      <c r="AE599" s="282">
        <f>AD599-AF599</f>
        <v>0</v>
      </c>
      <c r="AF599" s="282">
        <f>Prod.!AA336</f>
        <v>0</v>
      </c>
    </row>
    <row r="600" spans="1:32" ht="15" customHeight="1">
      <c r="A600" s="1435">
        <v>10</v>
      </c>
      <c r="B600" s="818">
        <f>W601</f>
        <v>0</v>
      </c>
      <c r="C600" s="819" t="s">
        <v>765</v>
      </c>
      <c r="D600" s="822"/>
      <c r="E600" s="822"/>
      <c r="F600" s="821">
        <f ca="1">F601 + (RAND() * 0.02 - 0.01)</f>
        <v>-5.9528213604610955E-3</v>
      </c>
      <c r="G600" s="821">
        <f ca="1">G601 + (RAND() * 0.06 - 0.03)</f>
        <v>0.50159009447432723</v>
      </c>
      <c r="H600" s="822">
        <f ca="1">H601 + (RAND() * 0.006 - 0.003)</f>
        <v>2.3460826680067213E-4</v>
      </c>
      <c r="I600" s="822">
        <f ca="1">I601 + (RAND() * 0.006 - 0.003)</f>
        <v>-1.6074247695057806E-3</v>
      </c>
      <c r="J600" s="821">
        <f ca="1">J601 + (RAND() * 0.02 - 0.01)</f>
        <v>1.993458014908172E-3</v>
      </c>
      <c r="K600" s="821"/>
      <c r="L600" s="822"/>
      <c r="M600" s="821"/>
      <c r="N600" s="823"/>
      <c r="O600" s="823"/>
      <c r="P600" s="823"/>
      <c r="Q600" s="823"/>
      <c r="R600" s="839"/>
      <c r="S600" s="821"/>
      <c r="T600" s="821"/>
      <c r="U600" s="825"/>
      <c r="V600" s="826"/>
    </row>
    <row r="601" spans="1:32" ht="15" customHeight="1">
      <c r="A601" s="1435"/>
      <c r="B601" s="827">
        <f>B600</f>
        <v>0</v>
      </c>
      <c r="C601" s="828" t="s">
        <v>768</v>
      </c>
      <c r="D601" s="829" t="str">
        <f>IF(AC601=130, "130 × 130", IF(AC601=160, "160 × 160", IF(AC601=110, "110 × 110", "Value not 130, 160, or 110")))</f>
        <v>Value not 130, 160, or 110</v>
      </c>
      <c r="E601" s="830">
        <f>AD601</f>
        <v>0</v>
      </c>
      <c r="F601" s="831">
        <f ca="1">IF(X601 &gt; 0.1, RAND() * (0.1 - 0.06) + 0.06, X601)</f>
        <v>0</v>
      </c>
      <c r="G601" s="831">
        <f ca="1">IF(Y601 &lt; 0.5, 0.5 + RAND() * 0.1, Y601)</f>
        <v>0.52477336109382111</v>
      </c>
      <c r="H601" s="830">
        <f ca="1">IF(AB601&gt;0.04, 0.029 + (0.039-0.029)*RAND(), AB601)</f>
        <v>0</v>
      </c>
      <c r="I601" s="830">
        <f ca="1">IF(AA601&gt;0.04, 0.029 + (0.039-0.029)*RAND(), AA601)</f>
        <v>0</v>
      </c>
      <c r="J601" s="831">
        <f ca="1">IF(Z601&gt;0.15, 0.11 + (0.15-0.11) * RAND(), Z601)</f>
        <v>0</v>
      </c>
      <c r="K601" s="830">
        <f ca="1">0.004 + (RAND() * (0.001 - 0.004))</f>
        <v>1.5903781630901906E-3</v>
      </c>
      <c r="L601" s="830">
        <f ca="1">H601+I601</f>
        <v>0</v>
      </c>
      <c r="M601" s="831">
        <f ca="1">(G601/6)+F601</f>
        <v>8.746222684897019E-2</v>
      </c>
      <c r="N601" s="831">
        <f ca="1">2 + RAND()</f>
        <v>2.5024758032832359</v>
      </c>
      <c r="O601" s="831">
        <f ca="1">1 + RAND()</f>
        <v>1.622970372738489</v>
      </c>
      <c r="P601" s="831">
        <f ca="1">2.98 + (RAND() * (3.03 - 2.98))</f>
        <v>2.9817838821953857</v>
      </c>
      <c r="Q601" s="832" t="str">
        <f ca="1">IF(D601="130 × 130", (130 + RANDBETWEEN(-1,1)) &amp; " × " &amp; (130 + RANDBETWEEN(-1,1)),
   IF(D601="160 × 160", (160 + RANDBETWEEN(-1,1)) &amp; " × " &amp; (160 + RANDBETWEEN(-1,1)),
   IF(D601="110 × 110", (110 + RANDBETWEEN(-1,1)) &amp; " × " &amp; (110 + RANDBETWEEN(-1,1)),
   "Value not matched")))</f>
        <v>Value not matched</v>
      </c>
      <c r="R601" s="833" t="s">
        <v>213</v>
      </c>
      <c r="S601" s="834" t="str">
        <f ca="1">IF(G601&lt;0.6, "IS 14650 CPS 10748/GR2", "IS 14650 CPS 10748/GR3")</f>
        <v>IS 14650 CPS 10748/GR2</v>
      </c>
      <c r="T601" s="831" t="s">
        <v>769</v>
      </c>
      <c r="U601" s="825"/>
      <c r="V601" s="826"/>
      <c r="W601" s="206">
        <f>Prod.!B337</f>
        <v>0</v>
      </c>
      <c r="X601" s="469">
        <f>Prod.!C337</f>
        <v>0</v>
      </c>
      <c r="Y601" s="469">
        <f>Prod.!D337</f>
        <v>0</v>
      </c>
      <c r="Z601" s="469">
        <f>Prod.!E337</f>
        <v>0</v>
      </c>
      <c r="AA601" s="282">
        <f>Prod.!F337</f>
        <v>0</v>
      </c>
      <c r="AB601" s="282">
        <f>Prod.!G337</f>
        <v>0</v>
      </c>
      <c r="AC601" s="836">
        <f>Prod.!H337</f>
        <v>0</v>
      </c>
      <c r="AD601" s="282">
        <f>Prod.!AB337</f>
        <v>0</v>
      </c>
      <c r="AE601" s="282">
        <f>AD601-AF601</f>
        <v>0</v>
      </c>
      <c r="AF601" s="282">
        <f>Prod.!AA337</f>
        <v>0</v>
      </c>
    </row>
    <row r="602" spans="1:32" ht="15" customHeight="1">
      <c r="A602" s="1435">
        <v>11</v>
      </c>
      <c r="B602" s="818">
        <f>W603</f>
        <v>0</v>
      </c>
      <c r="C602" s="819" t="s">
        <v>765</v>
      </c>
      <c r="D602" s="822"/>
      <c r="E602" s="822"/>
      <c r="F602" s="821">
        <f ca="1">F603 + (RAND() * 0.02 - 0.01)</f>
        <v>8.5718554260440141E-3</v>
      </c>
      <c r="G602" s="821">
        <f ca="1">G603 + (RAND() * 0.06 - 0.03)</f>
        <v>0.50979965022684937</v>
      </c>
      <c r="H602" s="822">
        <f ca="1">H603 + (RAND() * 0.006 - 0.003)</f>
        <v>-1.1644804534791384E-3</v>
      </c>
      <c r="I602" s="822">
        <f ca="1">I603 + (RAND() * 0.006 - 0.003)</f>
        <v>-9.9511406690428036E-4</v>
      </c>
      <c r="J602" s="821">
        <f ca="1">J603 + (RAND() * 0.02 - 0.01)</f>
        <v>7.4382435593849574E-3</v>
      </c>
      <c r="K602" s="821"/>
      <c r="L602" s="822"/>
      <c r="M602" s="821"/>
      <c r="N602" s="823"/>
      <c r="O602" s="823"/>
      <c r="P602" s="823"/>
      <c r="Q602" s="823"/>
      <c r="R602" s="839"/>
      <c r="S602" s="821"/>
      <c r="T602" s="821"/>
      <c r="U602" s="825"/>
      <c r="V602" s="826"/>
    </row>
    <row r="603" spans="1:32" ht="15" customHeight="1">
      <c r="A603" s="1435"/>
      <c r="B603" s="827">
        <f>B602</f>
        <v>0</v>
      </c>
      <c r="C603" s="828" t="s">
        <v>768</v>
      </c>
      <c r="D603" s="829" t="str">
        <f>IF(AC603=130, "130 × 130", IF(AC603=160, "160 × 160", IF(AC603=110, "110 × 110", "Value not 130, 160, or 110")))</f>
        <v>Value not 130, 160, or 110</v>
      </c>
      <c r="E603" s="830">
        <f>AD603</f>
        <v>0</v>
      </c>
      <c r="F603" s="831">
        <f ca="1">IF(X603 &gt; 0.1, RAND() * (0.1 - 0.06) + 0.06, X603)</f>
        <v>0</v>
      </c>
      <c r="G603" s="831">
        <f ca="1">IF(Y603 &lt; 0.5, 0.5 + RAND() * 0.1, Y603)</f>
        <v>0.5366744798886296</v>
      </c>
      <c r="H603" s="830">
        <f ca="1">IF(AB603&gt;0.04, 0.029 + (0.039-0.029)*RAND(), AB603)</f>
        <v>0</v>
      </c>
      <c r="I603" s="830">
        <f ca="1">IF(AA603&gt;0.04, 0.029 + (0.039-0.029)*RAND(), AA603)</f>
        <v>0</v>
      </c>
      <c r="J603" s="831">
        <f ca="1">IF(Z603&gt;0.15, 0.11 + (0.15-0.11) * RAND(), Z603)</f>
        <v>0</v>
      </c>
      <c r="K603" s="830">
        <f ca="1">0.004 + (RAND() * (0.001 - 0.004))</f>
        <v>2.9143530105717134E-3</v>
      </c>
      <c r="L603" s="830">
        <f ca="1">H603+I603</f>
        <v>0</v>
      </c>
      <c r="M603" s="831">
        <f ca="1">(G603/6)+F603</f>
        <v>8.9445746648104937E-2</v>
      </c>
      <c r="N603" s="831">
        <f ca="1">2 + RAND()</f>
        <v>2.0519161741552336</v>
      </c>
      <c r="O603" s="831">
        <f ca="1">1 + RAND()</f>
        <v>1.2760428661355334</v>
      </c>
      <c r="P603" s="831">
        <f ca="1">2.98 + (RAND() * (3.03 - 2.98))</f>
        <v>3.0149909772915517</v>
      </c>
      <c r="Q603" s="832" t="str">
        <f ca="1">IF(D603="130 × 130", (130 + RANDBETWEEN(-1,1)) &amp; " × " &amp; (130 + RANDBETWEEN(-1,1)),
   IF(D603="160 × 160", (160 + RANDBETWEEN(-1,1)) &amp; " × " &amp; (160 + RANDBETWEEN(-1,1)),
   IF(D603="110 × 110", (110 + RANDBETWEEN(-1,1)) &amp; " × " &amp; (110 + RANDBETWEEN(-1,1)),
   "Value not matched")))</f>
        <v>Value not matched</v>
      </c>
      <c r="R603" s="833" t="s">
        <v>213</v>
      </c>
      <c r="S603" s="834" t="str">
        <f ca="1">IF(G603&lt;0.6, "IS 14650 CPS 10748/GR2", "IS 14650 CPS 10748/GR3")</f>
        <v>IS 14650 CPS 10748/GR2</v>
      </c>
      <c r="T603" s="831" t="s">
        <v>769</v>
      </c>
      <c r="U603" s="825"/>
      <c r="V603" s="826"/>
      <c r="W603" s="206">
        <f>Prod.!B338</f>
        <v>0</v>
      </c>
      <c r="X603" s="469">
        <f>Prod.!C338</f>
        <v>0</v>
      </c>
      <c r="Y603" s="469">
        <f>Prod.!D338</f>
        <v>0</v>
      </c>
      <c r="Z603" s="469">
        <f>Prod.!E338</f>
        <v>0</v>
      </c>
      <c r="AA603" s="282">
        <f>Prod.!F338</f>
        <v>0</v>
      </c>
      <c r="AB603" s="282">
        <f>Prod.!G338</f>
        <v>0</v>
      </c>
      <c r="AC603" s="836">
        <f>Prod.!H338</f>
        <v>0</v>
      </c>
      <c r="AD603" s="282">
        <f>Prod.!AB338</f>
        <v>0</v>
      </c>
      <c r="AE603" s="282">
        <f>AD603-AF603</f>
        <v>0</v>
      </c>
      <c r="AF603" s="282">
        <f>Prod.!AA338</f>
        <v>0</v>
      </c>
    </row>
    <row r="604" spans="1:32" ht="15" customHeight="1">
      <c r="A604" s="1435">
        <v>12</v>
      </c>
      <c r="B604" s="818">
        <f>W605</f>
        <v>0</v>
      </c>
      <c r="C604" s="819" t="s">
        <v>765</v>
      </c>
      <c r="D604" s="822"/>
      <c r="E604" s="822"/>
      <c r="F604" s="821">
        <f ca="1">F605 + (RAND() * 0.02 - 0.01)</f>
        <v>-6.3387424025568382E-3</v>
      </c>
      <c r="G604" s="821">
        <f ca="1">G605 + (RAND() * 0.06 - 0.03)</f>
        <v>0.58648614552336831</v>
      </c>
      <c r="H604" s="822">
        <f ca="1">H605 + (RAND() * 0.006 - 0.003)</f>
        <v>-1.2056384209907928E-3</v>
      </c>
      <c r="I604" s="822">
        <f ca="1">I605 + (RAND() * 0.006 - 0.003)</f>
        <v>-1.406281034122061E-3</v>
      </c>
      <c r="J604" s="821">
        <f ca="1">J605 + (RAND() * 0.02 - 0.01)</f>
        <v>1.846073933816925E-3</v>
      </c>
      <c r="K604" s="821"/>
      <c r="L604" s="822"/>
      <c r="M604" s="821"/>
      <c r="N604" s="823"/>
      <c r="O604" s="823"/>
      <c r="P604" s="823"/>
      <c r="Q604" s="823"/>
      <c r="R604" s="839"/>
      <c r="S604" s="821"/>
      <c r="T604" s="821"/>
      <c r="U604" s="825"/>
      <c r="V604" s="826"/>
    </row>
    <row r="605" spans="1:32" ht="15" customHeight="1">
      <c r="A605" s="1435"/>
      <c r="B605" s="827">
        <f>B604</f>
        <v>0</v>
      </c>
      <c r="C605" s="828" t="s">
        <v>768</v>
      </c>
      <c r="D605" s="829" t="str">
        <f>IF(AC605=130, "130 × 130", IF(AC605=160, "160 × 160", IF(AC605=110, "110 × 110", "Value not 130, 160, or 110")))</f>
        <v>Value not 130, 160, or 110</v>
      </c>
      <c r="E605" s="830">
        <f>AD605</f>
        <v>0</v>
      </c>
      <c r="F605" s="831">
        <f ca="1">IF(X605 &gt; 0.1, RAND() * (0.1 - 0.06) + 0.06, X605)</f>
        <v>0</v>
      </c>
      <c r="G605" s="831">
        <f ca="1">IF(Y605 &lt; 0.5, 0.5 + RAND() * 0.1, Y605)</f>
        <v>0.58458130991135637</v>
      </c>
      <c r="H605" s="830">
        <f ca="1">IF(AB605&gt;0.04, 0.029 + (0.039-0.029)*RAND(), AB605)</f>
        <v>0</v>
      </c>
      <c r="I605" s="830">
        <f ca="1">IF(AA605&gt;0.04, 0.029 + (0.039-0.029)*RAND(), AA605)</f>
        <v>0</v>
      </c>
      <c r="J605" s="831">
        <f ca="1">IF(Z605&gt;0.15, 0.11 + (0.15-0.11) * RAND(), Z605)</f>
        <v>0</v>
      </c>
      <c r="K605" s="830">
        <f ca="1">0.004 + (RAND() * (0.001 - 0.004))</f>
        <v>2.0070847659867477E-3</v>
      </c>
      <c r="L605" s="830">
        <f ca="1">H605+I605</f>
        <v>0</v>
      </c>
      <c r="M605" s="831">
        <f ca="1">(G605/6)+F605</f>
        <v>9.74302183185594E-2</v>
      </c>
      <c r="N605" s="831">
        <f ca="1">2 + RAND()</f>
        <v>2.4109687787339427</v>
      </c>
      <c r="O605" s="831">
        <f ca="1">1 + RAND()</f>
        <v>1.9809287131453861</v>
      </c>
      <c r="P605" s="831">
        <f ca="1">2.98 + (RAND() * (3.03 - 2.98))</f>
        <v>2.9900941731969364</v>
      </c>
      <c r="Q605" s="832" t="str">
        <f ca="1">IF(D605="130 × 130", (130 + RANDBETWEEN(-1,1)) &amp; " × " &amp; (130 + RANDBETWEEN(-1,1)),
   IF(D605="160 × 160", (160 + RANDBETWEEN(-1,1)) &amp; " × " &amp; (160 + RANDBETWEEN(-1,1)),
   IF(D605="110 × 110", (110 + RANDBETWEEN(-1,1)) &amp; " × " &amp; (110 + RANDBETWEEN(-1,1)),
   "Value not matched")))</f>
        <v>Value not matched</v>
      </c>
      <c r="R605" s="833" t="s">
        <v>213</v>
      </c>
      <c r="S605" s="834" t="str">
        <f ca="1">IF(G605&lt;0.6, "IS 14650 CPS 10748/GR2", "IS 14650 CPS 10748/GR3")</f>
        <v>IS 14650 CPS 10748/GR2</v>
      </c>
      <c r="T605" s="831" t="s">
        <v>769</v>
      </c>
      <c r="U605" s="825"/>
      <c r="V605" s="826"/>
      <c r="W605" s="206">
        <f>Prod.!B339</f>
        <v>0</v>
      </c>
      <c r="X605" s="469">
        <f>Prod.!C339</f>
        <v>0</v>
      </c>
      <c r="Y605" s="469">
        <f>Prod.!D339</f>
        <v>0</v>
      </c>
      <c r="Z605" s="469">
        <f>Prod.!E339</f>
        <v>0</v>
      </c>
      <c r="AA605" s="282">
        <f>Prod.!F339</f>
        <v>0</v>
      </c>
      <c r="AB605" s="282">
        <f>Prod.!G339</f>
        <v>0</v>
      </c>
      <c r="AC605" s="836">
        <f>Prod.!H339</f>
        <v>0</v>
      </c>
      <c r="AD605" s="282">
        <f>Prod.!AB339</f>
        <v>0</v>
      </c>
      <c r="AE605" s="282">
        <f>AD605-AF605</f>
        <v>0</v>
      </c>
      <c r="AF605" s="282">
        <f>Prod.!AA339</f>
        <v>0</v>
      </c>
    </row>
    <row r="606" spans="1:32" ht="15" customHeight="1">
      <c r="A606" s="1435">
        <v>13</v>
      </c>
      <c r="B606" s="818">
        <f>W607</f>
        <v>0</v>
      </c>
      <c r="C606" s="819" t="s">
        <v>765</v>
      </c>
      <c r="D606" s="822"/>
      <c r="E606" s="822"/>
      <c r="F606" s="821">
        <f ca="1">F607 + (RAND() * 0.02 - 0.01)</f>
        <v>1.1689427027953697E-3</v>
      </c>
      <c r="G606" s="821">
        <f ca="1">G607 + (RAND() * 0.06 - 0.03)</f>
        <v>0.57774134048648984</v>
      </c>
      <c r="H606" s="822">
        <f ca="1">H607 + (RAND() * 0.006 - 0.003)</f>
        <v>1.4773949742426752E-3</v>
      </c>
      <c r="I606" s="822">
        <f ca="1">I607 + (RAND() * 0.006 - 0.003)</f>
        <v>5.7408977754999039E-4</v>
      </c>
      <c r="J606" s="821">
        <f ca="1">J607 + (RAND() * 0.02 - 0.01)</f>
        <v>4.6445158654701453E-3</v>
      </c>
      <c r="K606" s="821"/>
      <c r="L606" s="822"/>
      <c r="M606" s="821"/>
      <c r="N606" s="823"/>
      <c r="O606" s="823"/>
      <c r="P606" s="823"/>
      <c r="Q606" s="823"/>
      <c r="R606" s="839"/>
      <c r="S606" s="821"/>
      <c r="T606" s="821"/>
      <c r="U606" s="825"/>
      <c r="V606" s="826"/>
    </row>
    <row r="607" spans="1:32" ht="15" customHeight="1">
      <c r="A607" s="1435"/>
      <c r="B607" s="827">
        <f>B606</f>
        <v>0</v>
      </c>
      <c r="C607" s="828" t="s">
        <v>768</v>
      </c>
      <c r="D607" s="829" t="str">
        <f>IF(AC607=130, "130 × 130", IF(AC607=160, "160 × 160", IF(AC607=110, "110 × 110", "Value not 130, 160, or 110")))</f>
        <v>Value not 130, 160, or 110</v>
      </c>
      <c r="E607" s="830">
        <f>AD607</f>
        <v>0</v>
      </c>
      <c r="F607" s="831">
        <f ca="1">IF(X607 &gt; 0.1, RAND() * (0.1 - 0.06) + 0.06, X607)</f>
        <v>0</v>
      </c>
      <c r="G607" s="831">
        <f ca="1">IF(Y607 &lt; 0.5, 0.5 + RAND() * 0.1, Y607)</f>
        <v>0.56717947691428827</v>
      </c>
      <c r="H607" s="830">
        <f ca="1">IF(AB607&gt;0.04, 0.029 + (0.039-0.029)*RAND(), AB607)</f>
        <v>0</v>
      </c>
      <c r="I607" s="830">
        <f ca="1">IF(AA607&gt;0.04, 0.029 + (0.039-0.029)*RAND(), AA607)</f>
        <v>0</v>
      </c>
      <c r="J607" s="831">
        <f ca="1">IF(Z607&gt;0.15, 0.11 + (0.15-0.11) * RAND(), Z607)</f>
        <v>0</v>
      </c>
      <c r="K607" s="830">
        <f ca="1">0.004 + (RAND() * (0.001 - 0.004))</f>
        <v>3.3301240699645344E-3</v>
      </c>
      <c r="L607" s="830">
        <f ca="1">H607+I607</f>
        <v>0</v>
      </c>
      <c r="M607" s="831">
        <f ca="1">(G607/6)+F607</f>
        <v>9.4529912819048045E-2</v>
      </c>
      <c r="N607" s="831">
        <f ca="1">2 + RAND()</f>
        <v>2.3209510740502792</v>
      </c>
      <c r="O607" s="831">
        <f ca="1">1 + RAND()</f>
        <v>1.3981104426798572</v>
      </c>
      <c r="P607" s="831">
        <f ca="1">2.98 + (RAND() * (3.03 - 2.98))</f>
        <v>3.0235151691674527</v>
      </c>
      <c r="Q607" s="832" t="str">
        <f ca="1">IF(D607="130 × 130", (130 + RANDBETWEEN(-1,1)) &amp; " × " &amp; (130 + RANDBETWEEN(-1,1)),
   IF(D607="160 × 160", (160 + RANDBETWEEN(-1,1)) &amp; " × " &amp; (160 + RANDBETWEEN(-1,1)),
   IF(D607="110 × 110", (110 + RANDBETWEEN(-1,1)) &amp; " × " &amp; (110 + RANDBETWEEN(-1,1)),
   "Value not matched")))</f>
        <v>Value not matched</v>
      </c>
      <c r="R607" s="833" t="s">
        <v>213</v>
      </c>
      <c r="S607" s="834" t="str">
        <f ca="1">IF(G607&lt;0.6, "IS 14650 CPS 10748/GR2", "IS 14650 CPS 10748/GR3")</f>
        <v>IS 14650 CPS 10748/GR2</v>
      </c>
      <c r="T607" s="831" t="s">
        <v>769</v>
      </c>
      <c r="U607" s="825"/>
      <c r="V607" s="826"/>
    </row>
    <row r="608" spans="1:32" ht="15" customHeight="1">
      <c r="A608" s="180"/>
      <c r="B608" s="180"/>
      <c r="C608" s="180" t="s">
        <v>770</v>
      </c>
      <c r="D608" s="395"/>
      <c r="E608" s="844">
        <f>SUM(E582:E607)</f>
        <v>0</v>
      </c>
      <c r="F608" s="180"/>
      <c r="G608" s="180"/>
      <c r="H608" s="844"/>
      <c r="I608" s="180"/>
      <c r="J608" s="845"/>
      <c r="K608" s="845"/>
      <c r="L608" s="180"/>
      <c r="M608" s="845"/>
      <c r="N608" s="180"/>
      <c r="O608" s="180"/>
      <c r="P608" s="180"/>
      <c r="Q608" s="180"/>
      <c r="R608" s="263"/>
      <c r="S608" s="180"/>
      <c r="T608" s="180"/>
    </row>
    <row r="609" spans="1:32" ht="28.5" customHeight="1">
      <c r="A609" s="1436" t="s">
        <v>746</v>
      </c>
      <c r="B609" s="1436"/>
      <c r="C609" s="1436"/>
      <c r="D609" s="1436"/>
      <c r="E609" s="1436"/>
      <c r="F609" s="1436"/>
      <c r="G609" s="1436"/>
      <c r="H609" s="1436"/>
      <c r="I609" s="1436"/>
      <c r="J609" s="1436"/>
      <c r="K609" s="1436"/>
      <c r="L609" s="1436"/>
      <c r="M609" s="1436"/>
      <c r="N609" s="1436"/>
      <c r="O609" s="1436"/>
      <c r="P609" s="1436"/>
      <c r="Q609" s="1436"/>
      <c r="R609" s="1436"/>
      <c r="S609" s="1436"/>
      <c r="T609" s="1436"/>
      <c r="U609" s="515"/>
      <c r="V609" s="846"/>
    </row>
    <row r="610" spans="1:32" ht="15" customHeight="1">
      <c r="A610" s="1437" t="s">
        <v>747</v>
      </c>
      <c r="B610" s="1437"/>
      <c r="C610" s="1437"/>
      <c r="D610" s="1437"/>
      <c r="E610" s="1437"/>
      <c r="F610" s="1437"/>
      <c r="G610" s="1437"/>
      <c r="H610" s="1437"/>
      <c r="I610" s="1437"/>
      <c r="J610" s="1437"/>
      <c r="K610" s="1437"/>
      <c r="L610" s="1437"/>
      <c r="M610" s="1437"/>
      <c r="N610" s="1437"/>
      <c r="O610" s="1437"/>
      <c r="P610" s="1437"/>
      <c r="Q610" s="1437"/>
      <c r="R610" s="1437"/>
      <c r="S610" s="1437"/>
      <c r="T610" s="1437"/>
      <c r="U610" s="806"/>
      <c r="V610" s="807"/>
    </row>
    <row r="611" spans="1:32" ht="15" customHeight="1">
      <c r="A611" s="1438" t="str">
        <f>"DATE OF MANUFACTURING : " &amp; TEXT(V615, "DD-MM-YYYY")</f>
        <v>DATE OF MANUFACTURING : 00-01-1900</v>
      </c>
      <c r="B611" s="1438"/>
      <c r="C611" s="1438"/>
      <c r="D611" s="1438"/>
      <c r="E611" s="1438"/>
      <c r="F611" s="1438"/>
      <c r="G611" s="1438"/>
      <c r="H611" s="1438"/>
      <c r="I611" s="1438"/>
      <c r="J611" s="1438"/>
      <c r="K611" s="1438"/>
      <c r="L611" s="1438"/>
      <c r="M611" s="1438"/>
      <c r="N611" s="1437" t="s">
        <v>748</v>
      </c>
      <c r="O611" s="1437"/>
      <c r="P611" s="1437"/>
      <c r="Q611" s="1437"/>
      <c r="R611" s="1437"/>
      <c r="S611" s="1437"/>
      <c r="T611" s="1437"/>
      <c r="U611" s="808"/>
      <c r="V611" s="809"/>
    </row>
    <row r="612" spans="1:32" ht="29.25" customHeight="1">
      <c r="A612" s="1439" t="s">
        <v>749</v>
      </c>
      <c r="B612" s="1440" t="s">
        <v>750</v>
      </c>
      <c r="C612" s="1440"/>
      <c r="D612" s="1440" t="s">
        <v>751</v>
      </c>
      <c r="E612" s="1441" t="s">
        <v>752</v>
      </c>
      <c r="F612" s="1442" t="s">
        <v>753</v>
      </c>
      <c r="G612" s="1442"/>
      <c r="H612" s="1442"/>
      <c r="I612" s="1442"/>
      <c r="J612" s="1442"/>
      <c r="K612" s="1442"/>
      <c r="L612" s="1442"/>
      <c r="M612" s="1442"/>
      <c r="N612" s="1442" t="s">
        <v>754</v>
      </c>
      <c r="O612" s="1442"/>
      <c r="P612" s="1442"/>
      <c r="Q612" s="1442"/>
      <c r="R612" s="1444" t="s">
        <v>755</v>
      </c>
      <c r="S612" s="1441" t="s">
        <v>756</v>
      </c>
      <c r="T612" s="1440" t="s">
        <v>104</v>
      </c>
      <c r="U612" s="810"/>
      <c r="V612" s="811"/>
    </row>
    <row r="613" spans="1:32" ht="42.75" customHeight="1">
      <c r="A613" s="1439"/>
      <c r="B613" s="1440"/>
      <c r="C613" s="1440"/>
      <c r="D613" s="1440"/>
      <c r="E613" s="1440"/>
      <c r="F613" s="812" t="s">
        <v>40</v>
      </c>
      <c r="G613" s="812" t="s">
        <v>757</v>
      </c>
      <c r="H613" s="813" t="s">
        <v>758</v>
      </c>
      <c r="I613" s="812" t="s">
        <v>43</v>
      </c>
      <c r="J613" s="812" t="s">
        <v>42</v>
      </c>
      <c r="K613" s="812" t="s">
        <v>759</v>
      </c>
      <c r="L613" s="812" t="s">
        <v>760</v>
      </c>
      <c r="M613" s="812" t="s">
        <v>761</v>
      </c>
      <c r="N613" s="814" t="s">
        <v>762</v>
      </c>
      <c r="O613" s="815" t="s">
        <v>772</v>
      </c>
      <c r="P613" s="816" t="s">
        <v>773</v>
      </c>
      <c r="Q613" s="817" t="s">
        <v>764</v>
      </c>
      <c r="R613" s="1444"/>
      <c r="S613" s="1441"/>
      <c r="T613" s="1441"/>
      <c r="U613" s="810"/>
      <c r="V613" s="811"/>
    </row>
    <row r="614" spans="1:32" ht="15" customHeight="1">
      <c r="A614" s="1435">
        <v>1</v>
      </c>
      <c r="B614" s="818">
        <f>W615</f>
        <v>0</v>
      </c>
      <c r="C614" s="819" t="s">
        <v>765</v>
      </c>
      <c r="D614" s="820"/>
      <c r="E614" s="821"/>
      <c r="F614" s="821">
        <f ca="1">F615 + (RAND() * 0.02 - 0.01)</f>
        <v>3.4242456700440353E-3</v>
      </c>
      <c r="G614" s="821">
        <f ca="1">G615 + (RAND() * 0.06 - 0.03)</f>
        <v>0.55404481581240517</v>
      </c>
      <c r="H614" s="822">
        <f ca="1">H615 + (RAND() * 0.006 - 0.003)</f>
        <v>2.8829146428341629E-3</v>
      </c>
      <c r="I614" s="822">
        <f ca="1">I615 + (RAND() * 0.006 - 0.003)</f>
        <v>-1.5176986501814938E-3</v>
      </c>
      <c r="J614" s="821">
        <f ca="1">J615 + (RAND() * 0.02 - 0.01)</f>
        <v>1.5346207950715819E-3</v>
      </c>
      <c r="K614" s="821"/>
      <c r="L614" s="822"/>
      <c r="M614" s="821"/>
      <c r="N614" s="823"/>
      <c r="O614" s="823"/>
      <c r="P614" s="823"/>
      <c r="Q614" s="823"/>
      <c r="R614" s="824"/>
      <c r="S614" s="821"/>
      <c r="T614" s="821"/>
      <c r="U614" s="825"/>
      <c r="V614" s="826"/>
      <c r="AE614" t="s">
        <v>767</v>
      </c>
    </row>
    <row r="615" spans="1:32" ht="15" customHeight="1">
      <c r="A615" s="1435"/>
      <c r="B615" s="827">
        <f>B614</f>
        <v>0</v>
      </c>
      <c r="C615" s="828" t="s">
        <v>768</v>
      </c>
      <c r="D615" s="829" t="str">
        <f>IF(AC615=130, "130 × 130", IF(AC615=160, "160 × 160", IF(AC615=110, "110 × 110", "Value not 130, 160, or 110")))</f>
        <v>Value not 130, 160, or 110</v>
      </c>
      <c r="E615" s="830">
        <f>AD615</f>
        <v>0</v>
      </c>
      <c r="F615" s="831">
        <f ca="1">IF(X615 &gt; 0.1, RAND() * (0.1 - 0.06) + 0.06, X615)</f>
        <v>0</v>
      </c>
      <c r="G615" s="831">
        <f ca="1">IF(Y615 &lt; 0.5, 0.5 + RAND() * 0.1, Y615)</f>
        <v>0.58303303296322406</v>
      </c>
      <c r="H615" s="830">
        <f ca="1">IF(AB615&gt;0.04, 0.029 + (0.039-0.029)*RAND(), AB615)</f>
        <v>0</v>
      </c>
      <c r="I615" s="830">
        <f ca="1">IF(AA615&gt;0.04, 0.029 + (0.039-0.029)*RAND(), AA615)</f>
        <v>0</v>
      </c>
      <c r="J615" s="831">
        <f ca="1">IF(Z615&gt;0.15, 0.11 + (0.15-0.11) * RAND(), Z615)</f>
        <v>0</v>
      </c>
      <c r="K615" s="830">
        <f ca="1">0.004 + (RAND() * (0.001 - 0.004))</f>
        <v>1.1882360390750024E-3</v>
      </c>
      <c r="L615" s="830">
        <f ca="1">H615+I615</f>
        <v>0</v>
      </c>
      <c r="M615" s="831">
        <f ca="1">(G615/6)+F615</f>
        <v>9.7172172160537348E-2</v>
      </c>
      <c r="N615" s="831">
        <f ca="1">2 + RAND()</f>
        <v>2.2937677939519352</v>
      </c>
      <c r="O615" s="831">
        <f ca="1">1 + RAND()</f>
        <v>1.1711313806808199</v>
      </c>
      <c r="P615" s="831">
        <f ca="1">2.98 + (RAND() * (3.03 - 2.98))</f>
        <v>3.0271036498554724</v>
      </c>
      <c r="Q615" s="832" t="str">
        <f ca="1">IF(D615="130 × 130", (130 + RANDBETWEEN(-1,1)) &amp; " × " &amp; (130 + RANDBETWEEN(-1,1)),
   IF(D615="160 × 160", (160 + RANDBETWEEN(-1,1)) &amp; " × " &amp; (160 + RANDBETWEEN(-1,1)),
   IF(D615="110 × 110", (110 + RANDBETWEEN(-1,1)) &amp; " × " &amp; (110 + RANDBETWEEN(-1,1)),
   "Value not matched")))</f>
        <v>Value not matched</v>
      </c>
      <c r="R615" s="833" t="s">
        <v>213</v>
      </c>
      <c r="S615" s="834" t="str">
        <f ca="1">IF(G615&lt;0.6, "IS 14650 CPS 10748/GR2", "IS 14650 CPS 10748/GR3")</f>
        <v>IS 14650 CPS 10748/GR2</v>
      </c>
      <c r="T615" s="831" t="s">
        <v>769</v>
      </c>
      <c r="U615" s="825"/>
      <c r="V615" s="835">
        <f>Prod.!A346</f>
        <v>0</v>
      </c>
      <c r="W615" s="206">
        <f>Prod.!B346</f>
        <v>0</v>
      </c>
      <c r="X615" s="469">
        <f>Prod.!C346</f>
        <v>0</v>
      </c>
      <c r="Y615" s="469">
        <f>Prod.!D346</f>
        <v>0</v>
      </c>
      <c r="Z615" s="469">
        <f>Prod.!E346</f>
        <v>0</v>
      </c>
      <c r="AA615" s="282">
        <f>Prod.!F346</f>
        <v>0</v>
      </c>
      <c r="AB615" s="282">
        <f>Prod.!G346</f>
        <v>0</v>
      </c>
      <c r="AC615" s="836">
        <f>Prod.!H346</f>
        <v>0</v>
      </c>
      <c r="AD615" s="282">
        <f>Prod.!AB346</f>
        <v>0</v>
      </c>
      <c r="AE615" s="282">
        <f>AD615-AF615</f>
        <v>0</v>
      </c>
      <c r="AF615" s="282">
        <f>Prod.!AA346</f>
        <v>0</v>
      </c>
    </row>
    <row r="616" spans="1:32" ht="15" customHeight="1">
      <c r="A616" s="1435">
        <v>2</v>
      </c>
      <c r="B616" s="818">
        <f>W617</f>
        <v>0</v>
      </c>
      <c r="C616" s="819" t="s">
        <v>765</v>
      </c>
      <c r="D616" s="822"/>
      <c r="E616" s="822"/>
      <c r="F616" s="821">
        <f ca="1">F617 + (RAND() * 0.02 - 0.01)</f>
        <v>6.3689171287432608E-5</v>
      </c>
      <c r="G616" s="821">
        <f ca="1">G617 + (RAND() * 0.06 - 0.03)</f>
        <v>0.57996016621186619</v>
      </c>
      <c r="H616" s="822">
        <f ca="1">H617 + (RAND() * 0.006 - 0.003)</f>
        <v>-6.3923629864974301E-4</v>
      </c>
      <c r="I616" s="822">
        <f ca="1">I617 + (RAND() * 0.006 - 0.003)</f>
        <v>1.7797528011468961E-4</v>
      </c>
      <c r="J616" s="821">
        <f ca="1">J617 + (RAND() * 0.02 - 0.01)</f>
        <v>-5.8647997500075461E-3</v>
      </c>
      <c r="K616" s="821"/>
      <c r="L616" s="822"/>
      <c r="M616" s="821"/>
      <c r="N616" s="823"/>
      <c r="O616" s="823"/>
      <c r="P616" s="823"/>
      <c r="Q616" s="823"/>
      <c r="R616" s="837"/>
      <c r="S616" s="821"/>
      <c r="T616" s="838"/>
      <c r="U616" s="825"/>
      <c r="V616" s="826"/>
    </row>
    <row r="617" spans="1:32" ht="15" customHeight="1">
      <c r="A617" s="1435"/>
      <c r="B617" s="827">
        <f>B616</f>
        <v>0</v>
      </c>
      <c r="C617" s="828" t="s">
        <v>768</v>
      </c>
      <c r="D617" s="829" t="str">
        <f>IF(AC617=130, "130 × 130", IF(AC617=160, "160 × 160", IF(AC617=110, "110 × 110", "Value not 130, 160, or 110")))</f>
        <v>Value not 130, 160, or 110</v>
      </c>
      <c r="E617" s="830">
        <f>AD617</f>
        <v>0</v>
      </c>
      <c r="F617" s="831">
        <f ca="1">IF(X617 &gt; 0.1, RAND() * (0.1 - 0.06) + 0.06, X617)</f>
        <v>0</v>
      </c>
      <c r="G617" s="831">
        <f ca="1">IF(Y617 &lt; 0.5, 0.5 + RAND() * 0.1, Y617)</f>
        <v>0.59046502274792889</v>
      </c>
      <c r="H617" s="830">
        <f ca="1">IF(AB617&gt;0.04, 0.029 + (0.039-0.029)*RAND(), AB617)</f>
        <v>0</v>
      </c>
      <c r="I617" s="830">
        <f ca="1">IF(AA617&gt;0.04, 0.029 + (0.039-0.029)*RAND(), AA617)</f>
        <v>0</v>
      </c>
      <c r="J617" s="831">
        <f ca="1">IF(Z617&gt;0.15, 0.11 + (0.15-0.11) * RAND(), Z617)</f>
        <v>0</v>
      </c>
      <c r="K617" s="830">
        <f ca="1">0.004 + (RAND() * (0.001 - 0.004))</f>
        <v>1.0501395458506449E-3</v>
      </c>
      <c r="L617" s="830">
        <f ca="1">H617+I617</f>
        <v>0</v>
      </c>
      <c r="M617" s="831">
        <f ca="1">(G617/6)+F617</f>
        <v>9.8410837124654815E-2</v>
      </c>
      <c r="N617" s="831">
        <f ca="1">2 + RAND()</f>
        <v>2.2978689346986636</v>
      </c>
      <c r="O617" s="831">
        <f ca="1">1 + RAND()</f>
        <v>1.3831303313564058</v>
      </c>
      <c r="P617" s="831">
        <f ca="1">2.98 + (RAND() * (3.03 - 2.98))</f>
        <v>3.012019118916037</v>
      </c>
      <c r="Q617" s="832" t="str">
        <f ca="1">IF(D617="130 × 130", (130 + RANDBETWEEN(-1,1)) &amp; " × " &amp; (130 + RANDBETWEEN(-1,1)),
   IF(D617="160 × 160", (160 + RANDBETWEEN(-1,1)) &amp; " × " &amp; (160 + RANDBETWEEN(-1,1)),
   IF(D617="110 × 110", (110 + RANDBETWEEN(-1,1)) &amp; " × " &amp; (110 + RANDBETWEEN(-1,1)),
   "Value not matched")))</f>
        <v>Value not matched</v>
      </c>
      <c r="R617" s="833" t="s">
        <v>213</v>
      </c>
      <c r="S617" s="834" t="str">
        <f ca="1">IF(G617&lt;0.6, "IS 14650 CPS 10748/GR2", "IS 14650 CPS 10748/GR3")</f>
        <v>IS 14650 CPS 10748/GR2</v>
      </c>
      <c r="T617" s="831" t="s">
        <v>769</v>
      </c>
      <c r="U617" s="825"/>
      <c r="V617" s="826"/>
      <c r="W617" s="206">
        <f>Prod.!B347</f>
        <v>0</v>
      </c>
      <c r="X617" s="469">
        <f>Prod.!C347</f>
        <v>0</v>
      </c>
      <c r="Y617" s="469">
        <f>Prod.!D347</f>
        <v>0</v>
      </c>
      <c r="Z617" s="469">
        <f>Prod.!E347</f>
        <v>0</v>
      </c>
      <c r="AA617" s="282">
        <f>Prod.!F347</f>
        <v>0</v>
      </c>
      <c r="AB617" s="282">
        <f>Prod.!G347</f>
        <v>0</v>
      </c>
      <c r="AC617" s="836">
        <f>Prod.!H347</f>
        <v>0</v>
      </c>
      <c r="AD617" s="282">
        <f>Prod.!AB347</f>
        <v>0</v>
      </c>
      <c r="AE617" s="282">
        <f>AD617-AF617</f>
        <v>0</v>
      </c>
      <c r="AF617" s="282">
        <f>Prod.!AA347</f>
        <v>0</v>
      </c>
    </row>
    <row r="618" spans="1:32" ht="15" customHeight="1">
      <c r="A618" s="1435">
        <v>3</v>
      </c>
      <c r="B618" s="818">
        <f>W619</f>
        <v>0</v>
      </c>
      <c r="C618" s="819" t="s">
        <v>765</v>
      </c>
      <c r="D618" s="822"/>
      <c r="E618" s="822"/>
      <c r="F618" s="821">
        <f ca="1">F619 + (RAND() * 0.02 - 0.01)</f>
        <v>9.7975160899649635E-3</v>
      </c>
      <c r="G618" s="821">
        <f ca="1">G619 + (RAND() * 0.06 - 0.03)</f>
        <v>0.56933618199831104</v>
      </c>
      <c r="H618" s="822">
        <f ca="1">H619 + (RAND() * 0.006 - 0.003)</f>
        <v>-1.5361067184571572E-3</v>
      </c>
      <c r="I618" s="822">
        <f ca="1">I619 + (RAND() * 0.006 - 0.003)</f>
        <v>-1.5872640228312669E-3</v>
      </c>
      <c r="J618" s="821">
        <f ca="1">J619 + (RAND() * 0.02 - 0.01)</f>
        <v>8.0792513380307223E-3</v>
      </c>
      <c r="K618" s="821"/>
      <c r="L618" s="822"/>
      <c r="M618" s="821"/>
      <c r="N618" s="823"/>
      <c r="O618" s="823"/>
      <c r="P618" s="823"/>
      <c r="Q618" s="823"/>
      <c r="R618" s="839"/>
      <c r="S618" s="821"/>
      <c r="T618" s="821"/>
      <c r="U618" s="825"/>
      <c r="V618" s="826"/>
    </row>
    <row r="619" spans="1:32" ht="15" customHeight="1">
      <c r="A619" s="1435"/>
      <c r="B619" s="827">
        <f>B618</f>
        <v>0</v>
      </c>
      <c r="C619" s="828" t="s">
        <v>768</v>
      </c>
      <c r="D619" s="829" t="str">
        <f>IF(AC619=130, "130 × 130", IF(AC619=160, "160 × 160", IF(AC619=110, "110 × 110", "Value not 130, 160, or 110")))</f>
        <v>Value not 130, 160, or 110</v>
      </c>
      <c r="E619" s="830">
        <f>AD619</f>
        <v>0</v>
      </c>
      <c r="F619" s="831">
        <f ca="1">IF(X619 &gt; 0.1, RAND() * (0.1 - 0.06) + 0.06, X619)</f>
        <v>0</v>
      </c>
      <c r="G619" s="831">
        <f ca="1">IF(Y619 &lt; 0.5, 0.5 + RAND() * 0.1, Y619)</f>
        <v>0.56533179900138109</v>
      </c>
      <c r="H619" s="830">
        <f ca="1">IF(AB619&gt;0.04, 0.029 + (0.039-0.029)*RAND(), AB619)</f>
        <v>0</v>
      </c>
      <c r="I619" s="830">
        <f ca="1">IF(AA619&gt;0.04, 0.029 + (0.039-0.029)*RAND(), AA619)</f>
        <v>0</v>
      </c>
      <c r="J619" s="831">
        <f ca="1">IF(Z619&gt;0.15, 0.11 + (0.15-0.11) * RAND(), Z619)</f>
        <v>0</v>
      </c>
      <c r="K619" s="830">
        <f ca="1">0.004 + (RAND() * (0.001 - 0.004))</f>
        <v>1.1250992083364983E-3</v>
      </c>
      <c r="L619" s="830">
        <f ca="1">H619+I619</f>
        <v>0</v>
      </c>
      <c r="M619" s="831">
        <f ca="1">(G619/6)+F619</f>
        <v>9.4221966500230181E-2</v>
      </c>
      <c r="N619" s="831">
        <f ca="1">2 + RAND()</f>
        <v>2.5279242472947465</v>
      </c>
      <c r="O619" s="831">
        <f ca="1">1 + RAND()</f>
        <v>1.8753238495194888</v>
      </c>
      <c r="P619" s="831">
        <f ca="1">2.98 + (RAND() * (3.03 - 2.98))</f>
        <v>3.0144751445937388</v>
      </c>
      <c r="Q619" s="832" t="str">
        <f ca="1">IF(D619="130 × 130", (130 + RANDBETWEEN(-1,1)) &amp; " × " &amp; (130 + RANDBETWEEN(-1,1)),
   IF(D619="160 × 160", (160 + RANDBETWEEN(-1,1)) &amp; " × " &amp; (160 + RANDBETWEEN(-1,1)),
   IF(D619="110 × 110", (110 + RANDBETWEEN(-1,1)) &amp; " × " &amp; (110 + RANDBETWEEN(-1,1)),
   "Value not matched")))</f>
        <v>Value not matched</v>
      </c>
      <c r="R619" s="833" t="s">
        <v>213</v>
      </c>
      <c r="S619" s="834" t="str">
        <f ca="1">IF(G619&lt;0.6, "IS 14650 CPS 10748/GR2", "IS 14650 CPS 10748/GR3")</f>
        <v>IS 14650 CPS 10748/GR2</v>
      </c>
      <c r="T619" s="831" t="s">
        <v>769</v>
      </c>
      <c r="U619" s="825"/>
      <c r="V619" s="826"/>
      <c r="W619" s="206">
        <f>Prod.!B348</f>
        <v>0</v>
      </c>
      <c r="X619" s="469">
        <f>Prod.!C348</f>
        <v>0</v>
      </c>
      <c r="Y619" s="469">
        <f>Prod.!D348</f>
        <v>0</v>
      </c>
      <c r="Z619" s="469">
        <f>Prod.!E348</f>
        <v>0</v>
      </c>
      <c r="AA619" s="282">
        <f>Prod.!F348</f>
        <v>0</v>
      </c>
      <c r="AB619" s="282">
        <f>Prod.!G348</f>
        <v>0</v>
      </c>
      <c r="AC619" s="836">
        <f>Prod.!H348</f>
        <v>0</v>
      </c>
      <c r="AD619" s="282">
        <f>Prod.!AB348</f>
        <v>0</v>
      </c>
      <c r="AE619" s="282">
        <f>AD619-AF619</f>
        <v>0</v>
      </c>
      <c r="AF619" s="282">
        <f>Prod.!AA348</f>
        <v>0</v>
      </c>
    </row>
    <row r="620" spans="1:32" ht="15" customHeight="1">
      <c r="A620" s="1435">
        <v>4</v>
      </c>
      <c r="B620" s="818">
        <f>W621</f>
        <v>0</v>
      </c>
      <c r="C620" s="819" t="s">
        <v>765</v>
      </c>
      <c r="D620" s="822"/>
      <c r="E620" s="822"/>
      <c r="F620" s="821">
        <f ca="1">F621 + (RAND() * 0.02 - 0.01)</f>
        <v>2.5324897740289214E-3</v>
      </c>
      <c r="G620" s="821">
        <f ca="1">G621 + (RAND() * 0.06 - 0.03)</f>
        <v>0.57366665170384279</v>
      </c>
      <c r="H620" s="822">
        <f ca="1">H621 + (RAND() * 0.006 - 0.003)</f>
        <v>-1.3628453433686156E-3</v>
      </c>
      <c r="I620" s="822">
        <f ca="1">I621 + (RAND() * 0.006 - 0.003)</f>
        <v>-1.8277038680183755E-3</v>
      </c>
      <c r="J620" s="821">
        <f ca="1">J621 + (RAND() * 0.02 - 0.01)</f>
        <v>-9.1875083777470841E-3</v>
      </c>
      <c r="K620" s="821"/>
      <c r="L620" s="822"/>
      <c r="M620" s="821"/>
      <c r="N620" s="823"/>
      <c r="O620" s="823"/>
      <c r="P620" s="823"/>
      <c r="Q620" s="823"/>
      <c r="R620" s="839"/>
      <c r="S620" s="821"/>
      <c r="T620" s="821"/>
      <c r="U620" s="825"/>
      <c r="V620" s="826"/>
    </row>
    <row r="621" spans="1:32" ht="15" customHeight="1">
      <c r="A621" s="1435"/>
      <c r="B621" s="827">
        <f>B620</f>
        <v>0</v>
      </c>
      <c r="C621" s="828" t="s">
        <v>768</v>
      </c>
      <c r="D621" s="829" t="str">
        <f>IF(AC621=130, "130 × 130", IF(AC621=160, "160 × 160", IF(AC621=110, "110 × 110", "Value not 130, 160, or 110")))</f>
        <v>Value not 130, 160, or 110</v>
      </c>
      <c r="E621" s="830">
        <f>AD621</f>
        <v>0</v>
      </c>
      <c r="F621" s="831">
        <f ca="1">IF(X621 &gt; 0.1, RAND() * (0.1 - 0.06) + 0.06, X621)</f>
        <v>0</v>
      </c>
      <c r="G621" s="831">
        <f ca="1">IF(Y621 &lt; 0.5, 0.5 + RAND() * 0.1, Y621)</f>
        <v>0.59942390868179429</v>
      </c>
      <c r="H621" s="830">
        <f ca="1">IF(AB621&gt;0.04, 0.029 + (0.039-0.029)*RAND(), AB621)</f>
        <v>0</v>
      </c>
      <c r="I621" s="830">
        <f ca="1">IF(AA621&gt;0.04, 0.029 + (0.039-0.029)*RAND(), AA621)</f>
        <v>0</v>
      </c>
      <c r="J621" s="831">
        <f ca="1">IF(Z621&gt;0.15, 0.11 + (0.15-0.11) * RAND(), Z621)</f>
        <v>0</v>
      </c>
      <c r="K621" s="830">
        <f ca="1">0.004 + (RAND() * (0.001 - 0.004))</f>
        <v>3.0458695659342505E-3</v>
      </c>
      <c r="L621" s="830">
        <f ca="1">H621+I621</f>
        <v>0</v>
      </c>
      <c r="M621" s="831">
        <f ca="1">(G621/6)+F621</f>
        <v>9.9903984780299049E-2</v>
      </c>
      <c r="N621" s="831">
        <f ca="1">2 + RAND()</f>
        <v>2.4362805885536223</v>
      </c>
      <c r="O621" s="831">
        <f ca="1">1 + RAND()</f>
        <v>1.6346848037365751</v>
      </c>
      <c r="P621" s="831">
        <f ca="1">2.98 + (RAND() * (3.03 - 2.98))</f>
        <v>3.0144549174452226</v>
      </c>
      <c r="Q621" s="832" t="str">
        <f ca="1">IF(D621="130 × 130", (130 + RANDBETWEEN(-1,1)) &amp; " × " &amp; (130 + RANDBETWEEN(-1,1)),
   IF(D621="160 × 160", (160 + RANDBETWEEN(-1,1)) &amp; " × " &amp; (160 + RANDBETWEEN(-1,1)),
   IF(D621="110 × 110", (110 + RANDBETWEEN(-1,1)) &amp; " × " &amp; (110 + RANDBETWEEN(-1,1)),
   "Value not matched")))</f>
        <v>Value not matched</v>
      </c>
      <c r="R621" s="833" t="s">
        <v>213</v>
      </c>
      <c r="S621" s="834" t="str">
        <f ca="1">IF(G621&lt;0.6, "IS 14650 CPS 10748/GR2", "IS 14650 CPS 10748/GR3")</f>
        <v>IS 14650 CPS 10748/GR2</v>
      </c>
      <c r="T621" s="831" t="s">
        <v>769</v>
      </c>
      <c r="U621" s="825"/>
      <c r="V621" s="826"/>
      <c r="W621" s="206">
        <f>Prod.!B349</f>
        <v>0</v>
      </c>
      <c r="X621" s="469">
        <f>Prod.!C349</f>
        <v>0</v>
      </c>
      <c r="Y621" s="469">
        <f>Prod.!D349</f>
        <v>0</v>
      </c>
      <c r="Z621" s="469">
        <f>Prod.!E349</f>
        <v>0</v>
      </c>
      <c r="AA621" s="282">
        <f>Prod.!F349</f>
        <v>0</v>
      </c>
      <c r="AB621" s="282">
        <f>Prod.!G349</f>
        <v>0</v>
      </c>
      <c r="AC621" s="836">
        <f>Prod.!H349</f>
        <v>0</v>
      </c>
      <c r="AD621" s="282">
        <f>Prod.!AB349</f>
        <v>0</v>
      </c>
      <c r="AE621" s="282">
        <f>AD621-AF621</f>
        <v>0</v>
      </c>
      <c r="AF621" s="282">
        <f>Prod.!AA349</f>
        <v>0</v>
      </c>
    </row>
    <row r="622" spans="1:32" ht="15" customHeight="1">
      <c r="A622" s="1435">
        <v>5</v>
      </c>
      <c r="B622" s="818">
        <f>W623</f>
        <v>0</v>
      </c>
      <c r="C622" s="819" t="s">
        <v>765</v>
      </c>
      <c r="D622" s="822"/>
      <c r="E622" s="822"/>
      <c r="F622" s="821">
        <f ca="1">F623 + (RAND() * 0.02 - 0.01)</f>
        <v>2.9494407703420794E-3</v>
      </c>
      <c r="G622" s="821">
        <f ca="1">G623 + (RAND() * 0.06 - 0.03)</f>
        <v>0.57474782410249292</v>
      </c>
      <c r="H622" s="822">
        <f ca="1">H623 + (RAND() * 0.006 - 0.003)</f>
        <v>-1.2406213967534076E-3</v>
      </c>
      <c r="I622" s="822">
        <f ca="1">I623 + (RAND() * 0.006 - 0.003)</f>
        <v>-2.6902207428601975E-3</v>
      </c>
      <c r="J622" s="821">
        <f ca="1">J623 + (RAND() * 0.02 - 0.01)</f>
        <v>-1.0301992893541039E-3</v>
      </c>
      <c r="K622" s="821"/>
      <c r="L622" s="822"/>
      <c r="M622" s="821"/>
      <c r="N622" s="823"/>
      <c r="O622" s="823"/>
      <c r="P622" s="823"/>
      <c r="Q622" s="823"/>
      <c r="R622" s="839"/>
      <c r="S622" s="821"/>
      <c r="T622" s="821"/>
      <c r="U622" s="825"/>
      <c r="V622" s="826"/>
    </row>
    <row r="623" spans="1:32" ht="15" customHeight="1">
      <c r="A623" s="1435"/>
      <c r="B623" s="827">
        <f>B622</f>
        <v>0</v>
      </c>
      <c r="C623" s="828" t="s">
        <v>768</v>
      </c>
      <c r="D623" s="829" t="str">
        <f>IF(AC623=130, "130 × 130", IF(AC623=160, "160 × 160", IF(AC623=110, "110 × 110", "Value not 130, 160, or 110")))</f>
        <v>Value not 130, 160, or 110</v>
      </c>
      <c r="E623" s="830">
        <f>AD623</f>
        <v>0</v>
      </c>
      <c r="F623" s="831">
        <f ca="1">IF(X623 &gt; 0.1, RAND() * (0.1 - 0.06) + 0.06, X623)</f>
        <v>0</v>
      </c>
      <c r="G623" s="831">
        <f ca="1">IF(Y623 &lt; 0.5, 0.5 + RAND() * 0.1, Y623)</f>
        <v>0.54696476850740838</v>
      </c>
      <c r="H623" s="830">
        <f ca="1">IF(AB623&gt;0.04, 0.029 + (0.039-0.029)*RAND(), AB623)</f>
        <v>0</v>
      </c>
      <c r="I623" s="830">
        <f ca="1">IF(AA623&gt;0.04, 0.029 + (0.039-0.029)*RAND(), AA623)</f>
        <v>0</v>
      </c>
      <c r="J623" s="831">
        <f ca="1">IF(Z623&gt;0.15, 0.11 + (0.15-0.11) * RAND(), Z623)</f>
        <v>0</v>
      </c>
      <c r="K623" s="830">
        <f ca="1">0.004 + (RAND() * (0.001 - 0.004))</f>
        <v>1.0725781619648589E-3</v>
      </c>
      <c r="L623" s="830">
        <f ca="1">H623+I623</f>
        <v>0</v>
      </c>
      <c r="M623" s="831">
        <f ca="1">(G623/6)+F623</f>
        <v>9.1160794751234731E-2</v>
      </c>
      <c r="N623" s="831">
        <f ca="1">2 + RAND()</f>
        <v>2.9466999888097543</v>
      </c>
      <c r="O623" s="831">
        <f ca="1">1 + RAND()</f>
        <v>1.2081410301416868</v>
      </c>
      <c r="P623" s="831">
        <f ca="1">2.98 + (RAND() * (3.03 - 2.98))</f>
        <v>2.9958103682931871</v>
      </c>
      <c r="Q623" s="832" t="str">
        <f ca="1">IF(D623="130 × 130", (130 + RANDBETWEEN(-1,1)) &amp; " × " &amp; (130 + RANDBETWEEN(-1,1)),
   IF(D623="160 × 160", (160 + RANDBETWEEN(-1,1)) &amp; " × " &amp; (160 + RANDBETWEEN(-1,1)),
   IF(D623="110 × 110", (110 + RANDBETWEEN(-1,1)) &amp; " × " &amp; (110 + RANDBETWEEN(-1,1)),
   "Value not matched")))</f>
        <v>Value not matched</v>
      </c>
      <c r="R623" s="833" t="s">
        <v>213</v>
      </c>
      <c r="S623" s="834" t="str">
        <f ca="1">IF(G623&lt;0.6, "IS 14650 CPS 10748/GR2", "IS 14650 CPS 10748/GR3")</f>
        <v>IS 14650 CPS 10748/GR2</v>
      </c>
      <c r="T623" s="831" t="s">
        <v>769</v>
      </c>
      <c r="U623" s="825"/>
      <c r="V623" s="826"/>
      <c r="W623" s="206">
        <f>Prod.!B350</f>
        <v>0</v>
      </c>
      <c r="X623" s="469">
        <f>Prod.!C350</f>
        <v>0</v>
      </c>
      <c r="Y623" s="469">
        <f>Prod.!D350</f>
        <v>0</v>
      </c>
      <c r="Z623" s="469">
        <f>Prod.!E350</f>
        <v>0</v>
      </c>
      <c r="AA623" s="282">
        <f>Prod.!F350</f>
        <v>0</v>
      </c>
      <c r="AB623" s="282">
        <f>Prod.!G350</f>
        <v>0</v>
      </c>
      <c r="AC623" s="836">
        <f>Prod.!H350</f>
        <v>0</v>
      </c>
      <c r="AD623" s="282">
        <f>Prod.!AB350</f>
        <v>0</v>
      </c>
      <c r="AE623" s="282">
        <f>AD623-AF623</f>
        <v>0</v>
      </c>
      <c r="AF623" s="282">
        <f>Prod.!AA350</f>
        <v>0</v>
      </c>
    </row>
    <row r="624" spans="1:32" ht="15" customHeight="1">
      <c r="A624" s="1435">
        <v>6</v>
      </c>
      <c r="B624" s="818">
        <f>W625</f>
        <v>0</v>
      </c>
      <c r="C624" s="819" t="s">
        <v>765</v>
      </c>
      <c r="D624" s="822"/>
      <c r="E624" s="822"/>
      <c r="F624" s="821">
        <f ca="1">F625 + (RAND() * 0.02 - 0.01)</f>
        <v>-8.8413146436390685E-3</v>
      </c>
      <c r="G624" s="821">
        <f ca="1">G625 + (RAND() * 0.06 - 0.03)</f>
        <v>0.49687863428012519</v>
      </c>
      <c r="H624" s="822">
        <f ca="1">H625 + (RAND() * 0.006 - 0.003)</f>
        <v>-2.4630556481482352E-3</v>
      </c>
      <c r="I624" s="822">
        <f ca="1">I625 + (RAND() * 0.006 - 0.003)</f>
        <v>-6.2164120398861466E-4</v>
      </c>
      <c r="J624" s="821">
        <f ca="1">J625 + (RAND() * 0.02 - 0.01)</f>
        <v>8.702754285428797E-3</v>
      </c>
      <c r="K624" s="821"/>
      <c r="L624" s="822"/>
      <c r="M624" s="821"/>
      <c r="N624" s="823"/>
      <c r="O624" s="823"/>
      <c r="P624" s="823"/>
      <c r="Q624" s="823"/>
      <c r="R624" s="839"/>
      <c r="S624" s="821"/>
      <c r="T624" s="821"/>
      <c r="U624" s="825"/>
      <c r="V624" s="826"/>
    </row>
    <row r="625" spans="1:32" ht="15" customHeight="1">
      <c r="A625" s="1435"/>
      <c r="B625" s="827">
        <f>B624</f>
        <v>0</v>
      </c>
      <c r="C625" s="828" t="s">
        <v>768</v>
      </c>
      <c r="D625" s="829" t="str">
        <f>IF(AC625=130, "130 × 130", IF(AC625=160, "160 × 160", IF(AC625=110, "110 × 110", "Value not 130, 160, or 110")))</f>
        <v>Value not 130, 160, or 110</v>
      </c>
      <c r="E625" s="830">
        <f>AD625</f>
        <v>0</v>
      </c>
      <c r="F625" s="831">
        <f ca="1">IF(X625 &gt; 0.1, RAND() * (0.1 - 0.06) + 0.06, X625)</f>
        <v>0</v>
      </c>
      <c r="G625" s="831">
        <f ca="1">IF(Y625 &lt; 0.5, 0.5 + RAND() * 0.1, Y625)</f>
        <v>0.5178539620189383</v>
      </c>
      <c r="H625" s="830">
        <f ca="1">IF(AB625&gt;0.04, 0.029 + (0.039-0.029)*RAND(), AB625)</f>
        <v>0</v>
      </c>
      <c r="I625" s="830">
        <f ca="1">IF(AA625&gt;0.04, 0.029 + (0.039-0.029)*RAND(), AA625)</f>
        <v>0</v>
      </c>
      <c r="J625" s="831">
        <f ca="1">IF(Z625&gt;0.15, 0.11 + (0.15-0.11) * RAND(), Z625)</f>
        <v>0</v>
      </c>
      <c r="K625" s="830">
        <f ca="1">0.004 + (RAND() * (0.001 - 0.004))</f>
        <v>2.9730752324380241E-3</v>
      </c>
      <c r="L625" s="830">
        <f ca="1">H625+I625</f>
        <v>0</v>
      </c>
      <c r="M625" s="831">
        <f ca="1">(G625/6)+F625</f>
        <v>8.6308993669823045E-2</v>
      </c>
      <c r="N625" s="831">
        <f ca="1">2 + RAND()</f>
        <v>2.6535275045466733</v>
      </c>
      <c r="O625" s="831">
        <f ca="1">1 + RAND()</f>
        <v>1.8736154474348368</v>
      </c>
      <c r="P625" s="831">
        <f ca="1">2.98 + (RAND() * (3.03 - 2.98))</f>
        <v>3.0230527996369103</v>
      </c>
      <c r="Q625" s="832" t="str">
        <f ca="1">IF(D625="130 × 130", (130 + RANDBETWEEN(-1,1)) &amp; " × " &amp; (130 + RANDBETWEEN(-1,1)),
   IF(D625="160 × 160", (160 + RANDBETWEEN(-1,1)) &amp; " × " &amp; (160 + RANDBETWEEN(-1,1)),
   IF(D625="110 × 110", (110 + RANDBETWEEN(-1,1)) &amp; " × " &amp; (110 + RANDBETWEEN(-1,1)),
   "Value not matched")))</f>
        <v>Value not matched</v>
      </c>
      <c r="R625" s="833" t="s">
        <v>213</v>
      </c>
      <c r="S625" s="834" t="str">
        <f ca="1">IF(G625&lt;0.6, "IS 14650 CPS 10748/GR2", "IS 14650 CPS 10748/GR3")</f>
        <v>IS 14650 CPS 10748/GR2</v>
      </c>
      <c r="T625" s="831" t="s">
        <v>769</v>
      </c>
      <c r="U625" s="825"/>
      <c r="V625" s="826"/>
      <c r="W625" s="206">
        <f>Prod.!B351</f>
        <v>0</v>
      </c>
      <c r="X625" s="469">
        <f>Prod.!C351</f>
        <v>0</v>
      </c>
      <c r="Y625" s="469">
        <f>Prod.!D351</f>
        <v>0</v>
      </c>
      <c r="Z625" s="469">
        <f>Prod.!E351</f>
        <v>0</v>
      </c>
      <c r="AA625" s="282">
        <f>Prod.!F351</f>
        <v>0</v>
      </c>
      <c r="AB625" s="282">
        <f>Prod.!G351</f>
        <v>0</v>
      </c>
      <c r="AC625" s="836">
        <f>Prod.!H351</f>
        <v>0</v>
      </c>
      <c r="AD625" s="282">
        <f>Prod.!AB351</f>
        <v>0</v>
      </c>
      <c r="AE625" s="282">
        <f>AD625-AF625</f>
        <v>0</v>
      </c>
      <c r="AF625" s="282">
        <f>Prod.!AA351</f>
        <v>0</v>
      </c>
    </row>
    <row r="626" spans="1:32" ht="15" customHeight="1">
      <c r="A626" s="1435">
        <v>7</v>
      </c>
      <c r="B626" s="818">
        <f>W627</f>
        <v>0</v>
      </c>
      <c r="C626" s="819" t="s">
        <v>765</v>
      </c>
      <c r="D626" s="822"/>
      <c r="E626" s="822"/>
      <c r="F626" s="821">
        <f ca="1">F627 + (RAND() * 0.02 - 0.01)</f>
        <v>7.1653143486997851E-3</v>
      </c>
      <c r="G626" s="821">
        <f ca="1">G627 + (RAND() * 0.06 - 0.03)</f>
        <v>0.51634828738374572</v>
      </c>
      <c r="H626" s="822">
        <f ca="1">H627 + (RAND() * 0.006 - 0.003)</f>
        <v>2.741704506552871E-3</v>
      </c>
      <c r="I626" s="822">
        <f ca="1">I627 + (RAND() * 0.006 - 0.003)</f>
        <v>4.7022055709035207E-4</v>
      </c>
      <c r="J626" s="821">
        <f ca="1">J627 + (RAND() * 0.02 - 0.01)</f>
        <v>4.2068873779183263E-3</v>
      </c>
      <c r="K626" s="821"/>
      <c r="L626" s="822"/>
      <c r="M626" s="821"/>
      <c r="N626" s="823"/>
      <c r="O626" s="823"/>
      <c r="P626" s="823"/>
      <c r="Q626" s="823"/>
      <c r="R626" s="839"/>
      <c r="S626" s="821"/>
      <c r="T626" s="821"/>
      <c r="U626" s="825"/>
      <c r="V626" s="826"/>
    </row>
    <row r="627" spans="1:32" ht="15" customHeight="1">
      <c r="A627" s="1435"/>
      <c r="B627" s="827">
        <f>B626</f>
        <v>0</v>
      </c>
      <c r="C627" s="828" t="s">
        <v>768</v>
      </c>
      <c r="D627" s="829" t="str">
        <f>IF(AC627=130, "130 × 130", IF(AC627=160, "160 × 160", IF(AC627=110, "110 × 110", "Value not 130, 160, or 110")))</f>
        <v>Value not 130, 160, or 110</v>
      </c>
      <c r="E627" s="830">
        <f>AD627</f>
        <v>0</v>
      </c>
      <c r="F627" s="831">
        <f ca="1">IF(X627 &gt; 0.1, RAND() * (0.1 - 0.06) + 0.06, X627)</f>
        <v>0</v>
      </c>
      <c r="G627" s="831">
        <f ca="1">IF(Y627 &lt; 0.5, 0.5 + RAND() * 0.1, Y627)</f>
        <v>0.51547805131885804</v>
      </c>
      <c r="H627" s="830">
        <f ca="1">IF(AB627&gt;0.04, 0.029 + (0.039-0.029)*RAND(), AB627)</f>
        <v>0</v>
      </c>
      <c r="I627" s="830">
        <f ca="1">IF(AA627&gt;0.04, 0.029 + (0.039-0.029)*RAND(), AA627)</f>
        <v>0</v>
      </c>
      <c r="J627" s="831">
        <f ca="1">IF(Z627&gt;0.15, 0.11 + (0.15-0.11) * RAND(), Z627)</f>
        <v>0</v>
      </c>
      <c r="K627" s="830">
        <f ca="1">0.004 + (RAND() * (0.001 - 0.004))</f>
        <v>1.1168862305108648E-3</v>
      </c>
      <c r="L627" s="830">
        <f ca="1">H627+I627</f>
        <v>0</v>
      </c>
      <c r="M627" s="831">
        <f ca="1">(G627/6)+F627</f>
        <v>8.5913008553143003E-2</v>
      </c>
      <c r="N627" s="831">
        <f ca="1">2 + RAND()</f>
        <v>2.5134760107292675</v>
      </c>
      <c r="O627" s="831">
        <f ca="1">1 + RAND()</f>
        <v>1.7618784591109451</v>
      </c>
      <c r="P627" s="831">
        <f ca="1">2.98 + (RAND() * (3.03 - 2.98))</f>
        <v>2.9858138789773667</v>
      </c>
      <c r="Q627" s="832" t="str">
        <f ca="1">IF(D627="130 × 130", (130 + RANDBETWEEN(-1,1)) &amp; " × " &amp; (130 + RANDBETWEEN(-1,1)),
   IF(D627="160 × 160", (160 + RANDBETWEEN(-1,1)) &amp; " × " &amp; (160 + RANDBETWEEN(-1,1)),
   IF(D627="110 × 110", (110 + RANDBETWEEN(-1,1)) &amp; " × " &amp; (110 + RANDBETWEEN(-1,1)),
   "Value not matched")))</f>
        <v>Value not matched</v>
      </c>
      <c r="R627" s="833" t="s">
        <v>213</v>
      </c>
      <c r="S627" s="834" t="str">
        <f ca="1">IF(G627&lt;0.6, "IS 14650 CPS 10748/GR2", "IS 14650 CPS 10748/GR3")</f>
        <v>IS 14650 CPS 10748/GR2</v>
      </c>
      <c r="T627" s="831" t="s">
        <v>769</v>
      </c>
      <c r="U627" s="825"/>
      <c r="V627" s="826"/>
      <c r="W627" s="206">
        <f>Prod.!B352</f>
        <v>0</v>
      </c>
      <c r="X627" s="469">
        <f>Prod.!C352</f>
        <v>0</v>
      </c>
      <c r="Y627" s="469">
        <f>Prod.!D352</f>
        <v>0</v>
      </c>
      <c r="Z627" s="469">
        <f>Prod.!E352</f>
        <v>0</v>
      </c>
      <c r="AA627" s="282">
        <f>Prod.!F352</f>
        <v>0</v>
      </c>
      <c r="AB627" s="282">
        <f>Prod.!G352</f>
        <v>0</v>
      </c>
      <c r="AC627" s="836">
        <f>Prod.!H352</f>
        <v>0</v>
      </c>
      <c r="AD627" s="282">
        <f>Prod.!AB352</f>
        <v>0</v>
      </c>
      <c r="AE627" s="282">
        <f>AD627-AF627</f>
        <v>0</v>
      </c>
      <c r="AF627" s="282">
        <f>Prod.!AA352</f>
        <v>0</v>
      </c>
    </row>
    <row r="628" spans="1:32" ht="15" customHeight="1">
      <c r="A628" s="1435">
        <v>8</v>
      </c>
      <c r="B628" s="818">
        <f>W629</f>
        <v>0</v>
      </c>
      <c r="C628" s="819" t="s">
        <v>765</v>
      </c>
      <c r="D628" s="822"/>
      <c r="E628" s="822"/>
      <c r="F628" s="821">
        <f ca="1">F629 + (RAND() * 0.02 - 0.01)</f>
        <v>-7.7122504635351481E-3</v>
      </c>
      <c r="G628" s="821">
        <f ca="1">G629 + (RAND() * 0.06 - 0.03)</f>
        <v>0.56524643942626995</v>
      </c>
      <c r="H628" s="822">
        <f ca="1">H629 + (RAND() * 0.006 - 0.003)</f>
        <v>-7.1941267984668156E-4</v>
      </c>
      <c r="I628" s="822">
        <f ca="1">I629 + (RAND() * 0.006 - 0.003)</f>
        <v>1.6044782407657471E-3</v>
      </c>
      <c r="J628" s="821">
        <f ca="1">J629 + (RAND() * 0.02 - 0.01)</f>
        <v>-1.6698869807316684E-4</v>
      </c>
      <c r="K628" s="821"/>
      <c r="L628" s="822"/>
      <c r="M628" s="821"/>
      <c r="N628" s="823"/>
      <c r="O628" s="823"/>
      <c r="P628" s="823"/>
      <c r="Q628" s="823"/>
      <c r="R628" s="839"/>
      <c r="S628" s="821"/>
      <c r="T628" s="821"/>
      <c r="U628" s="825"/>
      <c r="V628" s="826"/>
    </row>
    <row r="629" spans="1:32" ht="15" customHeight="1">
      <c r="A629" s="1435"/>
      <c r="B629" s="827">
        <f>B628</f>
        <v>0</v>
      </c>
      <c r="C629" s="828" t="s">
        <v>768</v>
      </c>
      <c r="D629" s="829" t="str">
        <f>IF(AC629=130, "130 × 130", IF(AC629=160, "160 × 160", IF(AC629=110, "110 × 110", "Value not 130, 160, or 110")))</f>
        <v>Value not 130, 160, or 110</v>
      </c>
      <c r="E629" s="830">
        <f>AD629</f>
        <v>0</v>
      </c>
      <c r="F629" s="831">
        <f ca="1">IF(X629 &gt; 0.1, RAND() * (0.1 - 0.06) + 0.06, X629)</f>
        <v>0</v>
      </c>
      <c r="G629" s="831">
        <f ca="1">IF(Y629 &lt; 0.5, 0.5 + RAND() * 0.1, Y629)</f>
        <v>0.57264226373247118</v>
      </c>
      <c r="H629" s="830">
        <f ca="1">IF(AB629&gt;0.04, 0.029 + (0.039-0.029)*RAND(), AB629)</f>
        <v>0</v>
      </c>
      <c r="I629" s="830">
        <f ca="1">IF(AA629&gt;0.04, 0.029 + (0.039-0.029)*RAND(), AA629)</f>
        <v>0</v>
      </c>
      <c r="J629" s="831">
        <f ca="1">IF(Z629&gt;0.15, 0.11 + (0.15-0.11) * RAND(), Z629)</f>
        <v>0</v>
      </c>
      <c r="K629" s="830">
        <f ca="1">0.004 + (RAND() * (0.001 - 0.004))</f>
        <v>1.2558529279856822E-3</v>
      </c>
      <c r="L629" s="830">
        <f ca="1">H629+I629</f>
        <v>0</v>
      </c>
      <c r="M629" s="831">
        <f ca="1">(G629/6)+F629</f>
        <v>9.5440377288745201E-2</v>
      </c>
      <c r="N629" s="831">
        <f ca="1">2 + RAND()</f>
        <v>2.5263880782705472</v>
      </c>
      <c r="O629" s="831">
        <f ca="1">1 + RAND()</f>
        <v>1.0089520803731458</v>
      </c>
      <c r="P629" s="831">
        <f ca="1">2.98 + (RAND() * (3.03 - 2.98))</f>
        <v>3.0023182182718293</v>
      </c>
      <c r="Q629" s="832" t="str">
        <f ca="1">IF(D629="130 × 130", (130 + RANDBETWEEN(-1,1)) &amp; " × " &amp; (130 + RANDBETWEEN(-1,1)),
   IF(D629="160 × 160", (160 + RANDBETWEEN(-1,1)) &amp; " × " &amp; (160 + RANDBETWEEN(-1,1)),
   IF(D629="110 × 110", (110 + RANDBETWEEN(-1,1)) &amp; " × " &amp; (110 + RANDBETWEEN(-1,1)),
   "Value not matched")))</f>
        <v>Value not matched</v>
      </c>
      <c r="R629" s="833" t="s">
        <v>213</v>
      </c>
      <c r="S629" s="834" t="str">
        <f ca="1">IF(G629&lt;0.6, "IS 14650 CPS 10748/GR2", "IS 14650 CPS 10748/GR3")</f>
        <v>IS 14650 CPS 10748/GR2</v>
      </c>
      <c r="T629" s="831" t="s">
        <v>769</v>
      </c>
      <c r="U629" s="825"/>
      <c r="V629" s="826"/>
      <c r="W629" s="206">
        <f>Prod.!B353</f>
        <v>0</v>
      </c>
      <c r="X629" s="469">
        <f>Prod.!C353</f>
        <v>0</v>
      </c>
      <c r="Y629" s="469">
        <f>Prod.!D353</f>
        <v>0</v>
      </c>
      <c r="Z629" s="469">
        <f>Prod.!E353</f>
        <v>0</v>
      </c>
      <c r="AA629" s="282">
        <f>Prod.!F353</f>
        <v>0</v>
      </c>
      <c r="AB629" s="282">
        <f>Prod.!G353</f>
        <v>0</v>
      </c>
      <c r="AC629" s="836">
        <f>Prod.!H353</f>
        <v>0</v>
      </c>
      <c r="AD629" s="282">
        <f>Prod.!AB353</f>
        <v>0</v>
      </c>
      <c r="AE629" s="282">
        <f>AD629-AF629</f>
        <v>0</v>
      </c>
      <c r="AF629" s="282">
        <f>Prod.!AA353</f>
        <v>0</v>
      </c>
    </row>
    <row r="630" spans="1:32" ht="15" customHeight="1">
      <c r="A630" s="1435">
        <v>9</v>
      </c>
      <c r="B630" s="818">
        <f>W631</f>
        <v>0</v>
      </c>
      <c r="C630" s="819" t="s">
        <v>765</v>
      </c>
      <c r="D630" s="822"/>
      <c r="E630" s="822"/>
      <c r="F630" s="821">
        <f ca="1">F631 + (RAND() * 0.02 - 0.01)</f>
        <v>-9.4889797076060847E-3</v>
      </c>
      <c r="G630" s="821">
        <f ca="1">G631 + (RAND() * 0.06 - 0.03)</f>
        <v>0.52771624599366151</v>
      </c>
      <c r="H630" s="822">
        <f ca="1">H631 + (RAND() * 0.006 - 0.003)</f>
        <v>-1.5783707927752521E-3</v>
      </c>
      <c r="I630" s="822">
        <f ca="1">I631 + (RAND() * 0.006 - 0.003)</f>
        <v>-9.2474961238938865E-4</v>
      </c>
      <c r="J630" s="821">
        <f ca="1">J631 + (RAND() * 0.02 - 0.01)</f>
        <v>-9.4268128725925517E-3</v>
      </c>
      <c r="K630" s="821"/>
      <c r="L630" s="822"/>
      <c r="M630" s="821"/>
      <c r="N630" s="823"/>
      <c r="O630" s="823"/>
      <c r="P630" s="823"/>
      <c r="Q630" s="823"/>
      <c r="R630" s="839"/>
      <c r="S630" s="821"/>
      <c r="T630" s="821"/>
      <c r="U630" s="825"/>
      <c r="V630" s="826"/>
    </row>
    <row r="631" spans="1:32" ht="15" customHeight="1">
      <c r="A631" s="1435"/>
      <c r="B631" s="827">
        <f>B630</f>
        <v>0</v>
      </c>
      <c r="C631" s="828" t="s">
        <v>768</v>
      </c>
      <c r="D631" s="829" t="str">
        <f>IF(AC631=130, "130 × 130", IF(AC631=160, "160 × 160", IF(AC631=110, "110 × 110", "Value not 130, 160, or 110")))</f>
        <v>Value not 130, 160, or 110</v>
      </c>
      <c r="E631" s="830">
        <f>AD631</f>
        <v>0</v>
      </c>
      <c r="F631" s="831">
        <f ca="1">IF(X631 &gt; 0.1, RAND() * (0.1 - 0.06) + 0.06, X631)</f>
        <v>0</v>
      </c>
      <c r="G631" s="831">
        <f ca="1">IF(Y631 &lt; 0.5, 0.5 + RAND() * 0.1, Y631)</f>
        <v>0.55428459068084657</v>
      </c>
      <c r="H631" s="830">
        <f ca="1">IF(AB631&gt;0.04, 0.029 + (0.039-0.029)*RAND(), AB631)</f>
        <v>0</v>
      </c>
      <c r="I631" s="830">
        <f ca="1">IF(AA631&gt;0.04, 0.029 + (0.039-0.029)*RAND(), AA631)</f>
        <v>0</v>
      </c>
      <c r="J631" s="831">
        <f ca="1">IF(Z631&gt;0.15, 0.11 + (0.15-0.11) * RAND(), Z631)</f>
        <v>0</v>
      </c>
      <c r="K631" s="830">
        <f ca="1">0.004 + (RAND() * (0.001 - 0.004))</f>
        <v>3.6478907602895284E-3</v>
      </c>
      <c r="L631" s="830">
        <f ca="1">H631+I631</f>
        <v>0</v>
      </c>
      <c r="M631" s="831">
        <f ca="1">(G631/6)+F631</f>
        <v>9.2380765113474428E-2</v>
      </c>
      <c r="N631" s="831">
        <f ca="1">2 + RAND()</f>
        <v>2.7517261673254856</v>
      </c>
      <c r="O631" s="831">
        <f ca="1">1 + RAND()</f>
        <v>1.1352112213551304</v>
      </c>
      <c r="P631" s="831">
        <f ca="1">2.98 + (RAND() * (3.03 - 2.98))</f>
        <v>3.0260758990364969</v>
      </c>
      <c r="Q631" s="832" t="str">
        <f ca="1">IF(D631="130 × 130", (130 + RANDBETWEEN(-1,1)) &amp; " × " &amp; (130 + RANDBETWEEN(-1,1)),
   IF(D631="160 × 160", (160 + RANDBETWEEN(-1,1)) &amp; " × " &amp; (160 + RANDBETWEEN(-1,1)),
   IF(D631="110 × 110", (110 + RANDBETWEEN(-1,1)) &amp; " × " &amp; (110 + RANDBETWEEN(-1,1)),
   "Value not matched")))</f>
        <v>Value not matched</v>
      </c>
      <c r="R631" s="833" t="s">
        <v>213</v>
      </c>
      <c r="S631" s="834" t="str">
        <f ca="1">IF(G631&lt;0.6, "IS 14650 CPS 10748/GR2", "IS 14650 CPS 10748/GR3")</f>
        <v>IS 14650 CPS 10748/GR2</v>
      </c>
      <c r="T631" s="831" t="s">
        <v>769</v>
      </c>
      <c r="U631" s="825"/>
      <c r="V631" s="826"/>
      <c r="W631" s="206">
        <f>Prod.!B354</f>
        <v>0</v>
      </c>
      <c r="X631" s="469">
        <f>Prod.!C354</f>
        <v>0</v>
      </c>
      <c r="Y631" s="469">
        <f>Prod.!D354</f>
        <v>0</v>
      </c>
      <c r="Z631" s="469">
        <f>Prod.!E354</f>
        <v>0</v>
      </c>
      <c r="AA631" s="282">
        <f>Prod.!F354</f>
        <v>0</v>
      </c>
      <c r="AB631" s="282">
        <f>Prod.!G354</f>
        <v>0</v>
      </c>
      <c r="AC631" s="836">
        <f>Prod.!H354</f>
        <v>0</v>
      </c>
      <c r="AD631" s="282">
        <f>Prod.!AB354</f>
        <v>0</v>
      </c>
      <c r="AE631" s="282">
        <f>AD631-AF631</f>
        <v>0</v>
      </c>
      <c r="AF631" s="282">
        <f>Prod.!AA354</f>
        <v>0</v>
      </c>
    </row>
    <row r="632" spans="1:32" ht="15" customHeight="1">
      <c r="A632" s="1435">
        <v>10</v>
      </c>
      <c r="B632" s="818">
        <f>W633</f>
        <v>0</v>
      </c>
      <c r="C632" s="819" t="s">
        <v>765</v>
      </c>
      <c r="D632" s="822"/>
      <c r="E632" s="822"/>
      <c r="F632" s="821">
        <f ca="1">F633 + (RAND() * 0.02 - 0.01)</f>
        <v>1.3085348475947046E-3</v>
      </c>
      <c r="G632" s="821">
        <f ca="1">G633 + (RAND() * 0.06 - 0.03)</f>
        <v>0.53301533713910609</v>
      </c>
      <c r="H632" s="822">
        <f ca="1">H633 + (RAND() * 0.006 - 0.003)</f>
        <v>1.6214181115595397E-3</v>
      </c>
      <c r="I632" s="822">
        <f ca="1">I633 + (RAND() * 0.006 - 0.003)</f>
        <v>-2.4709666838666328E-3</v>
      </c>
      <c r="J632" s="821">
        <f ca="1">J633 + (RAND() * 0.02 - 0.01)</f>
        <v>6.646043330831691E-3</v>
      </c>
      <c r="K632" s="821"/>
      <c r="L632" s="822"/>
      <c r="M632" s="821"/>
      <c r="N632" s="823"/>
      <c r="O632" s="823"/>
      <c r="P632" s="823"/>
      <c r="Q632" s="823"/>
      <c r="R632" s="839"/>
      <c r="S632" s="821"/>
      <c r="T632" s="821"/>
      <c r="U632" s="825"/>
      <c r="V632" s="826"/>
    </row>
    <row r="633" spans="1:32" ht="15" customHeight="1">
      <c r="A633" s="1435"/>
      <c r="B633" s="827">
        <f>B632</f>
        <v>0</v>
      </c>
      <c r="C633" s="828" t="s">
        <v>768</v>
      </c>
      <c r="D633" s="829" t="str">
        <f>IF(AC633=130, "130 × 130", IF(AC633=160, "160 × 160", IF(AC633=110, "110 × 110", "Value not 130, 160, or 110")))</f>
        <v>Value not 130, 160, or 110</v>
      </c>
      <c r="E633" s="830">
        <f>AD633</f>
        <v>0</v>
      </c>
      <c r="F633" s="831">
        <f ca="1">IF(X633 &gt; 0.1, RAND() * (0.1 - 0.06) + 0.06, X633)</f>
        <v>0</v>
      </c>
      <c r="G633" s="831">
        <f ca="1">IF(Y633 &lt; 0.5, 0.5 + RAND() * 0.1, Y633)</f>
        <v>0.51149167511681781</v>
      </c>
      <c r="H633" s="830">
        <f ca="1">IF(AB633&gt;0.04, 0.029 + (0.039-0.029)*RAND(), AB633)</f>
        <v>0</v>
      </c>
      <c r="I633" s="830">
        <f ca="1">IF(AA633&gt;0.04, 0.029 + (0.039-0.029)*RAND(), AA633)</f>
        <v>0</v>
      </c>
      <c r="J633" s="831">
        <f ca="1">IF(Z633&gt;0.15, 0.11 + (0.15-0.11) * RAND(), Z633)</f>
        <v>0</v>
      </c>
      <c r="K633" s="830">
        <f ca="1">0.004 + (RAND() * (0.001 - 0.004))</f>
        <v>2.1655492568955436E-3</v>
      </c>
      <c r="L633" s="830">
        <f ca="1">H633+I633</f>
        <v>0</v>
      </c>
      <c r="M633" s="831">
        <f ca="1">(G633/6)+F633</f>
        <v>8.5248612519469635E-2</v>
      </c>
      <c r="N633" s="831">
        <f ca="1">2 + RAND()</f>
        <v>2.7440008506387947</v>
      </c>
      <c r="O633" s="831">
        <f ca="1">1 + RAND()</f>
        <v>1.995903694492807</v>
      </c>
      <c r="P633" s="831">
        <f ca="1">2.98 + (RAND() * (3.03 - 2.98))</f>
        <v>2.9879454614263845</v>
      </c>
      <c r="Q633" s="832" t="str">
        <f ca="1">IF(D633="130 × 130", (130 + RANDBETWEEN(-1,1)) &amp; " × " &amp; (130 + RANDBETWEEN(-1,1)),
   IF(D633="160 × 160", (160 + RANDBETWEEN(-1,1)) &amp; " × " &amp; (160 + RANDBETWEEN(-1,1)),
   IF(D633="110 × 110", (110 + RANDBETWEEN(-1,1)) &amp; " × " &amp; (110 + RANDBETWEEN(-1,1)),
   "Value not matched")))</f>
        <v>Value not matched</v>
      </c>
      <c r="R633" s="833" t="s">
        <v>213</v>
      </c>
      <c r="S633" s="834" t="str">
        <f ca="1">IF(G633&lt;0.6, "IS 14650 CPS 10748/GR2", "IS 14650 CPS 10748/GR3")</f>
        <v>IS 14650 CPS 10748/GR2</v>
      </c>
      <c r="T633" s="831" t="s">
        <v>769</v>
      </c>
      <c r="U633" s="825"/>
      <c r="V633" s="826"/>
      <c r="W633" s="206">
        <f>Prod.!B355</f>
        <v>0</v>
      </c>
      <c r="X633" s="469">
        <f>Prod.!C355</f>
        <v>0</v>
      </c>
      <c r="Y633" s="469">
        <f>Prod.!D355</f>
        <v>0</v>
      </c>
      <c r="Z633" s="469">
        <f>Prod.!E355</f>
        <v>0</v>
      </c>
      <c r="AA633" s="282">
        <f>Prod.!F355</f>
        <v>0</v>
      </c>
      <c r="AB633" s="282">
        <f>Prod.!G355</f>
        <v>0</v>
      </c>
      <c r="AC633" s="836">
        <f>Prod.!H355</f>
        <v>0</v>
      </c>
      <c r="AD633" s="282">
        <f>Prod.!AB355</f>
        <v>0</v>
      </c>
      <c r="AE633" s="282">
        <f>AD633-AF633</f>
        <v>0</v>
      </c>
      <c r="AF633" s="282">
        <f>Prod.!AA355</f>
        <v>0</v>
      </c>
    </row>
    <row r="634" spans="1:32" ht="15" customHeight="1">
      <c r="A634" s="1435">
        <v>11</v>
      </c>
      <c r="B634" s="818">
        <f>W635</f>
        <v>0</v>
      </c>
      <c r="C634" s="819" t="s">
        <v>765</v>
      </c>
      <c r="D634" s="822"/>
      <c r="E634" s="822"/>
      <c r="F634" s="821">
        <f ca="1">F635 + (RAND() * 0.02 - 0.01)</f>
        <v>2.0434038287471569E-3</v>
      </c>
      <c r="G634" s="821">
        <f ca="1">G635 + (RAND() * 0.06 - 0.03)</f>
        <v>0.50911631031041704</v>
      </c>
      <c r="H634" s="822">
        <f ca="1">H635 + (RAND() * 0.006 - 0.003)</f>
        <v>-2.2735551208603816E-3</v>
      </c>
      <c r="I634" s="822">
        <f ca="1">I635 + (RAND() * 0.006 - 0.003)</f>
        <v>1.8648342157092908E-4</v>
      </c>
      <c r="J634" s="821">
        <f ca="1">J635 + (RAND() * 0.02 - 0.01)</f>
        <v>-7.8090565801635361E-3</v>
      </c>
      <c r="K634" s="821"/>
      <c r="L634" s="822"/>
      <c r="M634" s="821"/>
      <c r="N634" s="823"/>
      <c r="O634" s="823"/>
      <c r="P634" s="823"/>
      <c r="Q634" s="823"/>
      <c r="R634" s="839"/>
      <c r="S634" s="821"/>
      <c r="T634" s="821"/>
      <c r="U634" s="825"/>
      <c r="V634" s="826"/>
    </row>
    <row r="635" spans="1:32" ht="15" customHeight="1">
      <c r="A635" s="1435"/>
      <c r="B635" s="827">
        <f>B634</f>
        <v>0</v>
      </c>
      <c r="C635" s="828" t="s">
        <v>768</v>
      </c>
      <c r="D635" s="829" t="str">
        <f>IF(AC635=130, "130 × 130", IF(AC635=160, "160 × 160", IF(AC635=110, "110 × 110", "Value not 130, 160, or 110")))</f>
        <v>Value not 130, 160, or 110</v>
      </c>
      <c r="E635" s="830">
        <f>AD635</f>
        <v>0</v>
      </c>
      <c r="F635" s="831">
        <f ca="1">IF(X635 &gt; 0.1, RAND() * (0.1 - 0.06) + 0.06, X635)</f>
        <v>0</v>
      </c>
      <c r="G635" s="831">
        <f ca="1">IF(Y635 &lt; 0.5, 0.5 + RAND() * 0.1, Y635)</f>
        <v>0.52097924142342034</v>
      </c>
      <c r="H635" s="830">
        <f ca="1">IF(AB635&gt;0.04, 0.029 + (0.039-0.029)*RAND(), AB635)</f>
        <v>0</v>
      </c>
      <c r="I635" s="830">
        <f ca="1">IF(AA635&gt;0.04, 0.029 + (0.039-0.029)*RAND(), AA635)</f>
        <v>0</v>
      </c>
      <c r="J635" s="831">
        <f ca="1">IF(Z635&gt;0.15, 0.11 + (0.15-0.11) * RAND(), Z635)</f>
        <v>0</v>
      </c>
      <c r="K635" s="830">
        <f ca="1">0.004 + (RAND() * (0.001 - 0.004))</f>
        <v>1.4594057855503405E-3</v>
      </c>
      <c r="L635" s="830">
        <f ca="1">H635+I635</f>
        <v>0</v>
      </c>
      <c r="M635" s="831">
        <f ca="1">(G635/6)+F635</f>
        <v>8.6829873570570051E-2</v>
      </c>
      <c r="N635" s="831">
        <f ca="1">2 + RAND()</f>
        <v>2.0671941339753186</v>
      </c>
      <c r="O635" s="831">
        <f ca="1">1 + RAND()</f>
        <v>1.1124902232381857</v>
      </c>
      <c r="P635" s="831">
        <f ca="1">2.98 + (RAND() * (3.03 - 2.98))</f>
        <v>3.0270418668780623</v>
      </c>
      <c r="Q635" s="832" t="str">
        <f ca="1">IF(D635="130 × 130", (130 + RANDBETWEEN(-1,1)) &amp; " × " &amp; (130 + RANDBETWEEN(-1,1)),
   IF(D635="160 × 160", (160 + RANDBETWEEN(-1,1)) &amp; " × " &amp; (160 + RANDBETWEEN(-1,1)),
   IF(D635="110 × 110", (110 + RANDBETWEEN(-1,1)) &amp; " × " &amp; (110 + RANDBETWEEN(-1,1)),
   "Value not matched")))</f>
        <v>Value not matched</v>
      </c>
      <c r="R635" s="833" t="s">
        <v>213</v>
      </c>
      <c r="S635" s="834" t="str">
        <f ca="1">IF(G635&lt;0.6, "IS 14650 CPS 10748/GR2", "IS 14650 CPS 10748/GR3")</f>
        <v>IS 14650 CPS 10748/GR2</v>
      </c>
      <c r="T635" s="831" t="s">
        <v>769</v>
      </c>
      <c r="U635" s="825"/>
      <c r="V635" s="826"/>
      <c r="W635" s="206">
        <f>Prod.!B356</f>
        <v>0</v>
      </c>
      <c r="X635" s="469">
        <f>Prod.!C356</f>
        <v>0</v>
      </c>
      <c r="Y635" s="469">
        <f>Prod.!D356</f>
        <v>0</v>
      </c>
      <c r="Z635" s="469">
        <f>Prod.!E356</f>
        <v>0</v>
      </c>
      <c r="AA635" s="282">
        <f>Prod.!F356</f>
        <v>0</v>
      </c>
      <c r="AB635" s="282">
        <f>Prod.!G356</f>
        <v>0</v>
      </c>
      <c r="AC635" s="836">
        <f>Prod.!H356</f>
        <v>0</v>
      </c>
      <c r="AD635" s="282">
        <f>Prod.!AB356</f>
        <v>0</v>
      </c>
      <c r="AE635" s="282">
        <f>AD635-AF635</f>
        <v>0</v>
      </c>
      <c r="AF635" s="282">
        <f>Prod.!AA356</f>
        <v>0</v>
      </c>
    </row>
    <row r="636" spans="1:32" ht="15" customHeight="1">
      <c r="A636" s="1435">
        <v>12</v>
      </c>
      <c r="B636" s="818">
        <f>W637</f>
        <v>0</v>
      </c>
      <c r="C636" s="819" t="s">
        <v>765</v>
      </c>
      <c r="D636" s="822"/>
      <c r="E636" s="822"/>
      <c r="F636" s="821">
        <f ca="1">F637 + (RAND() * 0.02 - 0.01)</f>
        <v>-2.6304815293333086E-3</v>
      </c>
      <c r="G636" s="821">
        <f ca="1">G637 + (RAND() * 0.06 - 0.03)</f>
        <v>0.5860649222755312</v>
      </c>
      <c r="H636" s="822">
        <f ca="1">H637 + (RAND() * 0.006 - 0.003)</f>
        <v>2.0403899856895925E-3</v>
      </c>
      <c r="I636" s="822">
        <f ca="1">I637 + (RAND() * 0.006 - 0.003)</f>
        <v>-1.8869961183258053E-3</v>
      </c>
      <c r="J636" s="821">
        <f ca="1">J637 + (RAND() * 0.02 - 0.01)</f>
        <v>-7.5229055394323762E-3</v>
      </c>
      <c r="K636" s="821"/>
      <c r="L636" s="822"/>
      <c r="M636" s="821"/>
      <c r="N636" s="823"/>
      <c r="O636" s="823"/>
      <c r="P636" s="823"/>
      <c r="Q636" s="823"/>
      <c r="R636" s="839"/>
      <c r="S636" s="821"/>
      <c r="T636" s="821"/>
      <c r="U636" s="825"/>
      <c r="V636" s="826"/>
    </row>
    <row r="637" spans="1:32" ht="15" customHeight="1">
      <c r="A637" s="1435"/>
      <c r="B637" s="827">
        <f>B636</f>
        <v>0</v>
      </c>
      <c r="C637" s="828" t="s">
        <v>768</v>
      </c>
      <c r="D637" s="829" t="str">
        <f>IF(AC637=130, "130 × 130", IF(AC637=160, "160 × 160", IF(AC637=110, "110 × 110", "Value not 130, 160, or 110")))</f>
        <v>Value not 130, 160, or 110</v>
      </c>
      <c r="E637" s="830">
        <f>AD637</f>
        <v>0</v>
      </c>
      <c r="F637" s="831">
        <f ca="1">IF(X637 &gt; 0.1, RAND() * (0.1 - 0.06) + 0.06, X637)</f>
        <v>0</v>
      </c>
      <c r="G637" s="831">
        <f ca="1">IF(Y637 &lt; 0.5, 0.5 + RAND() * 0.1, Y637)</f>
        <v>0.58991317738419324</v>
      </c>
      <c r="H637" s="830">
        <f ca="1">IF(AB637&gt;0.04, 0.029 + (0.039-0.029)*RAND(), AB637)</f>
        <v>0</v>
      </c>
      <c r="I637" s="830">
        <f ca="1">IF(AA637&gt;0.04, 0.029 + (0.039-0.029)*RAND(), AA637)</f>
        <v>0</v>
      </c>
      <c r="J637" s="831">
        <f ca="1">IF(Z637&gt;0.15, 0.11 + (0.15-0.11) * RAND(), Z637)</f>
        <v>0</v>
      </c>
      <c r="K637" s="830">
        <f ca="1">0.004 + (RAND() * (0.001 - 0.004))</f>
        <v>2.1086860736750802E-3</v>
      </c>
      <c r="L637" s="830">
        <f ca="1">H637+I637</f>
        <v>0</v>
      </c>
      <c r="M637" s="831">
        <f ca="1">(G637/6)+F637</f>
        <v>9.8318862897365536E-2</v>
      </c>
      <c r="N637" s="831">
        <f ca="1">2 + RAND()</f>
        <v>2.0073195090923854</v>
      </c>
      <c r="O637" s="831">
        <f ca="1">1 + RAND()</f>
        <v>1.4254301509307918</v>
      </c>
      <c r="P637" s="831">
        <f ca="1">2.98 + (RAND() * (3.03 - 2.98))</f>
        <v>2.9967690634010391</v>
      </c>
      <c r="Q637" s="832" t="str">
        <f ca="1">IF(D637="130 × 130", (130 + RANDBETWEEN(-1,1)) &amp; " × " &amp; (130 + RANDBETWEEN(-1,1)),
   IF(D637="160 × 160", (160 + RANDBETWEEN(-1,1)) &amp; " × " &amp; (160 + RANDBETWEEN(-1,1)),
   IF(D637="110 × 110", (110 + RANDBETWEEN(-1,1)) &amp; " × " &amp; (110 + RANDBETWEEN(-1,1)),
   "Value not matched")))</f>
        <v>Value not matched</v>
      </c>
      <c r="R637" s="833" t="s">
        <v>213</v>
      </c>
      <c r="S637" s="834" t="str">
        <f ca="1">IF(G637&lt;0.6, "IS 14650 CPS 10748/GR2", "IS 14650 CPS 10748/GR3")</f>
        <v>IS 14650 CPS 10748/GR2</v>
      </c>
      <c r="T637" s="831" t="s">
        <v>769</v>
      </c>
      <c r="U637" s="825"/>
      <c r="V637" s="826"/>
      <c r="W637" s="206">
        <f>Prod.!B357</f>
        <v>0</v>
      </c>
      <c r="X637" s="469">
        <f>Prod.!C357</f>
        <v>0</v>
      </c>
      <c r="Y637" s="469">
        <f>Prod.!D357</f>
        <v>0</v>
      </c>
      <c r="Z637" s="469">
        <f>Prod.!E357</f>
        <v>0</v>
      </c>
      <c r="AA637" s="282">
        <f>Prod.!F357</f>
        <v>0</v>
      </c>
      <c r="AB637" s="282">
        <f>Prod.!G357</f>
        <v>0</v>
      </c>
      <c r="AC637" s="836">
        <f>Prod.!H357</f>
        <v>0</v>
      </c>
      <c r="AD637" s="282">
        <f>Prod.!AB357</f>
        <v>0</v>
      </c>
      <c r="AE637" s="282">
        <f>AD637-AF637</f>
        <v>0</v>
      </c>
      <c r="AF637" s="282">
        <f>Prod.!AA357</f>
        <v>0</v>
      </c>
    </row>
    <row r="638" spans="1:32" ht="15" customHeight="1">
      <c r="A638" s="1435"/>
      <c r="B638" s="818"/>
      <c r="C638" s="819"/>
      <c r="D638" s="822"/>
      <c r="E638" s="822"/>
      <c r="F638" s="821"/>
      <c r="G638" s="821"/>
      <c r="H638" s="840"/>
      <c r="I638" s="840"/>
      <c r="J638" s="821"/>
      <c r="K638" s="821"/>
      <c r="L638" s="822"/>
      <c r="M638" s="838"/>
      <c r="N638" s="821"/>
      <c r="O638" s="821"/>
      <c r="P638" s="821"/>
      <c r="Q638" s="821"/>
      <c r="R638" s="839"/>
      <c r="S638" s="841"/>
      <c r="T638" s="821"/>
      <c r="U638" s="825"/>
      <c r="V638" s="826"/>
    </row>
    <row r="639" spans="1:32" ht="15" customHeight="1">
      <c r="A639" s="1435"/>
      <c r="B639" s="827"/>
      <c r="C639" s="828"/>
      <c r="D639" s="842"/>
      <c r="E639" s="830"/>
      <c r="F639" s="831"/>
      <c r="G639" s="831"/>
      <c r="H639" s="843"/>
      <c r="I639" s="843"/>
      <c r="J639" s="831"/>
      <c r="K639" s="831"/>
      <c r="L639" s="830"/>
      <c r="M639" s="831"/>
      <c r="N639" s="831"/>
      <c r="O639" s="831"/>
      <c r="P639" s="831"/>
      <c r="Q639" s="831"/>
      <c r="R639" s="833"/>
      <c r="S639" s="834"/>
      <c r="T639" s="831"/>
      <c r="U639" s="825"/>
      <c r="V639" s="826"/>
    </row>
    <row r="640" spans="1:32" ht="15" customHeight="1">
      <c r="A640" s="180"/>
      <c r="B640" s="180"/>
      <c r="C640" s="180" t="s">
        <v>770</v>
      </c>
      <c r="D640" s="395"/>
      <c r="E640" s="844">
        <f>SUM(E614:E637)</f>
        <v>0</v>
      </c>
      <c r="F640" s="180"/>
      <c r="G640" s="180"/>
      <c r="H640" s="844"/>
      <c r="I640" s="180"/>
      <c r="J640" s="845"/>
      <c r="K640" s="845"/>
      <c r="L640" s="180"/>
      <c r="M640" s="845"/>
      <c r="N640" s="180"/>
      <c r="O640" s="180"/>
      <c r="P640" s="180"/>
      <c r="Q640" s="180"/>
      <c r="R640" s="263"/>
      <c r="S640" s="180"/>
      <c r="T640" s="180"/>
    </row>
    <row r="641" spans="1:32" ht="28.5" customHeight="1">
      <c r="A641" s="1436" t="s">
        <v>746</v>
      </c>
      <c r="B641" s="1436"/>
      <c r="C641" s="1436"/>
      <c r="D641" s="1436"/>
      <c r="E641" s="1436"/>
      <c r="F641" s="1436"/>
      <c r="G641" s="1436"/>
      <c r="H641" s="1436"/>
      <c r="I641" s="1436"/>
      <c r="J641" s="1436"/>
      <c r="K641" s="1436"/>
      <c r="L641" s="1436"/>
      <c r="M641" s="1436"/>
      <c r="N641" s="1436"/>
      <c r="O641" s="1436"/>
      <c r="P641" s="1436"/>
      <c r="Q641" s="1436"/>
      <c r="R641" s="1436"/>
      <c r="S641" s="1436"/>
      <c r="T641" s="1436"/>
      <c r="U641" s="515"/>
      <c r="V641" s="846"/>
    </row>
    <row r="642" spans="1:32" ht="15" customHeight="1">
      <c r="A642" s="1437" t="s">
        <v>747</v>
      </c>
      <c r="B642" s="1437"/>
      <c r="C642" s="1437"/>
      <c r="D642" s="1437"/>
      <c r="E642" s="1437"/>
      <c r="F642" s="1437"/>
      <c r="G642" s="1437"/>
      <c r="H642" s="1437"/>
      <c r="I642" s="1437"/>
      <c r="J642" s="1437"/>
      <c r="K642" s="1437"/>
      <c r="L642" s="1437"/>
      <c r="M642" s="1437"/>
      <c r="N642" s="1437"/>
      <c r="O642" s="1437"/>
      <c r="P642" s="1437"/>
      <c r="Q642" s="1437"/>
      <c r="R642" s="1437"/>
      <c r="S642" s="1437"/>
      <c r="T642" s="1437"/>
      <c r="U642" s="806"/>
      <c r="V642" s="807"/>
    </row>
    <row r="643" spans="1:32" ht="15" customHeight="1">
      <c r="A643" s="1438" t="str">
        <f>"DATE OF MANUFACTURING : " &amp; TEXT(V647, "DD-MM-YYYY")</f>
        <v>DATE OF MANUFACTURING : 00-01-1900</v>
      </c>
      <c r="B643" s="1438"/>
      <c r="C643" s="1438"/>
      <c r="D643" s="1438"/>
      <c r="E643" s="1438"/>
      <c r="F643" s="1438"/>
      <c r="G643" s="1438"/>
      <c r="H643" s="1438"/>
      <c r="I643" s="1438"/>
      <c r="J643" s="1438"/>
      <c r="K643" s="1438"/>
      <c r="L643" s="1438"/>
      <c r="M643" s="1438"/>
      <c r="N643" s="1437" t="s">
        <v>748</v>
      </c>
      <c r="O643" s="1437"/>
      <c r="P643" s="1437"/>
      <c r="Q643" s="1437"/>
      <c r="R643" s="1437"/>
      <c r="S643" s="1437"/>
      <c r="T643" s="1437"/>
      <c r="U643" s="808"/>
      <c r="V643" s="809"/>
    </row>
    <row r="644" spans="1:32" ht="29.25" customHeight="1">
      <c r="A644" s="1439" t="s">
        <v>749</v>
      </c>
      <c r="B644" s="1440" t="s">
        <v>750</v>
      </c>
      <c r="C644" s="1440"/>
      <c r="D644" s="1440" t="s">
        <v>751</v>
      </c>
      <c r="E644" s="1441" t="s">
        <v>752</v>
      </c>
      <c r="F644" s="1442" t="s">
        <v>753</v>
      </c>
      <c r="G644" s="1442"/>
      <c r="H644" s="1442"/>
      <c r="I644" s="1442"/>
      <c r="J644" s="1442"/>
      <c r="K644" s="1442"/>
      <c r="L644" s="1442"/>
      <c r="M644" s="1442"/>
      <c r="N644" s="1442" t="s">
        <v>754</v>
      </c>
      <c r="O644" s="1442"/>
      <c r="P644" s="1442"/>
      <c r="Q644" s="1442"/>
      <c r="R644" s="1444" t="s">
        <v>755</v>
      </c>
      <c r="S644" s="1441" t="s">
        <v>756</v>
      </c>
      <c r="T644" s="1440" t="s">
        <v>104</v>
      </c>
      <c r="U644" s="810"/>
      <c r="V644" s="811"/>
    </row>
    <row r="645" spans="1:32" ht="42.75" customHeight="1">
      <c r="A645" s="1439"/>
      <c r="B645" s="1440"/>
      <c r="C645" s="1440"/>
      <c r="D645" s="1440"/>
      <c r="E645" s="1440"/>
      <c r="F645" s="812" t="s">
        <v>40</v>
      </c>
      <c r="G645" s="812" t="s">
        <v>757</v>
      </c>
      <c r="H645" s="813" t="s">
        <v>758</v>
      </c>
      <c r="I645" s="812" t="s">
        <v>43</v>
      </c>
      <c r="J645" s="812" t="s">
        <v>42</v>
      </c>
      <c r="K645" s="812" t="s">
        <v>759</v>
      </c>
      <c r="L645" s="812" t="s">
        <v>760</v>
      </c>
      <c r="M645" s="812" t="s">
        <v>761</v>
      </c>
      <c r="N645" s="814" t="s">
        <v>762</v>
      </c>
      <c r="O645" s="815" t="s">
        <v>772</v>
      </c>
      <c r="P645" s="816" t="s">
        <v>773</v>
      </c>
      <c r="Q645" s="817" t="s">
        <v>764</v>
      </c>
      <c r="R645" s="1444"/>
      <c r="S645" s="1441"/>
      <c r="T645" s="1441"/>
      <c r="U645" s="810"/>
      <c r="V645" s="811"/>
    </row>
    <row r="646" spans="1:32" ht="15" customHeight="1">
      <c r="A646" s="1435">
        <v>1</v>
      </c>
      <c r="B646" s="818">
        <f>W647</f>
        <v>0</v>
      </c>
      <c r="C646" s="819" t="s">
        <v>765</v>
      </c>
      <c r="D646" s="820"/>
      <c r="E646" s="821"/>
      <c r="F646" s="821">
        <f ca="1">F647 + (RAND() * 0.02 - 0.01)</f>
        <v>-8.201359319572785E-3</v>
      </c>
      <c r="G646" s="821">
        <f ca="1">G647 + (RAND() * 0.06 - 0.03)</f>
        <v>0.50567736341477354</v>
      </c>
      <c r="H646" s="822">
        <f ca="1">H647 + (RAND() * 0.006 - 0.003)</f>
        <v>-9.3942411454392286E-4</v>
      </c>
      <c r="I646" s="822">
        <f ca="1">I647 + (RAND() * 0.006 - 0.003)</f>
        <v>1.2713383731908041E-3</v>
      </c>
      <c r="J646" s="821">
        <f ca="1">J647 + (RAND() * 0.02 - 0.01)</f>
        <v>-3.6118064469413324E-3</v>
      </c>
      <c r="K646" s="821"/>
      <c r="L646" s="822"/>
      <c r="M646" s="821"/>
      <c r="N646" s="823"/>
      <c r="O646" s="823"/>
      <c r="P646" s="823"/>
      <c r="Q646" s="823"/>
      <c r="R646" s="824"/>
      <c r="S646" s="821"/>
      <c r="T646" s="821"/>
      <c r="U646" s="825"/>
      <c r="V646" s="826"/>
      <c r="AE646" t="s">
        <v>767</v>
      </c>
    </row>
    <row r="647" spans="1:32" ht="15" customHeight="1">
      <c r="A647" s="1435"/>
      <c r="B647" s="827">
        <f>B646</f>
        <v>0</v>
      </c>
      <c r="C647" s="828" t="s">
        <v>768</v>
      </c>
      <c r="D647" s="829" t="str">
        <f>IF(AC647=130, "130 × 130", IF(AC647=160, "160 × 160", IF(AC647=110, "110 × 110", "Value not 130, 160, or 110")))</f>
        <v>Value not 130, 160, or 110</v>
      </c>
      <c r="E647" s="830">
        <f>AD647</f>
        <v>0</v>
      </c>
      <c r="F647" s="831">
        <f ca="1">IF(X647 &gt; 0.1, RAND() * (0.1 - 0.06) + 0.06, X647)</f>
        <v>0</v>
      </c>
      <c r="G647" s="831">
        <f ca="1">IF(Y647 &lt; 0.5, 0.5 + RAND() * 0.1, Y647)</f>
        <v>0.52869077657059749</v>
      </c>
      <c r="H647" s="830">
        <f ca="1">IF(AB647&gt;0.04, 0.029 + (0.039-0.029)*RAND(), AB647)</f>
        <v>0</v>
      </c>
      <c r="I647" s="830">
        <f ca="1">IF(AA647&gt;0.04, 0.029 + (0.039-0.029)*RAND(), AA647)</f>
        <v>0</v>
      </c>
      <c r="J647" s="831">
        <f ca="1">IF(Z647&gt;0.15, 0.11 + (0.15-0.11) * RAND(), Z647)</f>
        <v>0</v>
      </c>
      <c r="K647" s="830">
        <f ca="1">0.004 + (RAND() * (0.001 - 0.004))</f>
        <v>3.2475527124307506E-3</v>
      </c>
      <c r="L647" s="830">
        <f ca="1">H647+I647</f>
        <v>0</v>
      </c>
      <c r="M647" s="831">
        <f ca="1">(G647/6)+F647</f>
        <v>8.8115129428432915E-2</v>
      </c>
      <c r="N647" s="831">
        <f ca="1">2 + RAND()</f>
        <v>2.9976806629603758</v>
      </c>
      <c r="O647" s="831">
        <f ca="1">1 + RAND()</f>
        <v>1.7084448548755296</v>
      </c>
      <c r="P647" s="831">
        <f ca="1">2.98 + (RAND() * (3.03 - 2.98))</f>
        <v>3.0167258716929988</v>
      </c>
      <c r="Q647" s="832" t="str">
        <f ca="1">IF(D647="130 × 130", (130 + RANDBETWEEN(-1,1)) &amp; " × " &amp; (130 + RANDBETWEEN(-1,1)),
   IF(D647="160 × 160", (160 + RANDBETWEEN(-1,1)) &amp; " × " &amp; (160 + RANDBETWEEN(-1,1)),
   IF(D647="110 × 110", (110 + RANDBETWEEN(-1,1)) &amp; " × " &amp; (110 + RANDBETWEEN(-1,1)),
   "Value not matched")))</f>
        <v>Value not matched</v>
      </c>
      <c r="R647" s="833" t="s">
        <v>213</v>
      </c>
      <c r="S647" s="834" t="str">
        <f ca="1">IF(G647&lt;0.6, "IS 14650 CPS 10748/GR2", "IS 14650 CPS 10748/GR3")</f>
        <v>IS 14650 CPS 10748/GR2</v>
      </c>
      <c r="T647" s="831" t="s">
        <v>769</v>
      </c>
      <c r="U647" s="825"/>
      <c r="V647" s="835">
        <f>Prod.!A364</f>
        <v>0</v>
      </c>
      <c r="W647" s="206">
        <f>Prod.!B364</f>
        <v>0</v>
      </c>
      <c r="X647" s="469">
        <f>Prod.!C364</f>
        <v>0</v>
      </c>
      <c r="Y647" s="469">
        <f>Prod.!D364</f>
        <v>0</v>
      </c>
      <c r="Z647" s="469">
        <f>Prod.!E364</f>
        <v>0</v>
      </c>
      <c r="AA647" s="282">
        <f>Prod.!F364</f>
        <v>0</v>
      </c>
      <c r="AB647" s="282">
        <f>Prod.!G364</f>
        <v>0</v>
      </c>
      <c r="AC647" s="836">
        <f>Prod.!H364</f>
        <v>0</v>
      </c>
      <c r="AD647" s="282">
        <f>Prod.!AB364</f>
        <v>0</v>
      </c>
      <c r="AE647" s="282">
        <f>AD647-AF647</f>
        <v>0</v>
      </c>
      <c r="AF647" s="282">
        <f>Prod.!AA364</f>
        <v>0</v>
      </c>
    </row>
    <row r="648" spans="1:32" ht="15" customHeight="1">
      <c r="A648" s="1435">
        <v>2</v>
      </c>
      <c r="B648" s="818">
        <f>W649</f>
        <v>0</v>
      </c>
      <c r="C648" s="819" t="s">
        <v>765</v>
      </c>
      <c r="D648" s="822"/>
      <c r="E648" s="822"/>
      <c r="F648" s="821">
        <f ca="1">F649 + (RAND() * 0.02 - 0.01)</f>
        <v>4.1509812775424367E-3</v>
      </c>
      <c r="G648" s="821">
        <f ca="1">G649 + (RAND() * 0.06 - 0.03)</f>
        <v>0.48346126582325177</v>
      </c>
      <c r="H648" s="822">
        <f ca="1">H649 + (RAND() * 0.006 - 0.003)</f>
        <v>-1.8199168503666115E-3</v>
      </c>
      <c r="I648" s="822">
        <f ca="1">I649 + (RAND() * 0.006 - 0.003)</f>
        <v>7.4456699012239846E-4</v>
      </c>
      <c r="J648" s="821">
        <f ca="1">J649 + (RAND() * 0.02 - 0.01)</f>
        <v>3.6427961916343232E-3</v>
      </c>
      <c r="K648" s="821"/>
      <c r="L648" s="822"/>
      <c r="M648" s="821"/>
      <c r="N648" s="823"/>
      <c r="O648" s="823"/>
      <c r="P648" s="823"/>
      <c r="Q648" s="823"/>
      <c r="R648" s="837"/>
      <c r="S648" s="821"/>
      <c r="T648" s="838"/>
      <c r="U648" s="825"/>
      <c r="V648" s="826"/>
    </row>
    <row r="649" spans="1:32" ht="15" customHeight="1">
      <c r="A649" s="1435"/>
      <c r="B649" s="827">
        <f>B648</f>
        <v>0</v>
      </c>
      <c r="C649" s="828" t="s">
        <v>768</v>
      </c>
      <c r="D649" s="829" t="str">
        <f>IF(AC649=130, "130 × 130", IF(AC649=160, "160 × 160", IF(AC649=110, "110 × 110", "Value not 130, 160, or 110")))</f>
        <v>Value not 130, 160, or 110</v>
      </c>
      <c r="E649" s="830">
        <f>AD649</f>
        <v>0</v>
      </c>
      <c r="F649" s="831">
        <f ca="1">IF(X649 &gt; 0.1, RAND() * (0.1 - 0.06) + 0.06, X649)</f>
        <v>0</v>
      </c>
      <c r="G649" s="831">
        <f ca="1">IF(Y649 &lt; 0.5, 0.5 + RAND() * 0.1, Y649)</f>
        <v>0.51132075250380338</v>
      </c>
      <c r="H649" s="830">
        <f ca="1">IF(AB649&gt;0.04, 0.029 + (0.039-0.029)*RAND(), AB649)</f>
        <v>0</v>
      </c>
      <c r="I649" s="830">
        <f ca="1">IF(AA649&gt;0.04, 0.029 + (0.039-0.029)*RAND(), AA649)</f>
        <v>0</v>
      </c>
      <c r="J649" s="831">
        <f ca="1">IF(Z649&gt;0.15, 0.11 + (0.15-0.11) * RAND(), Z649)</f>
        <v>0</v>
      </c>
      <c r="K649" s="830">
        <f ca="1">0.004 + (RAND() * (0.001 - 0.004))</f>
        <v>3.5212216925563059E-3</v>
      </c>
      <c r="L649" s="830">
        <f ca="1">H649+I649</f>
        <v>0</v>
      </c>
      <c r="M649" s="831">
        <f ca="1">(G649/6)+F649</f>
        <v>8.5220125417300563E-2</v>
      </c>
      <c r="N649" s="831">
        <f ca="1">2 + RAND()</f>
        <v>2.378246659145475</v>
      </c>
      <c r="O649" s="831">
        <f ca="1">1 + RAND()</f>
        <v>1.7230568783287563</v>
      </c>
      <c r="P649" s="831">
        <f ca="1">2.98 + (RAND() * (3.03 - 2.98))</f>
        <v>2.9815074875875731</v>
      </c>
      <c r="Q649" s="832" t="str">
        <f ca="1">IF(D649="130 × 130", (130 + RANDBETWEEN(-1,1)) &amp; " × " &amp; (130 + RANDBETWEEN(-1,1)),
   IF(D649="160 × 160", (160 + RANDBETWEEN(-1,1)) &amp; " × " &amp; (160 + RANDBETWEEN(-1,1)),
   IF(D649="110 × 110", (110 + RANDBETWEEN(-1,1)) &amp; " × " &amp; (110 + RANDBETWEEN(-1,1)),
   "Value not matched")))</f>
        <v>Value not matched</v>
      </c>
      <c r="R649" s="833" t="s">
        <v>213</v>
      </c>
      <c r="S649" s="834" t="str">
        <f ca="1">IF(G649&lt;0.6, "IS 14650 CPS 10748/GR2", "IS 14650 CPS 10748/GR3")</f>
        <v>IS 14650 CPS 10748/GR2</v>
      </c>
      <c r="T649" s="831" t="s">
        <v>769</v>
      </c>
      <c r="U649" s="825"/>
      <c r="V649" s="826"/>
      <c r="W649" s="206">
        <f>Prod.!B365</f>
        <v>0</v>
      </c>
      <c r="X649" s="469">
        <f>Prod.!C365</f>
        <v>0</v>
      </c>
      <c r="Y649" s="469">
        <f>Prod.!D365</f>
        <v>0</v>
      </c>
      <c r="Z649" s="469">
        <f>Prod.!E365</f>
        <v>0</v>
      </c>
      <c r="AA649" s="282">
        <f>Prod.!F365</f>
        <v>0</v>
      </c>
      <c r="AB649" s="282">
        <f>Prod.!G365</f>
        <v>0</v>
      </c>
      <c r="AC649" s="836">
        <f>Prod.!H365</f>
        <v>0</v>
      </c>
      <c r="AD649" s="282">
        <f>Prod.!AB365</f>
        <v>0</v>
      </c>
      <c r="AE649" s="282">
        <f>AD649-AF649</f>
        <v>0</v>
      </c>
      <c r="AF649" s="282">
        <f>Prod.!AA365</f>
        <v>0</v>
      </c>
    </row>
    <row r="650" spans="1:32" ht="15" customHeight="1">
      <c r="A650" s="1435">
        <v>3</v>
      </c>
      <c r="B650" s="818">
        <f>W651</f>
        <v>0</v>
      </c>
      <c r="C650" s="819" t="s">
        <v>765</v>
      </c>
      <c r="D650" s="822"/>
      <c r="E650" s="822"/>
      <c r="F650" s="821">
        <f ca="1">F651 + (RAND() * 0.02 - 0.01)</f>
        <v>4.6928233746826378E-3</v>
      </c>
      <c r="G650" s="821">
        <f ca="1">G651 + (RAND() * 0.06 - 0.03)</f>
        <v>0.58854413755276114</v>
      </c>
      <c r="H650" s="822">
        <f ca="1">H651 + (RAND() * 0.006 - 0.003)</f>
        <v>-2.5847625939941785E-3</v>
      </c>
      <c r="I650" s="822">
        <f ca="1">I651 + (RAND() * 0.006 - 0.003)</f>
        <v>-7.6333276615531869E-4</v>
      </c>
      <c r="J650" s="821">
        <f ca="1">J651 + (RAND() * 0.02 - 0.01)</f>
        <v>5.7524974176339071E-3</v>
      </c>
      <c r="K650" s="821"/>
      <c r="L650" s="822"/>
      <c r="M650" s="821"/>
      <c r="N650" s="823"/>
      <c r="O650" s="823"/>
      <c r="P650" s="823"/>
      <c r="Q650" s="823"/>
      <c r="R650" s="839"/>
      <c r="S650" s="821"/>
      <c r="T650" s="821"/>
      <c r="U650" s="825"/>
      <c r="V650" s="826"/>
    </row>
    <row r="651" spans="1:32" ht="15" customHeight="1">
      <c r="A651" s="1435"/>
      <c r="B651" s="827">
        <f>B650</f>
        <v>0</v>
      </c>
      <c r="C651" s="828" t="s">
        <v>768</v>
      </c>
      <c r="D651" s="829" t="str">
        <f>IF(AC651=130, "130 × 130", IF(AC651=160, "160 × 160", IF(AC651=110, "110 × 110", "Value not 130, 160, or 110")))</f>
        <v>Value not 130, 160, or 110</v>
      </c>
      <c r="E651" s="830">
        <f>AD651</f>
        <v>0</v>
      </c>
      <c r="F651" s="831">
        <f ca="1">IF(X651 &gt; 0.1, RAND() * (0.1 - 0.06) + 0.06, X651)</f>
        <v>0</v>
      </c>
      <c r="G651" s="831">
        <f ca="1">IF(Y651 &lt; 0.5, 0.5 + RAND() * 0.1, Y651)</f>
        <v>0.57548470346423697</v>
      </c>
      <c r="H651" s="830">
        <f ca="1">IF(AB651&gt;0.04, 0.029 + (0.039-0.029)*RAND(), AB651)</f>
        <v>0</v>
      </c>
      <c r="I651" s="830">
        <f ca="1">IF(AA651&gt;0.04, 0.029 + (0.039-0.029)*RAND(), AA651)</f>
        <v>0</v>
      </c>
      <c r="J651" s="831">
        <f ca="1">IF(Z651&gt;0.15, 0.11 + (0.15-0.11) * RAND(), Z651)</f>
        <v>0</v>
      </c>
      <c r="K651" s="830">
        <f ca="1">0.004 + (RAND() * (0.001 - 0.004))</f>
        <v>1.921589296745132E-3</v>
      </c>
      <c r="L651" s="830">
        <f ca="1">H651+I651</f>
        <v>0</v>
      </c>
      <c r="M651" s="831">
        <f ca="1">(G651/6)+F651</f>
        <v>9.591411724403949E-2</v>
      </c>
      <c r="N651" s="831">
        <f ca="1">2 + RAND()</f>
        <v>2.6495220659316536</v>
      </c>
      <c r="O651" s="831">
        <f ca="1">1 + RAND()</f>
        <v>1.2038816009185296</v>
      </c>
      <c r="P651" s="831">
        <f ca="1">2.98 + (RAND() * (3.03 - 2.98))</f>
        <v>3.0068495959050527</v>
      </c>
      <c r="Q651" s="832" t="str">
        <f ca="1">IF(D651="130 × 130", (130 + RANDBETWEEN(-1,1)) &amp; " × " &amp; (130 + RANDBETWEEN(-1,1)),
   IF(D651="160 × 160", (160 + RANDBETWEEN(-1,1)) &amp; " × " &amp; (160 + RANDBETWEEN(-1,1)),
   IF(D651="110 × 110", (110 + RANDBETWEEN(-1,1)) &amp; " × " &amp; (110 + RANDBETWEEN(-1,1)),
   "Value not matched")))</f>
        <v>Value not matched</v>
      </c>
      <c r="R651" s="833" t="s">
        <v>213</v>
      </c>
      <c r="S651" s="834" t="str">
        <f ca="1">IF(G651&lt;0.6, "IS 14650 CPS 10748/GR2", "IS 14650 CPS 10748/GR3")</f>
        <v>IS 14650 CPS 10748/GR2</v>
      </c>
      <c r="T651" s="831" t="s">
        <v>769</v>
      </c>
      <c r="U651" s="825"/>
      <c r="V651" s="826"/>
      <c r="W651" s="206">
        <f>Prod.!B366</f>
        <v>0</v>
      </c>
      <c r="X651" s="469">
        <f>Prod.!C366</f>
        <v>0</v>
      </c>
      <c r="Y651" s="469">
        <f>Prod.!D366</f>
        <v>0</v>
      </c>
      <c r="Z651" s="469">
        <f>Prod.!E366</f>
        <v>0</v>
      </c>
      <c r="AA651" s="282">
        <f>Prod.!F366</f>
        <v>0</v>
      </c>
      <c r="AB651" s="282">
        <f>Prod.!G366</f>
        <v>0</v>
      </c>
      <c r="AC651" s="836">
        <f>Prod.!H366</f>
        <v>0</v>
      </c>
      <c r="AD651" s="282">
        <f>Prod.!AB366</f>
        <v>0</v>
      </c>
      <c r="AE651" s="282">
        <f>AD651-AF651</f>
        <v>0</v>
      </c>
      <c r="AF651" s="282">
        <f>Prod.!AA366</f>
        <v>0</v>
      </c>
    </row>
    <row r="652" spans="1:32" ht="15" customHeight="1">
      <c r="A652" s="1435">
        <v>4</v>
      </c>
      <c r="B652" s="818">
        <f>W653</f>
        <v>0</v>
      </c>
      <c r="C652" s="819" t="s">
        <v>765</v>
      </c>
      <c r="D652" s="822"/>
      <c r="E652" s="822"/>
      <c r="F652" s="821">
        <f ca="1">F653 + (RAND() * 0.02 - 0.01)</f>
        <v>-2.107479282487168E-3</v>
      </c>
      <c r="G652" s="821">
        <f ca="1">G653 + (RAND() * 0.06 - 0.03)</f>
        <v>0.58545806590574112</v>
      </c>
      <c r="H652" s="822">
        <f ca="1">H653 + (RAND() * 0.006 - 0.003)</f>
        <v>1.2779603715464879E-3</v>
      </c>
      <c r="I652" s="822">
        <f ca="1">I653 + (RAND() * 0.006 - 0.003)</f>
        <v>-1.6075033417549602E-3</v>
      </c>
      <c r="J652" s="821">
        <f ca="1">J653 + (RAND() * 0.02 - 0.01)</f>
        <v>-2.6549434924967863E-3</v>
      </c>
      <c r="K652" s="821"/>
      <c r="L652" s="822"/>
      <c r="M652" s="821"/>
      <c r="N652" s="823"/>
      <c r="O652" s="823"/>
      <c r="P652" s="823"/>
      <c r="Q652" s="823"/>
      <c r="R652" s="839"/>
      <c r="S652" s="821"/>
      <c r="T652" s="821"/>
      <c r="U652" s="825"/>
      <c r="V652" s="826"/>
    </row>
    <row r="653" spans="1:32" ht="15" customHeight="1">
      <c r="A653" s="1435"/>
      <c r="B653" s="827">
        <f>B652</f>
        <v>0</v>
      </c>
      <c r="C653" s="828" t="s">
        <v>768</v>
      </c>
      <c r="D653" s="829" t="str">
        <f>IF(AC653=130, "130 × 130", IF(AC653=160, "160 × 160", IF(AC653=110, "110 × 110", "Value not 130, 160, or 110")))</f>
        <v>Value not 130, 160, or 110</v>
      </c>
      <c r="E653" s="830">
        <f>AD653</f>
        <v>0</v>
      </c>
      <c r="F653" s="831">
        <f ca="1">IF(X653 &gt; 0.1, RAND() * (0.1 - 0.06) + 0.06, X653)</f>
        <v>0</v>
      </c>
      <c r="G653" s="831">
        <f ca="1">IF(Y653 &lt; 0.5, 0.5 + RAND() * 0.1, Y653)</f>
        <v>0.59954731528612204</v>
      </c>
      <c r="H653" s="830">
        <f ca="1">IF(AB653&gt;0.04, 0.029 + (0.039-0.029)*RAND(), AB653)</f>
        <v>0</v>
      </c>
      <c r="I653" s="830">
        <f ca="1">IF(AA653&gt;0.04, 0.029 + (0.039-0.029)*RAND(), AA653)</f>
        <v>0</v>
      </c>
      <c r="J653" s="831">
        <f ca="1">IF(Z653&gt;0.15, 0.11 + (0.15-0.11) * RAND(), Z653)</f>
        <v>0</v>
      </c>
      <c r="K653" s="830">
        <f ca="1">0.004 + (RAND() * (0.001 - 0.004))</f>
        <v>3.3494760517547026E-3</v>
      </c>
      <c r="L653" s="830">
        <f ca="1">H653+I653</f>
        <v>0</v>
      </c>
      <c r="M653" s="831">
        <f ca="1">(G653/6)+F653</f>
        <v>9.9924552547687007E-2</v>
      </c>
      <c r="N653" s="831">
        <f ca="1">2 + RAND()</f>
        <v>2.4795348449499852</v>
      </c>
      <c r="O653" s="831">
        <f ca="1">1 + RAND()</f>
        <v>1.3228304192844211</v>
      </c>
      <c r="P653" s="831">
        <f ca="1">2.98 + (RAND() * (3.03 - 2.98))</f>
        <v>3.0039756093230712</v>
      </c>
      <c r="Q653" s="832" t="str">
        <f ca="1">IF(D653="130 × 130", (130 + RANDBETWEEN(-1,1)) &amp; " × " &amp; (130 + RANDBETWEEN(-1,1)),
   IF(D653="160 × 160", (160 + RANDBETWEEN(-1,1)) &amp; " × " &amp; (160 + RANDBETWEEN(-1,1)),
   IF(D653="110 × 110", (110 + RANDBETWEEN(-1,1)) &amp; " × " &amp; (110 + RANDBETWEEN(-1,1)),
   "Value not matched")))</f>
        <v>Value not matched</v>
      </c>
      <c r="R653" s="833" t="s">
        <v>213</v>
      </c>
      <c r="S653" s="834" t="str">
        <f ca="1">IF(G653&lt;0.6, "IS 14650 CPS 10748/GR2", "IS 14650 CPS 10748/GR3")</f>
        <v>IS 14650 CPS 10748/GR2</v>
      </c>
      <c r="T653" s="831" t="s">
        <v>769</v>
      </c>
      <c r="U653" s="825"/>
      <c r="V653" s="826"/>
      <c r="W653" s="206">
        <f>Prod.!B367</f>
        <v>0</v>
      </c>
      <c r="X653" s="469">
        <f>Prod.!C367</f>
        <v>0</v>
      </c>
      <c r="Y653" s="469">
        <f>Prod.!D367</f>
        <v>0</v>
      </c>
      <c r="Z653" s="469">
        <f>Prod.!E367</f>
        <v>0</v>
      </c>
      <c r="AA653" s="282">
        <f>Prod.!F367</f>
        <v>0</v>
      </c>
      <c r="AB653" s="282">
        <f>Prod.!G367</f>
        <v>0</v>
      </c>
      <c r="AC653" s="836">
        <f>Prod.!H367</f>
        <v>0</v>
      </c>
      <c r="AD653" s="282">
        <f>Prod.!AB367</f>
        <v>0</v>
      </c>
      <c r="AE653" s="282">
        <f>AD653-AF653</f>
        <v>0</v>
      </c>
      <c r="AF653" s="282">
        <f>Prod.!AA367</f>
        <v>0</v>
      </c>
    </row>
    <row r="654" spans="1:32" ht="15" customHeight="1">
      <c r="A654" s="1435">
        <v>5</v>
      </c>
      <c r="B654" s="818">
        <f>W655</f>
        <v>0</v>
      </c>
      <c r="C654" s="819" t="s">
        <v>765</v>
      </c>
      <c r="D654" s="822"/>
      <c r="E654" s="822"/>
      <c r="F654" s="821">
        <f ca="1">F655 + (RAND() * 0.02 - 0.01)</f>
        <v>-1.1144721566532234E-3</v>
      </c>
      <c r="G654" s="821">
        <f ca="1">G655 + (RAND() * 0.06 - 0.03)</f>
        <v>0.48819565482746469</v>
      </c>
      <c r="H654" s="822">
        <f ca="1">H655 + (RAND() * 0.006 - 0.003)</f>
        <v>2.3492497529356369E-3</v>
      </c>
      <c r="I654" s="822">
        <f ca="1">I655 + (RAND() * 0.006 - 0.003)</f>
        <v>-1.0031433130768541E-3</v>
      </c>
      <c r="J654" s="821">
        <f ca="1">J655 + (RAND() * 0.02 - 0.01)</f>
        <v>9.8883848834781882E-3</v>
      </c>
      <c r="K654" s="821"/>
      <c r="L654" s="822"/>
      <c r="M654" s="821"/>
      <c r="N654" s="823"/>
      <c r="O654" s="823"/>
      <c r="P654" s="823"/>
      <c r="Q654" s="823"/>
      <c r="R654" s="839"/>
      <c r="S654" s="821"/>
      <c r="T654" s="821"/>
      <c r="U654" s="825"/>
      <c r="V654" s="826"/>
    </row>
    <row r="655" spans="1:32" ht="15" customHeight="1">
      <c r="A655" s="1435"/>
      <c r="B655" s="827">
        <f>B654</f>
        <v>0</v>
      </c>
      <c r="C655" s="828" t="s">
        <v>768</v>
      </c>
      <c r="D655" s="829" t="str">
        <f>IF(AC655=130, "130 × 130", IF(AC655=160, "160 × 160", IF(AC655=110, "110 × 110", "Value not 130, 160, or 110")))</f>
        <v>Value not 130, 160, or 110</v>
      </c>
      <c r="E655" s="830">
        <f>AD655</f>
        <v>0</v>
      </c>
      <c r="F655" s="831">
        <f ca="1">IF(X655 &gt; 0.1, RAND() * (0.1 - 0.06) + 0.06, X655)</f>
        <v>0</v>
      </c>
      <c r="G655" s="831">
        <f ca="1">IF(Y655 &lt; 0.5, 0.5 + RAND() * 0.1, Y655)</f>
        <v>0.5009449604761681</v>
      </c>
      <c r="H655" s="830">
        <f ca="1">IF(AB655&gt;0.04, 0.029 + (0.039-0.029)*RAND(), AB655)</f>
        <v>0</v>
      </c>
      <c r="I655" s="830">
        <f ca="1">IF(AA655&gt;0.04, 0.029 + (0.039-0.029)*RAND(), AA655)</f>
        <v>0</v>
      </c>
      <c r="J655" s="831">
        <f ca="1">IF(Z655&gt;0.15, 0.11 + (0.15-0.11) * RAND(), Z655)</f>
        <v>0</v>
      </c>
      <c r="K655" s="830">
        <f ca="1">0.004 + (RAND() * (0.001 - 0.004))</f>
        <v>2.2008719279549196E-3</v>
      </c>
      <c r="L655" s="830">
        <f ca="1">H655+I655</f>
        <v>0</v>
      </c>
      <c r="M655" s="831">
        <f ca="1">(G655/6)+F655</f>
        <v>8.3490826746028021E-2</v>
      </c>
      <c r="N655" s="831">
        <f ca="1">2 + RAND()</f>
        <v>2.8832655268284451</v>
      </c>
      <c r="O655" s="831">
        <f ca="1">1 + RAND()</f>
        <v>1.6744780371591272</v>
      </c>
      <c r="P655" s="831">
        <f ca="1">2.98 + (RAND() * (3.03 - 2.98))</f>
        <v>2.9917998216733088</v>
      </c>
      <c r="Q655" s="832" t="str">
        <f ca="1">IF(D655="130 × 130", (130 + RANDBETWEEN(-1,1)) &amp; " × " &amp; (130 + RANDBETWEEN(-1,1)),
   IF(D655="160 × 160", (160 + RANDBETWEEN(-1,1)) &amp; " × " &amp; (160 + RANDBETWEEN(-1,1)),
   IF(D655="110 × 110", (110 + RANDBETWEEN(-1,1)) &amp; " × " &amp; (110 + RANDBETWEEN(-1,1)),
   "Value not matched")))</f>
        <v>Value not matched</v>
      </c>
      <c r="R655" s="833" t="s">
        <v>213</v>
      </c>
      <c r="S655" s="834" t="str">
        <f ca="1">IF(G655&lt;0.6, "IS 14650 CPS 10748/GR2", "IS 14650 CPS 10748/GR3")</f>
        <v>IS 14650 CPS 10748/GR2</v>
      </c>
      <c r="T655" s="831" t="s">
        <v>769</v>
      </c>
      <c r="U655" s="825"/>
      <c r="V655" s="826"/>
      <c r="W655" s="206">
        <f>Prod.!B368</f>
        <v>0</v>
      </c>
      <c r="X655" s="469">
        <f>Prod.!C368</f>
        <v>0</v>
      </c>
      <c r="Y655" s="469">
        <f>Prod.!D368</f>
        <v>0</v>
      </c>
      <c r="Z655" s="469">
        <f>Prod.!E368</f>
        <v>0</v>
      </c>
      <c r="AA655" s="282">
        <f>Prod.!F368</f>
        <v>0</v>
      </c>
      <c r="AB655" s="282">
        <f>Prod.!G368</f>
        <v>0</v>
      </c>
      <c r="AC655" s="836">
        <f>Prod.!H368</f>
        <v>0</v>
      </c>
      <c r="AD655" s="282">
        <f>Prod.!AB368</f>
        <v>0</v>
      </c>
      <c r="AE655" s="282">
        <f>AD655-AF655</f>
        <v>0</v>
      </c>
      <c r="AF655" s="282">
        <f>Prod.!AA368</f>
        <v>0</v>
      </c>
    </row>
    <row r="656" spans="1:32" ht="15" customHeight="1">
      <c r="A656" s="1435">
        <v>6</v>
      </c>
      <c r="B656" s="818">
        <f>W657</f>
        <v>0</v>
      </c>
      <c r="C656" s="819" t="s">
        <v>765</v>
      </c>
      <c r="D656" s="822"/>
      <c r="E656" s="822"/>
      <c r="F656" s="821">
        <f ca="1">F657 + (RAND() * 0.02 - 0.01)</f>
        <v>5.5542379635156389E-3</v>
      </c>
      <c r="G656" s="821">
        <f ca="1">G657 + (RAND() * 0.06 - 0.03)</f>
        <v>0.53225985699157385</v>
      </c>
      <c r="H656" s="822">
        <f ca="1">H657 + (RAND() * 0.006 - 0.003)</f>
        <v>-1.4132403701390345E-3</v>
      </c>
      <c r="I656" s="822">
        <f ca="1">I657 + (RAND() * 0.006 - 0.003)</f>
        <v>-2.0506855482111805E-3</v>
      </c>
      <c r="J656" s="821">
        <f ca="1">J657 + (RAND() * 0.02 - 0.01)</f>
        <v>7.3445786204575213E-3</v>
      </c>
      <c r="K656" s="821"/>
      <c r="L656" s="822"/>
      <c r="M656" s="821"/>
      <c r="N656" s="823"/>
      <c r="O656" s="823"/>
      <c r="P656" s="823"/>
      <c r="Q656" s="823"/>
      <c r="R656" s="839"/>
      <c r="S656" s="821"/>
      <c r="T656" s="821"/>
      <c r="U656" s="825"/>
      <c r="V656" s="826"/>
    </row>
    <row r="657" spans="1:32" ht="15" customHeight="1">
      <c r="A657" s="1435"/>
      <c r="B657" s="827">
        <f>B656</f>
        <v>0</v>
      </c>
      <c r="C657" s="828" t="s">
        <v>768</v>
      </c>
      <c r="D657" s="829" t="str">
        <f>IF(AC657=130, "130 × 130", IF(AC657=160, "160 × 160", IF(AC657=110, "110 × 110", "Value not 130, 160, or 110")))</f>
        <v>Value not 130, 160, or 110</v>
      </c>
      <c r="E657" s="830">
        <f>AD657</f>
        <v>0</v>
      </c>
      <c r="F657" s="831">
        <f ca="1">IF(X657 &gt; 0.1, RAND() * (0.1 - 0.06) + 0.06, X657)</f>
        <v>0</v>
      </c>
      <c r="G657" s="831">
        <f ca="1">IF(Y657 &lt; 0.5, 0.5 + RAND() * 0.1, Y657)</f>
        <v>0.55913492719844182</v>
      </c>
      <c r="H657" s="830">
        <f ca="1">IF(AB657&gt;0.04, 0.029 + (0.039-0.029)*RAND(), AB657)</f>
        <v>0</v>
      </c>
      <c r="I657" s="830">
        <f ca="1">IF(AA657&gt;0.04, 0.029 + (0.039-0.029)*RAND(), AA657)</f>
        <v>0</v>
      </c>
      <c r="J657" s="831">
        <f ca="1">IF(Z657&gt;0.15, 0.11 + (0.15-0.11) * RAND(), Z657)</f>
        <v>0</v>
      </c>
      <c r="K657" s="830">
        <f ca="1">0.004 + (RAND() * (0.001 - 0.004))</f>
        <v>1.9415023890556548E-3</v>
      </c>
      <c r="L657" s="830">
        <f ca="1">H657+I657</f>
        <v>0</v>
      </c>
      <c r="M657" s="831">
        <f ca="1">(G657/6)+F657</f>
        <v>9.3189154533073637E-2</v>
      </c>
      <c r="N657" s="831">
        <f ca="1">2 + RAND()</f>
        <v>2.0717336793753902</v>
      </c>
      <c r="O657" s="831">
        <f ca="1">1 + RAND()</f>
        <v>1.8053606597809093</v>
      </c>
      <c r="P657" s="831">
        <f ca="1">2.98 + (RAND() * (3.03 - 2.98))</f>
        <v>3.0132489664386601</v>
      </c>
      <c r="Q657" s="832" t="str">
        <f ca="1">IF(D657="130 × 130", (130 + RANDBETWEEN(-1,1)) &amp; " × " &amp; (130 + RANDBETWEEN(-1,1)),
   IF(D657="160 × 160", (160 + RANDBETWEEN(-1,1)) &amp; " × " &amp; (160 + RANDBETWEEN(-1,1)),
   IF(D657="110 × 110", (110 + RANDBETWEEN(-1,1)) &amp; " × " &amp; (110 + RANDBETWEEN(-1,1)),
   "Value not matched")))</f>
        <v>Value not matched</v>
      </c>
      <c r="R657" s="833" t="s">
        <v>213</v>
      </c>
      <c r="S657" s="834" t="str">
        <f ca="1">IF(G657&lt;0.6, "IS 14650 CPS 10748/GR2", "IS 14650 CPS 10748/GR3")</f>
        <v>IS 14650 CPS 10748/GR2</v>
      </c>
      <c r="T657" s="831" t="s">
        <v>769</v>
      </c>
      <c r="U657" s="825"/>
      <c r="V657" s="826"/>
      <c r="W657" s="206">
        <f>Prod.!B369</f>
        <v>0</v>
      </c>
      <c r="X657" s="469">
        <f>Prod.!C369</f>
        <v>0</v>
      </c>
      <c r="Y657" s="469">
        <f>Prod.!D369</f>
        <v>0</v>
      </c>
      <c r="Z657" s="469">
        <f>Prod.!E369</f>
        <v>0</v>
      </c>
      <c r="AA657" s="282">
        <f>Prod.!F369</f>
        <v>0</v>
      </c>
      <c r="AB657" s="282">
        <f>Prod.!G369</f>
        <v>0</v>
      </c>
      <c r="AC657" s="836">
        <f>Prod.!H369</f>
        <v>0</v>
      </c>
      <c r="AD657" s="282">
        <f>Prod.!AB369</f>
        <v>0</v>
      </c>
      <c r="AE657" s="282">
        <f>AD657-AF657</f>
        <v>0</v>
      </c>
      <c r="AF657" s="282">
        <f>Prod.!AA369</f>
        <v>0</v>
      </c>
    </row>
    <row r="658" spans="1:32" ht="15" customHeight="1">
      <c r="A658" s="1435">
        <v>7</v>
      </c>
      <c r="B658" s="818">
        <f>W659</f>
        <v>0</v>
      </c>
      <c r="C658" s="819" t="s">
        <v>765</v>
      </c>
      <c r="D658" s="822"/>
      <c r="E658" s="822"/>
      <c r="F658" s="821">
        <f ca="1">F659 + (RAND() * 0.02 - 0.01)</f>
        <v>-5.4363561540881292E-3</v>
      </c>
      <c r="G658" s="821">
        <f ca="1">G659 + (RAND() * 0.06 - 0.03)</f>
        <v>0.48978470200160557</v>
      </c>
      <c r="H658" s="822">
        <f ca="1">H659 + (RAND() * 0.006 - 0.003)</f>
        <v>-2.7806775932497905E-3</v>
      </c>
      <c r="I658" s="822">
        <f ca="1">I659 + (RAND() * 0.006 - 0.003)</f>
        <v>-1.1529765939405263E-3</v>
      </c>
      <c r="J658" s="821">
        <f ca="1">J659 + (RAND() * 0.02 - 0.01)</f>
        <v>4.9321289824921285E-3</v>
      </c>
      <c r="K658" s="821"/>
      <c r="L658" s="822"/>
      <c r="M658" s="821"/>
      <c r="N658" s="823"/>
      <c r="O658" s="823"/>
      <c r="P658" s="823"/>
      <c r="Q658" s="823"/>
      <c r="R658" s="839"/>
      <c r="S658" s="821"/>
      <c r="T658" s="821"/>
      <c r="U658" s="825"/>
      <c r="V658" s="826"/>
    </row>
    <row r="659" spans="1:32" ht="15" customHeight="1">
      <c r="A659" s="1435"/>
      <c r="B659" s="827">
        <f>B658</f>
        <v>0</v>
      </c>
      <c r="C659" s="828" t="s">
        <v>768</v>
      </c>
      <c r="D659" s="829" t="str">
        <f>IF(AC659=130, "130 × 130", IF(AC659=160, "160 × 160", IF(AC659=110, "110 × 110", "Value not 130, 160, or 110")))</f>
        <v>Value not 130, 160, or 110</v>
      </c>
      <c r="E659" s="830">
        <f>AD659</f>
        <v>0</v>
      </c>
      <c r="F659" s="831">
        <f ca="1">IF(X659 &gt; 0.1, RAND() * (0.1 - 0.06) + 0.06, X659)</f>
        <v>0</v>
      </c>
      <c r="G659" s="831">
        <f ca="1">IF(Y659 &lt; 0.5, 0.5 + RAND() * 0.1, Y659)</f>
        <v>0.51002876335366265</v>
      </c>
      <c r="H659" s="830">
        <f ca="1">IF(AB659&gt;0.04, 0.029 + (0.039-0.029)*RAND(), AB659)</f>
        <v>0</v>
      </c>
      <c r="I659" s="830">
        <f ca="1">IF(AA659&gt;0.04, 0.029 + (0.039-0.029)*RAND(), AA659)</f>
        <v>0</v>
      </c>
      <c r="J659" s="831">
        <f ca="1">IF(Z659&gt;0.15, 0.11 + (0.15-0.11) * RAND(), Z659)</f>
        <v>0</v>
      </c>
      <c r="K659" s="830">
        <f ca="1">0.004 + (RAND() * (0.001 - 0.004))</f>
        <v>1.7837716274963426E-3</v>
      </c>
      <c r="L659" s="830">
        <f ca="1">H659+I659</f>
        <v>0</v>
      </c>
      <c r="M659" s="831">
        <f ca="1">(G659/6)+F659</f>
        <v>8.5004793892277108E-2</v>
      </c>
      <c r="N659" s="831">
        <f ca="1">2 + RAND()</f>
        <v>2.251691895909687</v>
      </c>
      <c r="O659" s="831">
        <f ca="1">1 + RAND()</f>
        <v>1.1508506400245619</v>
      </c>
      <c r="P659" s="831">
        <f ca="1">2.98 + (RAND() * (3.03 - 2.98))</f>
        <v>3.0108529774102446</v>
      </c>
      <c r="Q659" s="832" t="str">
        <f ca="1">IF(D659="130 × 130", (130 + RANDBETWEEN(-1,1)) &amp; " × " &amp; (130 + RANDBETWEEN(-1,1)),
   IF(D659="160 × 160", (160 + RANDBETWEEN(-1,1)) &amp; " × " &amp; (160 + RANDBETWEEN(-1,1)),
   IF(D659="110 × 110", (110 + RANDBETWEEN(-1,1)) &amp; " × " &amp; (110 + RANDBETWEEN(-1,1)),
   "Value not matched")))</f>
        <v>Value not matched</v>
      </c>
      <c r="R659" s="833" t="s">
        <v>213</v>
      </c>
      <c r="S659" s="834" t="str">
        <f ca="1">IF(G659&lt;0.6, "IS 14650 CPS 10748/GR2", "IS 14650 CPS 10748/GR3")</f>
        <v>IS 14650 CPS 10748/GR2</v>
      </c>
      <c r="T659" s="831" t="s">
        <v>769</v>
      </c>
      <c r="U659" s="825"/>
      <c r="V659" s="826"/>
      <c r="W659" s="206">
        <f>Prod.!B370</f>
        <v>0</v>
      </c>
      <c r="X659" s="469">
        <f>Prod.!C370</f>
        <v>0</v>
      </c>
      <c r="Y659" s="469">
        <f>Prod.!D370</f>
        <v>0</v>
      </c>
      <c r="Z659" s="469">
        <f>Prod.!E370</f>
        <v>0</v>
      </c>
      <c r="AA659" s="282">
        <f>Prod.!F370</f>
        <v>0</v>
      </c>
      <c r="AB659" s="282">
        <f>Prod.!G370</f>
        <v>0</v>
      </c>
      <c r="AC659" s="836">
        <f>Prod.!H370</f>
        <v>0</v>
      </c>
      <c r="AD659" s="282">
        <f>Prod.!AB370</f>
        <v>0</v>
      </c>
      <c r="AE659" s="282">
        <f>AD659-AF659</f>
        <v>0</v>
      </c>
      <c r="AF659" s="282">
        <f>Prod.!AA370</f>
        <v>0</v>
      </c>
    </row>
    <row r="660" spans="1:32" ht="15" customHeight="1">
      <c r="A660" s="1435">
        <v>8</v>
      </c>
      <c r="B660" s="818">
        <f>W661</f>
        <v>0</v>
      </c>
      <c r="C660" s="819" t="s">
        <v>765</v>
      </c>
      <c r="D660" s="822"/>
      <c r="E660" s="822"/>
      <c r="F660" s="821">
        <f ca="1">F661 + (RAND() * 0.02 - 0.01)</f>
        <v>6.6756024530170103E-3</v>
      </c>
      <c r="G660" s="821">
        <f ca="1">G661 + (RAND() * 0.06 - 0.03)</f>
        <v>0.57437577614607915</v>
      </c>
      <c r="H660" s="822">
        <f ca="1">H661 + (RAND() * 0.006 - 0.003)</f>
        <v>4.8267255839163367E-4</v>
      </c>
      <c r="I660" s="822">
        <f ca="1">I661 + (RAND() * 0.006 - 0.003)</f>
        <v>9.9540855923146293E-4</v>
      </c>
      <c r="J660" s="821">
        <f ca="1">J661 + (RAND() * 0.02 - 0.01)</f>
        <v>-1.9806976485258563E-3</v>
      </c>
      <c r="K660" s="821"/>
      <c r="L660" s="822"/>
      <c r="M660" s="821"/>
      <c r="N660" s="823"/>
      <c r="O660" s="823"/>
      <c r="P660" s="823"/>
      <c r="Q660" s="823"/>
      <c r="R660" s="839"/>
      <c r="S660" s="821"/>
      <c r="T660" s="821"/>
      <c r="U660" s="825"/>
      <c r="V660" s="826"/>
    </row>
    <row r="661" spans="1:32" ht="15" customHeight="1">
      <c r="A661" s="1435"/>
      <c r="B661" s="827">
        <f>B660</f>
        <v>0</v>
      </c>
      <c r="C661" s="828" t="s">
        <v>768</v>
      </c>
      <c r="D661" s="829" t="str">
        <f>IF(AC661=130, "130 × 130", IF(AC661=160, "160 × 160", IF(AC661=110, "110 × 110", "Value not 130, 160, or 110")))</f>
        <v>Value not 130, 160, or 110</v>
      </c>
      <c r="E661" s="830">
        <f>AD661</f>
        <v>0</v>
      </c>
      <c r="F661" s="831">
        <f ca="1">IF(X661 &gt; 0.1, RAND() * (0.1 - 0.06) + 0.06, X661)</f>
        <v>0</v>
      </c>
      <c r="G661" s="831">
        <f ca="1">IF(Y661 &lt; 0.5, 0.5 + RAND() * 0.1, Y661)</f>
        <v>0.58271625846016972</v>
      </c>
      <c r="H661" s="830">
        <f ca="1">IF(AB661&gt;0.04, 0.029 + (0.039-0.029)*RAND(), AB661)</f>
        <v>0</v>
      </c>
      <c r="I661" s="830">
        <f ca="1">IF(AA661&gt;0.04, 0.029 + (0.039-0.029)*RAND(), AA661)</f>
        <v>0</v>
      </c>
      <c r="J661" s="831">
        <f ca="1">IF(Z661&gt;0.15, 0.11 + (0.15-0.11) * RAND(), Z661)</f>
        <v>0</v>
      </c>
      <c r="K661" s="830">
        <f ca="1">0.004 + (RAND() * (0.001 - 0.004))</f>
        <v>1.8631042684032623E-3</v>
      </c>
      <c r="L661" s="830">
        <f ca="1">H661+I661</f>
        <v>0</v>
      </c>
      <c r="M661" s="831">
        <f ca="1">(G661/6)+F661</f>
        <v>9.7119376410028282E-2</v>
      </c>
      <c r="N661" s="831">
        <f ca="1">2 + RAND()</f>
        <v>2.8280276016511579</v>
      </c>
      <c r="O661" s="831">
        <f ca="1">1 + RAND()</f>
        <v>1.4386234215946145</v>
      </c>
      <c r="P661" s="831">
        <f ca="1">2.98 + (RAND() * (3.03 - 2.98))</f>
        <v>2.989555188460455</v>
      </c>
      <c r="Q661" s="832" t="str">
        <f ca="1">IF(D661="130 × 130", (130 + RANDBETWEEN(-1,1)) &amp; " × " &amp; (130 + RANDBETWEEN(-1,1)),
   IF(D661="160 × 160", (160 + RANDBETWEEN(-1,1)) &amp; " × " &amp; (160 + RANDBETWEEN(-1,1)),
   IF(D661="110 × 110", (110 + RANDBETWEEN(-1,1)) &amp; " × " &amp; (110 + RANDBETWEEN(-1,1)),
   "Value not matched")))</f>
        <v>Value not matched</v>
      </c>
      <c r="R661" s="833" t="s">
        <v>213</v>
      </c>
      <c r="S661" s="834" t="str">
        <f ca="1">IF(G661&lt;0.6, "IS 14650 CPS 10748/GR2", "IS 14650 CPS 10748/GR3")</f>
        <v>IS 14650 CPS 10748/GR2</v>
      </c>
      <c r="T661" s="831" t="s">
        <v>769</v>
      </c>
      <c r="U661" s="825"/>
      <c r="V661" s="826"/>
      <c r="W661" s="206">
        <f>Prod.!B371</f>
        <v>0</v>
      </c>
      <c r="X661" s="469">
        <f>Prod.!C371</f>
        <v>0</v>
      </c>
      <c r="Y661" s="469">
        <f>Prod.!D371</f>
        <v>0</v>
      </c>
      <c r="Z661" s="469">
        <f>Prod.!E371</f>
        <v>0</v>
      </c>
      <c r="AA661" s="282">
        <f>Prod.!F371</f>
        <v>0</v>
      </c>
      <c r="AB661" s="282">
        <f>Prod.!G371</f>
        <v>0</v>
      </c>
      <c r="AC661" s="836">
        <f>Prod.!H371</f>
        <v>0</v>
      </c>
      <c r="AD661" s="282">
        <f>Prod.!AB371</f>
        <v>0</v>
      </c>
      <c r="AE661" s="282">
        <f>AD661-AF661</f>
        <v>0</v>
      </c>
      <c r="AF661" s="282">
        <f>Prod.!AA371</f>
        <v>0</v>
      </c>
    </row>
    <row r="662" spans="1:32" ht="15" customHeight="1">
      <c r="A662" s="1435">
        <v>9</v>
      </c>
      <c r="B662" s="818">
        <f>W663</f>
        <v>0</v>
      </c>
      <c r="C662" s="819" t="s">
        <v>765</v>
      </c>
      <c r="D662" s="822"/>
      <c r="E662" s="822"/>
      <c r="F662" s="821">
        <f ca="1">F663 + (RAND() * 0.02 - 0.01)</f>
        <v>-7.7714170696528487E-3</v>
      </c>
      <c r="G662" s="821">
        <f ca="1">G663 + (RAND() * 0.06 - 0.03)</f>
        <v>0.54906834421032646</v>
      </c>
      <c r="H662" s="822">
        <f ca="1">H663 + (RAND() * 0.006 - 0.003)</f>
        <v>1.8527466375518479E-3</v>
      </c>
      <c r="I662" s="822">
        <f ca="1">I663 + (RAND() * 0.006 - 0.003)</f>
        <v>-4.3067254743649934E-4</v>
      </c>
      <c r="J662" s="821">
        <f ca="1">J663 + (RAND() * 0.02 - 0.01)</f>
        <v>-9.3493715475247482E-3</v>
      </c>
      <c r="K662" s="821"/>
      <c r="L662" s="822"/>
      <c r="M662" s="821"/>
      <c r="N662" s="823"/>
      <c r="O662" s="823"/>
      <c r="P662" s="823"/>
      <c r="Q662" s="823"/>
      <c r="R662" s="839"/>
      <c r="S662" s="821"/>
      <c r="T662" s="821"/>
      <c r="U662" s="825"/>
      <c r="V662" s="826"/>
    </row>
    <row r="663" spans="1:32" ht="15" customHeight="1">
      <c r="A663" s="1435"/>
      <c r="B663" s="827">
        <f>B662</f>
        <v>0</v>
      </c>
      <c r="C663" s="828" t="s">
        <v>768</v>
      </c>
      <c r="D663" s="829" t="str">
        <f>IF(AC663=130, "130 × 130", IF(AC663=160, "160 × 160", IF(AC663=110, "110 × 110", "Value not 130, 160, or 110")))</f>
        <v>Value not 130, 160, or 110</v>
      </c>
      <c r="E663" s="830">
        <f>AD663</f>
        <v>0</v>
      </c>
      <c r="F663" s="831">
        <f ca="1">IF(X663 &gt; 0.1, RAND() * (0.1 - 0.06) + 0.06, X663)</f>
        <v>0</v>
      </c>
      <c r="G663" s="831">
        <f ca="1">IF(Y663 &lt; 0.5, 0.5 + RAND() * 0.1, Y663)</f>
        <v>0.53140240809757211</v>
      </c>
      <c r="H663" s="830">
        <f ca="1">IF(AB663&gt;0.04, 0.029 + (0.039-0.029)*RAND(), AB663)</f>
        <v>0</v>
      </c>
      <c r="I663" s="830">
        <f ca="1">IF(AA663&gt;0.04, 0.029 + (0.039-0.029)*RAND(), AA663)</f>
        <v>0</v>
      </c>
      <c r="J663" s="831">
        <f ca="1">IF(Z663&gt;0.15, 0.11 + (0.15-0.11) * RAND(), Z663)</f>
        <v>0</v>
      </c>
      <c r="K663" s="830">
        <f ca="1">0.004 + (RAND() * (0.001 - 0.004))</f>
        <v>2.5802459981178064E-3</v>
      </c>
      <c r="L663" s="830">
        <f ca="1">H663+I663</f>
        <v>0</v>
      </c>
      <c r="M663" s="831">
        <f ca="1">(G663/6)+F663</f>
        <v>8.8567068016262018E-2</v>
      </c>
      <c r="N663" s="831">
        <f ca="1">2 + RAND()</f>
        <v>2.3816423861302387</v>
      </c>
      <c r="O663" s="831">
        <f ca="1">1 + RAND()</f>
        <v>1.0091253561386968</v>
      </c>
      <c r="P663" s="831">
        <f ca="1">2.98 + (RAND() * (3.03 - 2.98))</f>
        <v>2.9930785618043902</v>
      </c>
      <c r="Q663" s="832" t="str">
        <f ca="1">IF(D663="130 × 130", (130 + RANDBETWEEN(-1,1)) &amp; " × " &amp; (130 + RANDBETWEEN(-1,1)),
   IF(D663="160 × 160", (160 + RANDBETWEEN(-1,1)) &amp; " × " &amp; (160 + RANDBETWEEN(-1,1)),
   IF(D663="110 × 110", (110 + RANDBETWEEN(-1,1)) &amp; " × " &amp; (110 + RANDBETWEEN(-1,1)),
   "Value not matched")))</f>
        <v>Value not matched</v>
      </c>
      <c r="R663" s="833" t="s">
        <v>213</v>
      </c>
      <c r="S663" s="834" t="str">
        <f ca="1">IF(G663&lt;0.6, "IS 14650 CPS 10748/GR2", "IS 14650 CPS 10748/GR3")</f>
        <v>IS 14650 CPS 10748/GR2</v>
      </c>
      <c r="T663" s="831" t="s">
        <v>769</v>
      </c>
      <c r="U663" s="825"/>
      <c r="V663" s="826"/>
      <c r="W663" s="206">
        <f>Prod.!B372</f>
        <v>0</v>
      </c>
      <c r="X663" s="469">
        <f>Prod.!C372</f>
        <v>0</v>
      </c>
      <c r="Y663" s="469">
        <f>Prod.!D372</f>
        <v>0</v>
      </c>
      <c r="Z663" s="469">
        <f>Prod.!E372</f>
        <v>0</v>
      </c>
      <c r="AA663" s="282">
        <f>Prod.!F372</f>
        <v>0</v>
      </c>
      <c r="AB663" s="282">
        <f>Prod.!G372</f>
        <v>0</v>
      </c>
      <c r="AC663" s="836">
        <f>Prod.!H372</f>
        <v>0</v>
      </c>
      <c r="AD663" s="282">
        <f>Prod.!AB372</f>
        <v>0</v>
      </c>
      <c r="AE663" s="282">
        <f>AD663-AF663</f>
        <v>0</v>
      </c>
      <c r="AF663" s="282">
        <f>Prod.!AA372</f>
        <v>0</v>
      </c>
    </row>
    <row r="664" spans="1:32" ht="15" customHeight="1">
      <c r="A664" s="1435">
        <v>10</v>
      </c>
      <c r="B664" s="818">
        <f>W665</f>
        <v>0</v>
      </c>
      <c r="C664" s="819" t="s">
        <v>765</v>
      </c>
      <c r="D664" s="822"/>
      <c r="E664" s="822"/>
      <c r="F664" s="821">
        <f ca="1">F665 + (RAND() * 0.02 - 0.01)</f>
        <v>6.9028616190291072E-3</v>
      </c>
      <c r="G664" s="821">
        <f ca="1">G665 + (RAND() * 0.06 - 0.03)</f>
        <v>0.55589020809580858</v>
      </c>
      <c r="H664" s="822">
        <f ca="1">H665 + (RAND() * 0.006 - 0.003)</f>
        <v>1.1185373903027694E-4</v>
      </c>
      <c r="I664" s="822">
        <f ca="1">I665 + (RAND() * 0.006 - 0.003)</f>
        <v>1.5848016410730231E-3</v>
      </c>
      <c r="J664" s="821">
        <f ca="1">J665 + (RAND() * 0.02 - 0.01)</f>
        <v>-6.9136255723058751E-3</v>
      </c>
      <c r="K664" s="821"/>
      <c r="L664" s="822"/>
      <c r="M664" s="821"/>
      <c r="N664" s="823"/>
      <c r="O664" s="823"/>
      <c r="P664" s="823"/>
      <c r="Q664" s="823"/>
      <c r="R664" s="839"/>
      <c r="S664" s="821"/>
      <c r="T664" s="821"/>
      <c r="U664" s="825"/>
      <c r="V664" s="826"/>
    </row>
    <row r="665" spans="1:32" ht="15" customHeight="1">
      <c r="A665" s="1435"/>
      <c r="B665" s="827">
        <f>B664</f>
        <v>0</v>
      </c>
      <c r="C665" s="828" t="s">
        <v>768</v>
      </c>
      <c r="D665" s="829" t="str">
        <f>IF(AC665=130, "130 × 130", IF(AC665=160, "160 × 160", IF(AC665=110, "110 × 110", "Value not 130, 160, or 110")))</f>
        <v>Value not 130, 160, or 110</v>
      </c>
      <c r="E665" s="830">
        <f>AD665</f>
        <v>0</v>
      </c>
      <c r="F665" s="831">
        <f ca="1">IF(X665 &gt; 0.1, RAND() * (0.1 - 0.06) + 0.06, X665)</f>
        <v>0</v>
      </c>
      <c r="G665" s="831">
        <f ca="1">IF(Y665 &lt; 0.5, 0.5 + RAND() * 0.1, Y665)</f>
        <v>0.55627277643126183</v>
      </c>
      <c r="H665" s="830">
        <f ca="1">IF(AB665&gt;0.04, 0.029 + (0.039-0.029)*RAND(), AB665)</f>
        <v>0</v>
      </c>
      <c r="I665" s="830">
        <f ca="1">IF(AA665&gt;0.04, 0.029 + (0.039-0.029)*RAND(), AA665)</f>
        <v>0</v>
      </c>
      <c r="J665" s="831">
        <f ca="1">IF(Z665&gt;0.15, 0.11 + (0.15-0.11) * RAND(), Z665)</f>
        <v>0</v>
      </c>
      <c r="K665" s="830">
        <f ca="1">0.004 + (RAND() * (0.001 - 0.004))</f>
        <v>3.9035950330318361E-3</v>
      </c>
      <c r="L665" s="830">
        <f ca="1">H665+I665</f>
        <v>0</v>
      </c>
      <c r="M665" s="831">
        <f ca="1">(G665/6)+F665</f>
        <v>9.27121294052103E-2</v>
      </c>
      <c r="N665" s="831">
        <f ca="1">2 + RAND()</f>
        <v>2.0320778950827156</v>
      </c>
      <c r="O665" s="831">
        <f ca="1">1 + RAND()</f>
        <v>1.9614765231059055</v>
      </c>
      <c r="P665" s="831">
        <f ca="1">2.98 + (RAND() * (3.03 - 2.98))</f>
        <v>2.9827188986498405</v>
      </c>
      <c r="Q665" s="832" t="str">
        <f ca="1">IF(D665="130 × 130", (130 + RANDBETWEEN(-1,1)) &amp; " × " &amp; (130 + RANDBETWEEN(-1,1)),
   IF(D665="160 × 160", (160 + RANDBETWEEN(-1,1)) &amp; " × " &amp; (160 + RANDBETWEEN(-1,1)),
   IF(D665="110 × 110", (110 + RANDBETWEEN(-1,1)) &amp; " × " &amp; (110 + RANDBETWEEN(-1,1)),
   "Value not matched")))</f>
        <v>Value not matched</v>
      </c>
      <c r="R665" s="833" t="s">
        <v>213</v>
      </c>
      <c r="S665" s="834" t="str">
        <f ca="1">IF(G665&lt;0.6, "IS 14650 CPS 10748/GR2", "IS 14650 CPS 10748/GR3")</f>
        <v>IS 14650 CPS 10748/GR2</v>
      </c>
      <c r="T665" s="831" t="s">
        <v>769</v>
      </c>
      <c r="U665" s="825"/>
      <c r="V665" s="826"/>
      <c r="W665" s="206">
        <f>Prod.!B373</f>
        <v>0</v>
      </c>
      <c r="X665" s="469">
        <f>Prod.!C373</f>
        <v>0</v>
      </c>
      <c r="Y665" s="469">
        <f>Prod.!D373</f>
        <v>0</v>
      </c>
      <c r="Z665" s="469">
        <f>Prod.!E373</f>
        <v>0</v>
      </c>
      <c r="AA665" s="282">
        <f>Prod.!F373</f>
        <v>0</v>
      </c>
      <c r="AB665" s="282">
        <f>Prod.!G373</f>
        <v>0</v>
      </c>
      <c r="AC665" s="836">
        <f>Prod.!H373</f>
        <v>0</v>
      </c>
      <c r="AD665" s="282">
        <f>Prod.!AB373</f>
        <v>0</v>
      </c>
      <c r="AE665" s="282">
        <f>AD665-AF665</f>
        <v>0</v>
      </c>
      <c r="AF665" s="282">
        <f>Prod.!AA373</f>
        <v>0</v>
      </c>
    </row>
    <row r="666" spans="1:32" ht="15" customHeight="1">
      <c r="A666" s="1435">
        <v>11</v>
      </c>
      <c r="B666" s="818">
        <f>W667</f>
        <v>0</v>
      </c>
      <c r="C666" s="819" t="s">
        <v>765</v>
      </c>
      <c r="D666" s="822"/>
      <c r="E666" s="822"/>
      <c r="F666" s="821">
        <f ca="1">F667 + (RAND() * 0.02 - 0.01)</f>
        <v>-3.0450585645684881E-3</v>
      </c>
      <c r="G666" s="821">
        <f ca="1">G667 + (RAND() * 0.06 - 0.03)</f>
        <v>0.57449455689452755</v>
      </c>
      <c r="H666" s="822">
        <f ca="1">H667 + (RAND() * 0.006 - 0.003)</f>
        <v>2.612757179556508E-3</v>
      </c>
      <c r="I666" s="822">
        <f ca="1">I667 + (RAND() * 0.006 - 0.003)</f>
        <v>-1.5909990632318296E-4</v>
      </c>
      <c r="J666" s="821">
        <f ca="1">J667 + (RAND() * 0.02 - 0.01)</f>
        <v>-3.8405608175625132E-3</v>
      </c>
      <c r="K666" s="821"/>
      <c r="L666" s="822"/>
      <c r="M666" s="821"/>
      <c r="N666" s="823"/>
      <c r="O666" s="823"/>
      <c r="P666" s="823"/>
      <c r="Q666" s="823"/>
      <c r="R666" s="839"/>
      <c r="S666" s="821"/>
      <c r="T666" s="821"/>
      <c r="U666" s="825"/>
      <c r="V666" s="826"/>
    </row>
    <row r="667" spans="1:32" ht="15" customHeight="1">
      <c r="A667" s="1435"/>
      <c r="B667" s="827">
        <f>B666</f>
        <v>0</v>
      </c>
      <c r="C667" s="828" t="s">
        <v>768</v>
      </c>
      <c r="D667" s="829" t="str">
        <f>IF(AC667=130, "130 × 130", IF(AC667=160, "160 × 160", IF(AC667=110, "110 × 110", "Value not 130, 160, or 110")))</f>
        <v>Value not 130, 160, or 110</v>
      </c>
      <c r="E667" s="830">
        <f>AD667</f>
        <v>0</v>
      </c>
      <c r="F667" s="831">
        <f ca="1">IF(X667 &gt; 0.1, RAND() * (0.1 - 0.06) + 0.06, X667)</f>
        <v>0</v>
      </c>
      <c r="G667" s="831">
        <f ca="1">IF(Y667 &lt; 0.5, 0.5 + RAND() * 0.1, Y667)</f>
        <v>0.59891072924401689</v>
      </c>
      <c r="H667" s="830">
        <f ca="1">IF(AB667&gt;0.04, 0.029 + (0.039-0.029)*RAND(), AB667)</f>
        <v>0</v>
      </c>
      <c r="I667" s="830">
        <f ca="1">IF(AA667&gt;0.04, 0.029 + (0.039-0.029)*RAND(), AA667)</f>
        <v>0</v>
      </c>
      <c r="J667" s="831">
        <f ca="1">IF(Z667&gt;0.15, 0.11 + (0.15-0.11) * RAND(), Z667)</f>
        <v>0</v>
      </c>
      <c r="K667" s="830">
        <f ca="1">0.004 + (RAND() * (0.001 - 0.004))</f>
        <v>3.054031769067845E-3</v>
      </c>
      <c r="L667" s="830">
        <f ca="1">H667+I667</f>
        <v>0</v>
      </c>
      <c r="M667" s="831">
        <f ca="1">(G667/6)+F667</f>
        <v>9.9818454874002815E-2</v>
      </c>
      <c r="N667" s="831">
        <f ca="1">2 + RAND()</f>
        <v>2.6707423045922316</v>
      </c>
      <c r="O667" s="831">
        <f ca="1">1 + RAND()</f>
        <v>1.5133138110798015</v>
      </c>
      <c r="P667" s="831">
        <f ca="1">2.98 + (RAND() * (3.03 - 2.98))</f>
        <v>2.9927304426294867</v>
      </c>
      <c r="Q667" s="832" t="str">
        <f ca="1">IF(D667="130 × 130", (130 + RANDBETWEEN(-1,1)) &amp; " × " &amp; (130 + RANDBETWEEN(-1,1)),
   IF(D667="160 × 160", (160 + RANDBETWEEN(-1,1)) &amp; " × " &amp; (160 + RANDBETWEEN(-1,1)),
   IF(D667="110 × 110", (110 + RANDBETWEEN(-1,1)) &amp; " × " &amp; (110 + RANDBETWEEN(-1,1)),
   "Value not matched")))</f>
        <v>Value not matched</v>
      </c>
      <c r="R667" s="833" t="s">
        <v>213</v>
      </c>
      <c r="S667" s="834" t="str">
        <f ca="1">IF(G667&lt;0.6, "IS 14650 CPS 10748/GR2", "IS 14650 CPS 10748/GR3")</f>
        <v>IS 14650 CPS 10748/GR2</v>
      </c>
      <c r="T667" s="831" t="s">
        <v>769</v>
      </c>
      <c r="U667" s="825"/>
      <c r="V667" s="826"/>
      <c r="W667" s="206">
        <f>Prod.!B374</f>
        <v>0</v>
      </c>
      <c r="X667" s="469">
        <f>Prod.!C374</f>
        <v>0</v>
      </c>
      <c r="Y667" s="469">
        <f>Prod.!D374</f>
        <v>0</v>
      </c>
      <c r="Z667" s="469">
        <f>Prod.!E374</f>
        <v>0</v>
      </c>
      <c r="AA667" s="282">
        <f>Prod.!F374</f>
        <v>0</v>
      </c>
      <c r="AB667" s="282">
        <f>Prod.!G374</f>
        <v>0</v>
      </c>
      <c r="AC667" s="836">
        <f>Prod.!H374</f>
        <v>0</v>
      </c>
      <c r="AD667" s="282">
        <f>Prod.!AB374</f>
        <v>0</v>
      </c>
      <c r="AE667" s="282">
        <f>AD667-AF667</f>
        <v>0</v>
      </c>
      <c r="AF667" s="282">
        <f>Prod.!AA374</f>
        <v>0</v>
      </c>
    </row>
    <row r="668" spans="1:32" ht="15" customHeight="1">
      <c r="A668" s="1435">
        <v>12</v>
      </c>
      <c r="B668" s="818">
        <f>W669</f>
        <v>0</v>
      </c>
      <c r="C668" s="819" t="s">
        <v>765</v>
      </c>
      <c r="D668" s="822"/>
      <c r="E668" s="822"/>
      <c r="F668" s="821">
        <f ca="1">F669 + (RAND() * 0.02 - 0.01)</f>
        <v>9.0379157373523169E-3</v>
      </c>
      <c r="G668" s="821">
        <f ca="1">G669 + (RAND() * 0.06 - 0.03)</f>
        <v>0.59552444178043829</v>
      </c>
      <c r="H668" s="822">
        <f ca="1">H669 + (RAND() * 0.006 - 0.003)</f>
        <v>7.8877436353945321E-4</v>
      </c>
      <c r="I668" s="822">
        <f ca="1">I669 + (RAND() * 0.006 - 0.003)</f>
        <v>1.7158715218096804E-3</v>
      </c>
      <c r="J668" s="821">
        <f ca="1">J669 + (RAND() * 0.02 - 0.01)</f>
        <v>-1.8407995489900502E-3</v>
      </c>
      <c r="K668" s="821"/>
      <c r="L668" s="822"/>
      <c r="M668" s="821"/>
      <c r="N668" s="823"/>
      <c r="O668" s="823"/>
      <c r="P668" s="823"/>
      <c r="Q668" s="823"/>
      <c r="R668" s="839"/>
      <c r="S668" s="821"/>
      <c r="T668" s="821"/>
      <c r="U668" s="825"/>
      <c r="V668" s="826"/>
    </row>
    <row r="669" spans="1:32" ht="15" customHeight="1">
      <c r="A669" s="1435"/>
      <c r="B669" s="827">
        <f>B668</f>
        <v>0</v>
      </c>
      <c r="C669" s="828" t="s">
        <v>768</v>
      </c>
      <c r="D669" s="829" t="str">
        <f>IF(AC669=130, "130 × 130", IF(AC669=160, "160 × 160", IF(AC669=110, "110 × 110", "Value not 130, 160, or 110")))</f>
        <v>Value not 130, 160, or 110</v>
      </c>
      <c r="E669" s="830">
        <f>AD669</f>
        <v>0</v>
      </c>
      <c r="F669" s="831">
        <f ca="1">IF(X669 &gt; 0.1, RAND() * (0.1 - 0.06) + 0.06, X669)</f>
        <v>0</v>
      </c>
      <c r="G669" s="831">
        <f ca="1">IF(Y669 &lt; 0.5, 0.5 + RAND() * 0.1, Y669)</f>
        <v>0.5942655400571889</v>
      </c>
      <c r="H669" s="830">
        <f ca="1">IF(AB669&gt;0.04, 0.029 + (0.039-0.029)*RAND(), AB669)</f>
        <v>0</v>
      </c>
      <c r="I669" s="830">
        <f ca="1">IF(AA669&gt;0.04, 0.029 + (0.039-0.029)*RAND(), AA669)</f>
        <v>0</v>
      </c>
      <c r="J669" s="831">
        <f ca="1">IF(Z669&gt;0.15, 0.11 + (0.15-0.11) * RAND(), Z669)</f>
        <v>0</v>
      </c>
      <c r="K669" s="830">
        <f ca="1">0.004 + (RAND() * (0.001 - 0.004))</f>
        <v>2.9713816723462971E-3</v>
      </c>
      <c r="L669" s="830">
        <f ca="1">H669+I669</f>
        <v>0</v>
      </c>
      <c r="M669" s="831">
        <f ca="1">(G669/6)+F669</f>
        <v>9.904425667619815E-2</v>
      </c>
      <c r="N669" s="831">
        <f ca="1">2 + RAND()</f>
        <v>2.9785056934736591</v>
      </c>
      <c r="O669" s="831">
        <f ca="1">1 + RAND()</f>
        <v>1.4636727713060786</v>
      </c>
      <c r="P669" s="831">
        <f ca="1">2.98 + (RAND() * (3.03 - 2.98))</f>
        <v>3.0136027856866274</v>
      </c>
      <c r="Q669" s="832" t="str">
        <f ca="1">IF(D669="130 × 130", (130 + RANDBETWEEN(-1,1)) &amp; " × " &amp; (130 + RANDBETWEEN(-1,1)),
   IF(D669="160 × 160", (160 + RANDBETWEEN(-1,1)) &amp; " × " &amp; (160 + RANDBETWEEN(-1,1)),
   IF(D669="110 × 110", (110 + RANDBETWEEN(-1,1)) &amp; " × " &amp; (110 + RANDBETWEEN(-1,1)),
   "Value not matched")))</f>
        <v>Value not matched</v>
      </c>
      <c r="R669" s="833" t="s">
        <v>213</v>
      </c>
      <c r="S669" s="834" t="str">
        <f ca="1">IF(G669&lt;0.6, "IS 14650 CPS 10748/GR2", "IS 14650 CPS 10748/GR3")</f>
        <v>IS 14650 CPS 10748/GR2</v>
      </c>
      <c r="T669" s="831" t="s">
        <v>769</v>
      </c>
      <c r="U669" s="825"/>
      <c r="V669" s="826"/>
      <c r="W669" s="206">
        <f>Prod.!B375</f>
        <v>0</v>
      </c>
      <c r="X669" s="469">
        <f>Prod.!C375</f>
        <v>0</v>
      </c>
      <c r="Y669" s="469">
        <f>Prod.!D375</f>
        <v>0</v>
      </c>
      <c r="Z669" s="469">
        <f>Prod.!E375</f>
        <v>0</v>
      </c>
      <c r="AA669" s="282">
        <f>Prod.!F375</f>
        <v>0</v>
      </c>
      <c r="AB669" s="282">
        <f>Prod.!G375</f>
        <v>0</v>
      </c>
      <c r="AC669" s="836">
        <f>Prod.!H375</f>
        <v>0</v>
      </c>
      <c r="AD669" s="282">
        <f>Prod.!AB375</f>
        <v>0</v>
      </c>
      <c r="AE669" s="282">
        <f>AD669-AF669</f>
        <v>0</v>
      </c>
      <c r="AF669" s="282">
        <f>Prod.!AA375</f>
        <v>0</v>
      </c>
    </row>
    <row r="670" spans="1:32" ht="15" customHeight="1">
      <c r="A670" s="1435"/>
      <c r="B670" s="818"/>
      <c r="C670" s="819"/>
      <c r="D670" s="822"/>
      <c r="E670" s="822"/>
      <c r="F670" s="821"/>
      <c r="G670" s="821"/>
      <c r="H670" s="840"/>
      <c r="I670" s="840"/>
      <c r="J670" s="821"/>
      <c r="K670" s="821"/>
      <c r="L670" s="822"/>
      <c r="M670" s="838"/>
      <c r="N670" s="821"/>
      <c r="O670" s="821"/>
      <c r="P670" s="821"/>
      <c r="Q670" s="821"/>
      <c r="R670" s="839"/>
      <c r="S670" s="841"/>
      <c r="T670" s="821"/>
      <c r="U670" s="825"/>
      <c r="V670" s="826"/>
    </row>
    <row r="671" spans="1:32" ht="15" customHeight="1">
      <c r="A671" s="1435"/>
      <c r="B671" s="827"/>
      <c r="C671" s="828"/>
      <c r="D671" s="842"/>
      <c r="E671" s="830"/>
      <c r="F671" s="831"/>
      <c r="G671" s="831"/>
      <c r="H671" s="843"/>
      <c r="I671" s="843"/>
      <c r="J671" s="831"/>
      <c r="K671" s="831"/>
      <c r="L671" s="830"/>
      <c r="M671" s="831"/>
      <c r="N671" s="831"/>
      <c r="O671" s="831"/>
      <c r="P671" s="831"/>
      <c r="Q671" s="831"/>
      <c r="R671" s="833"/>
      <c r="S671" s="834"/>
      <c r="T671" s="831"/>
      <c r="U671" s="825"/>
      <c r="V671" s="826"/>
    </row>
    <row r="672" spans="1:32" ht="15" customHeight="1">
      <c r="A672" s="180"/>
      <c r="B672" s="180"/>
      <c r="C672" s="180" t="s">
        <v>770</v>
      </c>
      <c r="D672" s="395"/>
      <c r="E672" s="844">
        <f>SUM(E646:E669)</f>
        <v>0</v>
      </c>
      <c r="F672" s="180"/>
      <c r="G672" s="180"/>
      <c r="H672" s="844"/>
      <c r="I672" s="180"/>
      <c r="J672" s="845"/>
      <c r="K672" s="845"/>
      <c r="L672" s="180"/>
      <c r="M672" s="845"/>
      <c r="N672" s="180"/>
      <c r="O672" s="180"/>
      <c r="P672" s="180"/>
      <c r="Q672" s="180"/>
      <c r="R672" s="263"/>
      <c r="S672" s="180"/>
      <c r="T672" s="180"/>
    </row>
    <row r="673" spans="1:32" ht="28.5" customHeight="1">
      <c r="A673" s="1436" t="s">
        <v>746</v>
      </c>
      <c r="B673" s="1436"/>
      <c r="C673" s="1436"/>
      <c r="D673" s="1436"/>
      <c r="E673" s="1436"/>
      <c r="F673" s="1436"/>
      <c r="G673" s="1436"/>
      <c r="H673" s="1436"/>
      <c r="I673" s="1436"/>
      <c r="J673" s="1436"/>
      <c r="K673" s="1436"/>
      <c r="L673" s="1436"/>
      <c r="M673" s="1436"/>
      <c r="N673" s="1436"/>
      <c r="O673" s="1436"/>
      <c r="P673" s="1436"/>
      <c r="Q673" s="1436"/>
      <c r="R673" s="1436"/>
      <c r="S673" s="1436"/>
      <c r="T673" s="1436"/>
      <c r="U673" s="515"/>
      <c r="V673" s="846"/>
    </row>
    <row r="674" spans="1:32" ht="15" customHeight="1">
      <c r="A674" s="1437" t="s">
        <v>747</v>
      </c>
      <c r="B674" s="1437"/>
      <c r="C674" s="1437"/>
      <c r="D674" s="1437"/>
      <c r="E674" s="1437"/>
      <c r="F674" s="1437"/>
      <c r="G674" s="1437"/>
      <c r="H674" s="1437"/>
      <c r="I674" s="1437"/>
      <c r="J674" s="1437"/>
      <c r="K674" s="1437"/>
      <c r="L674" s="1437"/>
      <c r="M674" s="1437"/>
      <c r="N674" s="1437"/>
      <c r="O674" s="1437"/>
      <c r="P674" s="1437"/>
      <c r="Q674" s="1437"/>
      <c r="R674" s="1437"/>
      <c r="S674" s="1437"/>
      <c r="T674" s="1437"/>
      <c r="U674" s="806"/>
      <c r="V674" s="807"/>
    </row>
    <row r="675" spans="1:32" ht="15" customHeight="1">
      <c r="A675" s="1438" t="str">
        <f>"DATE OF MANUFACTURING : " &amp; TEXT(V679, "DD-MM-YYYY")</f>
        <v>DATE OF MANUFACTURING : 00-01-1900</v>
      </c>
      <c r="B675" s="1438"/>
      <c r="C675" s="1438"/>
      <c r="D675" s="1438"/>
      <c r="E675" s="1438"/>
      <c r="F675" s="1438"/>
      <c r="G675" s="1438"/>
      <c r="H675" s="1438"/>
      <c r="I675" s="1438"/>
      <c r="J675" s="1438"/>
      <c r="K675" s="1438"/>
      <c r="L675" s="1438"/>
      <c r="M675" s="1438"/>
      <c r="N675" s="1437" t="s">
        <v>748</v>
      </c>
      <c r="O675" s="1437"/>
      <c r="P675" s="1437"/>
      <c r="Q675" s="1437"/>
      <c r="R675" s="1437"/>
      <c r="S675" s="1437"/>
      <c r="T675" s="1437"/>
      <c r="U675" s="808"/>
      <c r="V675" s="809"/>
    </row>
    <row r="676" spans="1:32" ht="29.25" customHeight="1">
      <c r="A676" s="1439" t="s">
        <v>749</v>
      </c>
      <c r="B676" s="1440" t="s">
        <v>750</v>
      </c>
      <c r="C676" s="1440"/>
      <c r="D676" s="1440" t="s">
        <v>751</v>
      </c>
      <c r="E676" s="1441" t="s">
        <v>752</v>
      </c>
      <c r="F676" s="1442" t="s">
        <v>753</v>
      </c>
      <c r="G676" s="1442"/>
      <c r="H676" s="1442"/>
      <c r="I676" s="1442"/>
      <c r="J676" s="1442"/>
      <c r="K676" s="1442"/>
      <c r="L676" s="1442"/>
      <c r="M676" s="1442"/>
      <c r="N676" s="1442" t="s">
        <v>754</v>
      </c>
      <c r="O676" s="1442"/>
      <c r="P676" s="1442"/>
      <c r="Q676" s="1442"/>
      <c r="R676" s="1444" t="s">
        <v>755</v>
      </c>
      <c r="S676" s="1441" t="s">
        <v>756</v>
      </c>
      <c r="T676" s="1440" t="s">
        <v>104</v>
      </c>
      <c r="U676" s="810"/>
      <c r="V676" s="811"/>
    </row>
    <row r="677" spans="1:32" ht="42.75" customHeight="1">
      <c r="A677" s="1439"/>
      <c r="B677" s="1440"/>
      <c r="C677" s="1440"/>
      <c r="D677" s="1440"/>
      <c r="E677" s="1440"/>
      <c r="F677" s="812" t="s">
        <v>40</v>
      </c>
      <c r="G677" s="812" t="s">
        <v>757</v>
      </c>
      <c r="H677" s="813" t="s">
        <v>758</v>
      </c>
      <c r="I677" s="812" t="s">
        <v>43</v>
      </c>
      <c r="J677" s="812" t="s">
        <v>42</v>
      </c>
      <c r="K677" s="812" t="s">
        <v>759</v>
      </c>
      <c r="L677" s="812" t="s">
        <v>760</v>
      </c>
      <c r="M677" s="812" t="s">
        <v>761</v>
      </c>
      <c r="N677" s="814" t="s">
        <v>762</v>
      </c>
      <c r="O677" s="815" t="s">
        <v>772</v>
      </c>
      <c r="P677" s="816" t="s">
        <v>773</v>
      </c>
      <c r="Q677" s="817" t="s">
        <v>764</v>
      </c>
      <c r="R677" s="1444"/>
      <c r="S677" s="1441"/>
      <c r="T677" s="1441"/>
      <c r="U677" s="810"/>
      <c r="V677" s="811"/>
    </row>
    <row r="678" spans="1:32" ht="15" customHeight="1">
      <c r="A678" s="1435">
        <v>1</v>
      </c>
      <c r="B678" s="818">
        <f>W679</f>
        <v>0</v>
      </c>
      <c r="C678" s="819" t="s">
        <v>765</v>
      </c>
      <c r="D678" s="820"/>
      <c r="E678" s="821"/>
      <c r="F678" s="821">
        <f ca="1">F679 + (RAND() * 0.02 - 0.01)</f>
        <v>8.0883627942758777E-3</v>
      </c>
      <c r="G678" s="821">
        <f ca="1">G679 + (RAND() * 0.06 - 0.03)</f>
        <v>0.61733877418110528</v>
      </c>
      <c r="H678" s="822">
        <f ca="1">H679 + (RAND() * 0.006 - 0.003)</f>
        <v>2.8817006926862851E-3</v>
      </c>
      <c r="I678" s="822">
        <f ca="1">I679 + (RAND() * 0.006 - 0.003)</f>
        <v>-1.1829903061856817E-3</v>
      </c>
      <c r="J678" s="821">
        <f ca="1">J679 + (RAND() * 0.02 - 0.01)</f>
        <v>-3.1135713471193704E-3</v>
      </c>
      <c r="K678" s="821"/>
      <c r="L678" s="822"/>
      <c r="M678" s="821"/>
      <c r="N678" s="823"/>
      <c r="O678" s="823"/>
      <c r="P678" s="823"/>
      <c r="Q678" s="823"/>
      <c r="R678" s="824"/>
      <c r="S678" s="821"/>
      <c r="T678" s="821"/>
      <c r="U678" s="825"/>
      <c r="V678" s="826"/>
      <c r="AE678" t="s">
        <v>767</v>
      </c>
    </row>
    <row r="679" spans="1:32" ht="15" customHeight="1">
      <c r="A679" s="1435"/>
      <c r="B679" s="827">
        <f>B678</f>
        <v>0</v>
      </c>
      <c r="C679" s="828" t="s">
        <v>768</v>
      </c>
      <c r="D679" s="829" t="str">
        <f>IF(AC679=130, "130 × 130", IF(AC679=160, "160 × 160", IF(AC679=110, "110 × 110", "Value not 130, 160, or 110")))</f>
        <v>Value not 130, 160, or 110</v>
      </c>
      <c r="E679" s="830">
        <f>AD679</f>
        <v>0</v>
      </c>
      <c r="F679" s="831">
        <f ca="1">IF(X679 &gt; 0.1, RAND() * (0.1 - 0.06) + 0.06, X679)</f>
        <v>0</v>
      </c>
      <c r="G679" s="831">
        <f ca="1">IF(Y679 &lt; 0.5, 0.5 + RAND() * 0.1, Y679)</f>
        <v>0.59277429487979205</v>
      </c>
      <c r="H679" s="830">
        <f ca="1">IF(AB679&gt;0.04, 0.029 + (0.039-0.029)*RAND(), AB679)</f>
        <v>0</v>
      </c>
      <c r="I679" s="830">
        <f ca="1">IF(AA679&gt;0.04, 0.029 + (0.039-0.029)*RAND(), AA679)</f>
        <v>0</v>
      </c>
      <c r="J679" s="831">
        <f ca="1">IF(Z679&gt;0.15, 0.11 + (0.15-0.11) * RAND(), Z679)</f>
        <v>0</v>
      </c>
      <c r="K679" s="830">
        <f ca="1">0.004 + (RAND() * (0.001 - 0.004))</f>
        <v>3.7832452936614799E-3</v>
      </c>
      <c r="L679" s="830">
        <f ca="1">H679+I679</f>
        <v>0</v>
      </c>
      <c r="M679" s="831">
        <f ca="1">(G679/6)+F679</f>
        <v>9.8795715813298671E-2</v>
      </c>
      <c r="N679" s="831">
        <f ca="1">2 + RAND()</f>
        <v>2.020129061995505</v>
      </c>
      <c r="O679" s="831">
        <f ca="1">1 + RAND()</f>
        <v>1.095576870318528</v>
      </c>
      <c r="P679" s="831">
        <f ca="1">2.98 + (RAND() * (3.03 - 2.98))</f>
        <v>2.9939735516979349</v>
      </c>
      <c r="Q679" s="832" t="str">
        <f ca="1">IF(D679="130 × 130", (130 + RANDBETWEEN(-1,1)) &amp; " × " &amp; (130 + RANDBETWEEN(-1,1)),
   IF(D679="160 × 160", (160 + RANDBETWEEN(-1,1)) &amp; " × " &amp; (160 + RANDBETWEEN(-1,1)),
   IF(D679="110 × 110", (110 + RANDBETWEEN(-1,1)) &amp; " × " &amp; (110 + RANDBETWEEN(-1,1)),
   "Value not matched")))</f>
        <v>Value not matched</v>
      </c>
      <c r="R679" s="833" t="s">
        <v>213</v>
      </c>
      <c r="S679" s="834" t="str">
        <f ca="1">IF(G679&lt;0.6, "IS 14650 CPS 10748/GR2", "IS 14650 CPS 10748/GR3")</f>
        <v>IS 14650 CPS 10748/GR2</v>
      </c>
      <c r="T679" s="831" t="s">
        <v>769</v>
      </c>
      <c r="U679" s="825"/>
      <c r="V679" s="835">
        <f>Prod.!A382</f>
        <v>0</v>
      </c>
      <c r="W679" s="206">
        <f>Prod.!B382</f>
        <v>0</v>
      </c>
      <c r="X679" s="469">
        <f>Prod.!C382</f>
        <v>0</v>
      </c>
      <c r="Y679" s="469">
        <f>Prod.!D382</f>
        <v>0</v>
      </c>
      <c r="Z679" s="469">
        <f>Prod.!E382</f>
        <v>0</v>
      </c>
      <c r="AA679" s="282">
        <f>Prod.!F382</f>
        <v>0</v>
      </c>
      <c r="AB679" s="282">
        <f>Prod.!G382</f>
        <v>0</v>
      </c>
      <c r="AC679" s="836">
        <f>Prod.!H382</f>
        <v>0</v>
      </c>
      <c r="AD679" s="282">
        <f>Prod.!AB382</f>
        <v>0</v>
      </c>
      <c r="AE679" s="282">
        <f>AD679-AF679</f>
        <v>0</v>
      </c>
      <c r="AF679" s="282">
        <f>Prod.!AA382</f>
        <v>0</v>
      </c>
    </row>
    <row r="680" spans="1:32" ht="15" customHeight="1">
      <c r="A680" s="1435">
        <v>2</v>
      </c>
      <c r="B680" s="818">
        <f>W681</f>
        <v>0</v>
      </c>
      <c r="C680" s="819" t="s">
        <v>765</v>
      </c>
      <c r="D680" s="822"/>
      <c r="E680" s="822"/>
      <c r="F680" s="821">
        <f ca="1">F681 + (RAND() * 0.02 - 0.01)</f>
        <v>4.6303468718933444E-3</v>
      </c>
      <c r="G680" s="821">
        <f ca="1">G681 + (RAND() * 0.06 - 0.03)</f>
        <v>0.51138717138258727</v>
      </c>
      <c r="H680" s="822">
        <f ca="1">H681 + (RAND() * 0.006 - 0.003)</f>
        <v>-2.200802981220917E-3</v>
      </c>
      <c r="I680" s="822">
        <f ca="1">I681 + (RAND() * 0.006 - 0.003)</f>
        <v>-1.9217306216801724E-3</v>
      </c>
      <c r="J680" s="821">
        <f ca="1">J681 + (RAND() * 0.02 - 0.01)</f>
        <v>-1.5552515006210035E-3</v>
      </c>
      <c r="K680" s="821"/>
      <c r="L680" s="822"/>
      <c r="M680" s="821"/>
      <c r="N680" s="823"/>
      <c r="O680" s="823"/>
      <c r="P680" s="823"/>
      <c r="Q680" s="823"/>
      <c r="R680" s="837"/>
      <c r="S680" s="821"/>
      <c r="T680" s="838"/>
      <c r="U680" s="825"/>
      <c r="V680" s="826"/>
    </row>
    <row r="681" spans="1:32" ht="15" customHeight="1">
      <c r="A681" s="1435"/>
      <c r="B681" s="827">
        <f>B680</f>
        <v>0</v>
      </c>
      <c r="C681" s="828" t="s">
        <v>768</v>
      </c>
      <c r="D681" s="829" t="str">
        <f>IF(AC681=130, "130 × 130", IF(AC681=160, "160 × 160", IF(AC681=110, "110 × 110", "Value not 130, 160, or 110")))</f>
        <v>Value not 130, 160, or 110</v>
      </c>
      <c r="E681" s="830">
        <f>AD681</f>
        <v>0</v>
      </c>
      <c r="F681" s="831">
        <f ca="1">IF(X681 &gt; 0.1, RAND() * (0.1 - 0.06) + 0.06, X681)</f>
        <v>0</v>
      </c>
      <c r="G681" s="831">
        <f ca="1">IF(Y681 &lt; 0.5, 0.5 + RAND() * 0.1, Y681)</f>
        <v>0.51642902341633434</v>
      </c>
      <c r="H681" s="830">
        <f ca="1">IF(AB681&gt;0.04, 0.029 + (0.039-0.029)*RAND(), AB681)</f>
        <v>0</v>
      </c>
      <c r="I681" s="830">
        <f ca="1">IF(AA681&gt;0.04, 0.029 + (0.039-0.029)*RAND(), AA681)</f>
        <v>0</v>
      </c>
      <c r="J681" s="831">
        <f ca="1">IF(Z681&gt;0.15, 0.11 + (0.15-0.11) * RAND(), Z681)</f>
        <v>0</v>
      </c>
      <c r="K681" s="830">
        <f ca="1">0.004 + (RAND() * (0.001 - 0.004))</f>
        <v>3.8814263122815555E-3</v>
      </c>
      <c r="L681" s="830">
        <f ca="1">H681+I681</f>
        <v>0</v>
      </c>
      <c r="M681" s="831">
        <f ca="1">(G681/6)+F681</f>
        <v>8.607150390272239E-2</v>
      </c>
      <c r="N681" s="831">
        <f ca="1">2 + RAND()</f>
        <v>2.1003630929802126</v>
      </c>
      <c r="O681" s="831">
        <f ca="1">1 + RAND()</f>
        <v>1.7662420519612736</v>
      </c>
      <c r="P681" s="831">
        <f ca="1">2.98 + (RAND() * (3.03 - 2.98))</f>
        <v>2.9974914214000594</v>
      </c>
      <c r="Q681" s="832" t="str">
        <f ca="1">IF(D681="130 × 130", (130 + RANDBETWEEN(-1,1)) &amp; " × " &amp; (130 + RANDBETWEEN(-1,1)),
   IF(D681="160 × 160", (160 + RANDBETWEEN(-1,1)) &amp; " × " &amp; (160 + RANDBETWEEN(-1,1)),
   IF(D681="110 × 110", (110 + RANDBETWEEN(-1,1)) &amp; " × " &amp; (110 + RANDBETWEEN(-1,1)),
   "Value not matched")))</f>
        <v>Value not matched</v>
      </c>
      <c r="R681" s="833" t="s">
        <v>213</v>
      </c>
      <c r="S681" s="834" t="str">
        <f ca="1">IF(G681&lt;0.6, "IS 14650 CPS 10748/GR2", "IS 14650 CPS 10748/GR3")</f>
        <v>IS 14650 CPS 10748/GR2</v>
      </c>
      <c r="T681" s="831" t="s">
        <v>769</v>
      </c>
      <c r="U681" s="825"/>
      <c r="V681" s="826"/>
      <c r="W681" s="206">
        <f>Prod.!B383</f>
        <v>0</v>
      </c>
      <c r="X681" s="469">
        <f>Prod.!C383</f>
        <v>0</v>
      </c>
      <c r="Y681" s="469">
        <f>Prod.!D383</f>
        <v>0</v>
      </c>
      <c r="Z681" s="469">
        <f>Prod.!E383</f>
        <v>0</v>
      </c>
      <c r="AA681" s="282">
        <f>Prod.!F383</f>
        <v>0</v>
      </c>
      <c r="AB681" s="282">
        <f>Prod.!G383</f>
        <v>0</v>
      </c>
      <c r="AC681" s="836">
        <f>Prod.!H383</f>
        <v>0</v>
      </c>
      <c r="AD681" s="282">
        <f>Prod.!AB383</f>
        <v>0</v>
      </c>
      <c r="AE681" s="282">
        <f>AD681-AF681</f>
        <v>0</v>
      </c>
      <c r="AF681" s="282">
        <f>Prod.!AA383</f>
        <v>0</v>
      </c>
    </row>
    <row r="682" spans="1:32" ht="15" customHeight="1">
      <c r="A682" s="1435">
        <v>3</v>
      </c>
      <c r="B682" s="818">
        <f>W683</f>
        <v>0</v>
      </c>
      <c r="C682" s="819" t="s">
        <v>765</v>
      </c>
      <c r="D682" s="822"/>
      <c r="E682" s="822"/>
      <c r="F682" s="821">
        <f ca="1">F683 + (RAND() * 0.02 - 0.01)</f>
        <v>-2.297052662772932E-3</v>
      </c>
      <c r="G682" s="821">
        <f ca="1">G683 + (RAND() * 0.06 - 0.03)</f>
        <v>0.53451971157562705</v>
      </c>
      <c r="H682" s="822">
        <f ca="1">H683 + (RAND() * 0.006 - 0.003)</f>
        <v>2.732245350613509E-3</v>
      </c>
      <c r="I682" s="822">
        <f ca="1">I683 + (RAND() * 0.006 - 0.003)</f>
        <v>-2.986325426000221E-3</v>
      </c>
      <c r="J682" s="821">
        <f ca="1">J683 + (RAND() * 0.02 - 0.01)</f>
        <v>-3.377268527653075E-3</v>
      </c>
      <c r="K682" s="821"/>
      <c r="L682" s="822"/>
      <c r="M682" s="821"/>
      <c r="N682" s="823"/>
      <c r="O682" s="823"/>
      <c r="P682" s="823"/>
      <c r="Q682" s="823"/>
      <c r="R682" s="839"/>
      <c r="S682" s="821"/>
      <c r="T682" s="821"/>
      <c r="U682" s="825"/>
      <c r="V682" s="826"/>
    </row>
    <row r="683" spans="1:32" ht="15" customHeight="1">
      <c r="A683" s="1435"/>
      <c r="B683" s="827">
        <f>B682</f>
        <v>0</v>
      </c>
      <c r="C683" s="828" t="s">
        <v>768</v>
      </c>
      <c r="D683" s="829" t="str">
        <f>IF(AC683=130, "130 × 130", IF(AC683=160, "160 × 160", IF(AC683=110, "110 × 110", "Value not 130, 160, or 110")))</f>
        <v>Value not 130, 160, or 110</v>
      </c>
      <c r="E683" s="830">
        <f>AD683</f>
        <v>0</v>
      </c>
      <c r="F683" s="831">
        <f ca="1">IF(X683 &gt; 0.1, RAND() * (0.1 - 0.06) + 0.06, X683)</f>
        <v>0</v>
      </c>
      <c r="G683" s="831">
        <f ca="1">IF(Y683 &lt; 0.5, 0.5 + RAND() * 0.1, Y683)</f>
        <v>0.51420598528188122</v>
      </c>
      <c r="H683" s="830">
        <f ca="1">IF(AB683&gt;0.04, 0.029 + (0.039-0.029)*RAND(), AB683)</f>
        <v>0</v>
      </c>
      <c r="I683" s="830">
        <f ca="1">IF(AA683&gt;0.04, 0.029 + (0.039-0.029)*RAND(), AA683)</f>
        <v>0</v>
      </c>
      <c r="J683" s="831">
        <f ca="1">IF(Z683&gt;0.15, 0.11 + (0.15-0.11) * RAND(), Z683)</f>
        <v>0</v>
      </c>
      <c r="K683" s="830">
        <f ca="1">0.004 + (RAND() * (0.001 - 0.004))</f>
        <v>3.0284791171047145E-3</v>
      </c>
      <c r="L683" s="830">
        <f ca="1">H683+I683</f>
        <v>0</v>
      </c>
      <c r="M683" s="831">
        <f ca="1">(G683/6)+F683</f>
        <v>8.5700997546980198E-2</v>
      </c>
      <c r="N683" s="831">
        <f ca="1">2 + RAND()</f>
        <v>2.9751434919258593</v>
      </c>
      <c r="O683" s="831">
        <f ca="1">1 + RAND()</f>
        <v>1.3813060681252036</v>
      </c>
      <c r="P683" s="831">
        <f ca="1">2.98 + (RAND() * (3.03 - 2.98))</f>
        <v>3.0141387216460163</v>
      </c>
      <c r="Q683" s="832" t="str">
        <f ca="1">IF(D683="130 × 130", (130 + RANDBETWEEN(-1,1)) &amp; " × " &amp; (130 + RANDBETWEEN(-1,1)),
   IF(D683="160 × 160", (160 + RANDBETWEEN(-1,1)) &amp; " × " &amp; (160 + RANDBETWEEN(-1,1)),
   IF(D683="110 × 110", (110 + RANDBETWEEN(-1,1)) &amp; " × " &amp; (110 + RANDBETWEEN(-1,1)),
   "Value not matched")))</f>
        <v>Value not matched</v>
      </c>
      <c r="R683" s="833" t="s">
        <v>213</v>
      </c>
      <c r="S683" s="834" t="str">
        <f ca="1">IF(G683&lt;0.6, "IS 14650 CPS 10748/GR2", "IS 14650 CPS 10748/GR3")</f>
        <v>IS 14650 CPS 10748/GR2</v>
      </c>
      <c r="T683" s="831" t="s">
        <v>769</v>
      </c>
      <c r="U683" s="825"/>
      <c r="V683" s="826"/>
      <c r="W683" s="206">
        <f>Prod.!B384</f>
        <v>0</v>
      </c>
      <c r="X683" s="469">
        <f>Prod.!C384</f>
        <v>0</v>
      </c>
      <c r="Y683" s="469">
        <f>Prod.!D384</f>
        <v>0</v>
      </c>
      <c r="Z683" s="469">
        <f>Prod.!E384</f>
        <v>0</v>
      </c>
      <c r="AA683" s="282">
        <f>Prod.!F384</f>
        <v>0</v>
      </c>
      <c r="AB683" s="282">
        <f>Prod.!G384</f>
        <v>0</v>
      </c>
      <c r="AC683" s="836">
        <f>Prod.!H384</f>
        <v>0</v>
      </c>
      <c r="AD683" s="282">
        <f>Prod.!AB384</f>
        <v>0</v>
      </c>
      <c r="AE683" s="282">
        <f>AD683-AF683</f>
        <v>0</v>
      </c>
      <c r="AF683" s="282">
        <f>Prod.!AA384</f>
        <v>0</v>
      </c>
    </row>
    <row r="684" spans="1:32" ht="15" customHeight="1">
      <c r="A684" s="1435">
        <v>4</v>
      </c>
      <c r="B684" s="818">
        <f>W685</f>
        <v>0</v>
      </c>
      <c r="C684" s="819" t="s">
        <v>765</v>
      </c>
      <c r="D684" s="822"/>
      <c r="E684" s="822"/>
      <c r="F684" s="821">
        <f ca="1">F685 + (RAND() * 0.02 - 0.01)</f>
        <v>-7.5835955175650206E-3</v>
      </c>
      <c r="G684" s="821">
        <f ca="1">G685 + (RAND() * 0.06 - 0.03)</f>
        <v>0.56100059244750433</v>
      </c>
      <c r="H684" s="822">
        <f ca="1">H685 + (RAND() * 0.006 - 0.003)</f>
        <v>2.4579496834769027E-3</v>
      </c>
      <c r="I684" s="822">
        <f ca="1">I685 + (RAND() * 0.006 - 0.003)</f>
        <v>-2.1408624971618277E-3</v>
      </c>
      <c r="J684" s="821">
        <f ca="1">J685 + (RAND() * 0.02 - 0.01)</f>
        <v>7.3947281807290616E-3</v>
      </c>
      <c r="K684" s="821"/>
      <c r="L684" s="822"/>
      <c r="M684" s="821"/>
      <c r="N684" s="823"/>
      <c r="O684" s="823"/>
      <c r="P684" s="823"/>
      <c r="Q684" s="823"/>
      <c r="R684" s="839"/>
      <c r="S684" s="821"/>
      <c r="T684" s="821"/>
      <c r="U684" s="825"/>
      <c r="V684" s="826"/>
    </row>
    <row r="685" spans="1:32" ht="15" customHeight="1">
      <c r="A685" s="1435"/>
      <c r="B685" s="827">
        <f>B684</f>
        <v>0</v>
      </c>
      <c r="C685" s="828" t="s">
        <v>768</v>
      </c>
      <c r="D685" s="829" t="str">
        <f>IF(AC685=130, "130 × 130", IF(AC685=160, "160 × 160", IF(AC685=110, "110 × 110", "Value not 130, 160, or 110")))</f>
        <v>Value not 130, 160, or 110</v>
      </c>
      <c r="E685" s="830">
        <f>AD685</f>
        <v>0</v>
      </c>
      <c r="F685" s="831">
        <f ca="1">IF(X685 &gt; 0.1, RAND() * (0.1 - 0.06) + 0.06, X685)</f>
        <v>0</v>
      </c>
      <c r="G685" s="831">
        <f ca="1">IF(Y685 &lt; 0.5, 0.5 + RAND() * 0.1, Y685)</f>
        <v>0.58354138090231444</v>
      </c>
      <c r="H685" s="830">
        <f ca="1">IF(AB685&gt;0.04, 0.029 + (0.039-0.029)*RAND(), AB685)</f>
        <v>0</v>
      </c>
      <c r="I685" s="830">
        <f ca="1">IF(AA685&gt;0.04, 0.029 + (0.039-0.029)*RAND(), AA685)</f>
        <v>0</v>
      </c>
      <c r="J685" s="831">
        <f ca="1">IF(Z685&gt;0.15, 0.11 + (0.15-0.11) * RAND(), Z685)</f>
        <v>0</v>
      </c>
      <c r="K685" s="830">
        <f ca="1">0.004 + (RAND() * (0.001 - 0.004))</f>
        <v>1.0597402437276626E-3</v>
      </c>
      <c r="L685" s="830">
        <f ca="1">H685+I685</f>
        <v>0</v>
      </c>
      <c r="M685" s="831">
        <f ca="1">(G685/6)+F685</f>
        <v>9.7256896817052407E-2</v>
      </c>
      <c r="N685" s="831">
        <f ca="1">2 + RAND()</f>
        <v>2.7127846609802893</v>
      </c>
      <c r="O685" s="831">
        <f ca="1">1 + RAND()</f>
        <v>1.275304281271987</v>
      </c>
      <c r="P685" s="831">
        <f ca="1">2.98 + (RAND() * (3.03 - 2.98))</f>
        <v>3.0069065579578207</v>
      </c>
      <c r="Q685" s="832" t="str">
        <f ca="1">IF(D685="130 × 130", (130 + RANDBETWEEN(-1,1)) &amp; " × " &amp; (130 + RANDBETWEEN(-1,1)),
   IF(D685="160 × 160", (160 + RANDBETWEEN(-1,1)) &amp; " × " &amp; (160 + RANDBETWEEN(-1,1)),
   IF(D685="110 × 110", (110 + RANDBETWEEN(-1,1)) &amp; " × " &amp; (110 + RANDBETWEEN(-1,1)),
   "Value not matched")))</f>
        <v>Value not matched</v>
      </c>
      <c r="R685" s="833" t="s">
        <v>213</v>
      </c>
      <c r="S685" s="834" t="str">
        <f ca="1">IF(G685&lt;0.6, "IS 14650 CPS 10748/GR2", "IS 14650 CPS 10748/GR3")</f>
        <v>IS 14650 CPS 10748/GR2</v>
      </c>
      <c r="T685" s="831" t="s">
        <v>769</v>
      </c>
      <c r="U685" s="825"/>
      <c r="V685" s="826"/>
      <c r="W685" s="206">
        <f>Prod.!B385</f>
        <v>0</v>
      </c>
      <c r="X685" s="469">
        <f>Prod.!C385</f>
        <v>0</v>
      </c>
      <c r="Y685" s="469">
        <f>Prod.!D385</f>
        <v>0</v>
      </c>
      <c r="Z685" s="469">
        <f>Prod.!E385</f>
        <v>0</v>
      </c>
      <c r="AA685" s="282">
        <f>Prod.!F385</f>
        <v>0</v>
      </c>
      <c r="AB685" s="282">
        <f>Prod.!G385</f>
        <v>0</v>
      </c>
      <c r="AC685" s="836">
        <f>Prod.!H385</f>
        <v>0</v>
      </c>
      <c r="AD685" s="282">
        <f>Prod.!AB385</f>
        <v>0</v>
      </c>
      <c r="AE685" s="282">
        <f>AD685-AF685</f>
        <v>0</v>
      </c>
      <c r="AF685" s="282">
        <f>Prod.!AA385</f>
        <v>0</v>
      </c>
    </row>
    <row r="686" spans="1:32" ht="15" customHeight="1">
      <c r="A686" s="1435">
        <v>5</v>
      </c>
      <c r="B686" s="818">
        <f>W687</f>
        <v>0</v>
      </c>
      <c r="C686" s="819" t="s">
        <v>765</v>
      </c>
      <c r="D686" s="822"/>
      <c r="E686" s="822"/>
      <c r="F686" s="821">
        <f ca="1">F687 + (RAND() * 0.02 - 0.01)</f>
        <v>-9.018116185785293E-3</v>
      </c>
      <c r="G686" s="821">
        <f ca="1">G687 + (RAND() * 0.06 - 0.03)</f>
        <v>0.5104598597326554</v>
      </c>
      <c r="H686" s="822">
        <f ca="1">H687 + (RAND() * 0.006 - 0.003)</f>
        <v>1.5527919581598973E-3</v>
      </c>
      <c r="I686" s="822">
        <f ca="1">I687 + (RAND() * 0.006 - 0.003)</f>
        <v>-1.6154858922358404E-3</v>
      </c>
      <c r="J686" s="821">
        <f ca="1">J687 + (RAND() * 0.02 - 0.01)</f>
        <v>4.8821225846684742E-3</v>
      </c>
      <c r="K686" s="821"/>
      <c r="L686" s="822"/>
      <c r="M686" s="821"/>
      <c r="N686" s="823"/>
      <c r="O686" s="823"/>
      <c r="P686" s="823"/>
      <c r="Q686" s="823"/>
      <c r="R686" s="839"/>
      <c r="S686" s="821"/>
      <c r="T686" s="821"/>
      <c r="U686" s="825"/>
      <c r="V686" s="826"/>
    </row>
    <row r="687" spans="1:32" ht="15" customHeight="1">
      <c r="A687" s="1435"/>
      <c r="B687" s="827">
        <f>B686</f>
        <v>0</v>
      </c>
      <c r="C687" s="828" t="s">
        <v>768</v>
      </c>
      <c r="D687" s="829" t="str">
        <f>IF(AC687=130, "130 × 130", IF(AC687=160, "160 × 160", IF(AC687=110, "110 × 110", "Value not 130, 160, or 110")))</f>
        <v>Value not 130, 160, or 110</v>
      </c>
      <c r="E687" s="830">
        <f>AD687</f>
        <v>0</v>
      </c>
      <c r="F687" s="831">
        <f ca="1">IF(X687 &gt; 0.1, RAND() * (0.1 - 0.06) + 0.06, X687)</f>
        <v>0</v>
      </c>
      <c r="G687" s="831">
        <f ca="1">IF(Y687 &lt; 0.5, 0.5 + RAND() * 0.1, Y687)</f>
        <v>0.51182677283250411</v>
      </c>
      <c r="H687" s="830">
        <f ca="1">IF(AB687&gt;0.04, 0.029 + (0.039-0.029)*RAND(), AB687)</f>
        <v>0</v>
      </c>
      <c r="I687" s="830">
        <f ca="1">IF(AA687&gt;0.04, 0.029 + (0.039-0.029)*RAND(), AA687)</f>
        <v>0</v>
      </c>
      <c r="J687" s="831">
        <f ca="1">IF(Z687&gt;0.15, 0.11 + (0.15-0.11) * RAND(), Z687)</f>
        <v>0</v>
      </c>
      <c r="K687" s="830">
        <f ca="1">0.004 + (RAND() * (0.001 - 0.004))</f>
        <v>3.4510079662896515E-3</v>
      </c>
      <c r="L687" s="830">
        <f ca="1">H687+I687</f>
        <v>0</v>
      </c>
      <c r="M687" s="831">
        <f ca="1">(G687/6)+F687</f>
        <v>8.5304462138750689E-2</v>
      </c>
      <c r="N687" s="831">
        <f ca="1">2 + RAND()</f>
        <v>2.9261091031645221</v>
      </c>
      <c r="O687" s="831">
        <f ca="1">1 + RAND()</f>
        <v>1.4127563751015373</v>
      </c>
      <c r="P687" s="831">
        <f ca="1">2.98 + (RAND() * (3.03 - 2.98))</f>
        <v>2.9929145280260303</v>
      </c>
      <c r="Q687" s="832" t="str">
        <f ca="1">IF(D687="130 × 130", (130 + RANDBETWEEN(-1,1)) &amp; " × " &amp; (130 + RANDBETWEEN(-1,1)),
   IF(D687="160 × 160", (160 + RANDBETWEEN(-1,1)) &amp; " × " &amp; (160 + RANDBETWEEN(-1,1)),
   IF(D687="110 × 110", (110 + RANDBETWEEN(-1,1)) &amp; " × " &amp; (110 + RANDBETWEEN(-1,1)),
   "Value not matched")))</f>
        <v>Value not matched</v>
      </c>
      <c r="R687" s="833" t="s">
        <v>213</v>
      </c>
      <c r="S687" s="834" t="str">
        <f ca="1">IF(G687&lt;0.6, "IS 14650 CPS 10748/GR2", "IS 14650 CPS 10748/GR3")</f>
        <v>IS 14650 CPS 10748/GR2</v>
      </c>
      <c r="T687" s="831" t="s">
        <v>769</v>
      </c>
      <c r="U687" s="825"/>
      <c r="V687" s="826"/>
      <c r="W687" s="206">
        <f>Prod.!B386</f>
        <v>0</v>
      </c>
      <c r="X687" s="469">
        <f>Prod.!C386</f>
        <v>0</v>
      </c>
      <c r="Y687" s="469">
        <f>Prod.!D386</f>
        <v>0</v>
      </c>
      <c r="Z687" s="469">
        <f>Prod.!E386</f>
        <v>0</v>
      </c>
      <c r="AA687" s="282">
        <f>Prod.!F386</f>
        <v>0</v>
      </c>
      <c r="AB687" s="282">
        <f>Prod.!G386</f>
        <v>0</v>
      </c>
      <c r="AC687" s="836">
        <f>Prod.!H386</f>
        <v>0</v>
      </c>
      <c r="AD687" s="282">
        <f>Prod.!AB386</f>
        <v>0</v>
      </c>
      <c r="AE687" s="282">
        <f>AD687-AF687</f>
        <v>0</v>
      </c>
      <c r="AF687" s="282">
        <f>Prod.!AA386</f>
        <v>0</v>
      </c>
    </row>
    <row r="688" spans="1:32" ht="15" customHeight="1">
      <c r="A688" s="1435">
        <v>6</v>
      </c>
      <c r="B688" s="818">
        <f>W689</f>
        <v>0</v>
      </c>
      <c r="C688" s="819" t="s">
        <v>765</v>
      </c>
      <c r="D688" s="822"/>
      <c r="E688" s="822"/>
      <c r="F688" s="821">
        <f ca="1">F689 + (RAND() * 0.02 - 0.01)</f>
        <v>9.9324141462989058E-3</v>
      </c>
      <c r="G688" s="821">
        <f ca="1">G689 + (RAND() * 0.06 - 0.03)</f>
        <v>0.53940413161278855</v>
      </c>
      <c r="H688" s="822">
        <f ca="1">H689 + (RAND() * 0.006 - 0.003)</f>
        <v>2.8378524738720805E-3</v>
      </c>
      <c r="I688" s="822">
        <f ca="1">I689 + (RAND() * 0.006 - 0.003)</f>
        <v>-3.8093108047391848E-4</v>
      </c>
      <c r="J688" s="821">
        <f ca="1">J689 + (RAND() * 0.02 - 0.01)</f>
        <v>9.9130633615004075E-3</v>
      </c>
      <c r="K688" s="821"/>
      <c r="L688" s="822"/>
      <c r="M688" s="821"/>
      <c r="N688" s="823"/>
      <c r="O688" s="823"/>
      <c r="P688" s="823"/>
      <c r="Q688" s="823"/>
      <c r="R688" s="839"/>
      <c r="S688" s="821"/>
      <c r="T688" s="821"/>
      <c r="U688" s="825"/>
      <c r="V688" s="826"/>
    </row>
    <row r="689" spans="1:32" ht="15" customHeight="1">
      <c r="A689" s="1435"/>
      <c r="B689" s="827">
        <f>B688</f>
        <v>0</v>
      </c>
      <c r="C689" s="828" t="s">
        <v>768</v>
      </c>
      <c r="D689" s="829" t="str">
        <f>IF(AC689=130, "130 × 130", IF(AC689=160, "160 × 160", IF(AC689=110, "110 × 110", "Value not 130, 160, or 110")))</f>
        <v>Value not 130, 160, or 110</v>
      </c>
      <c r="E689" s="830">
        <f>AD689</f>
        <v>0</v>
      </c>
      <c r="F689" s="831">
        <f ca="1">IF(X689 &gt; 0.1, RAND() * (0.1 - 0.06) + 0.06, X689)</f>
        <v>0</v>
      </c>
      <c r="G689" s="831">
        <f ca="1">IF(Y689 &lt; 0.5, 0.5 + RAND() * 0.1, Y689)</f>
        <v>0.54919099569378027</v>
      </c>
      <c r="H689" s="830">
        <f ca="1">IF(AB689&gt;0.04, 0.029 + (0.039-0.029)*RAND(), AB689)</f>
        <v>0</v>
      </c>
      <c r="I689" s="830">
        <f ca="1">IF(AA689&gt;0.04, 0.029 + (0.039-0.029)*RAND(), AA689)</f>
        <v>0</v>
      </c>
      <c r="J689" s="831">
        <f ca="1">IF(Z689&gt;0.15, 0.11 + (0.15-0.11) * RAND(), Z689)</f>
        <v>0</v>
      </c>
      <c r="K689" s="830">
        <f ca="1">0.004 + (RAND() * (0.001 - 0.004))</f>
        <v>2.0528358950429163E-3</v>
      </c>
      <c r="L689" s="830">
        <f ca="1">H689+I689</f>
        <v>0</v>
      </c>
      <c r="M689" s="831">
        <f ca="1">(G689/6)+F689</f>
        <v>9.153183261563004E-2</v>
      </c>
      <c r="N689" s="831">
        <f ca="1">2 + RAND()</f>
        <v>2.9749067577901651</v>
      </c>
      <c r="O689" s="831">
        <f ca="1">1 + RAND()</f>
        <v>1.3695438894183036</v>
      </c>
      <c r="P689" s="831">
        <f ca="1">2.98 + (RAND() * (3.03 - 2.98))</f>
        <v>3.0108884728372751</v>
      </c>
      <c r="Q689" s="832" t="str">
        <f ca="1">IF(D689="130 × 130", (130 + RANDBETWEEN(-1,1)) &amp; " × " &amp; (130 + RANDBETWEEN(-1,1)),
   IF(D689="160 × 160", (160 + RANDBETWEEN(-1,1)) &amp; " × " &amp; (160 + RANDBETWEEN(-1,1)),
   IF(D689="110 × 110", (110 + RANDBETWEEN(-1,1)) &amp; " × " &amp; (110 + RANDBETWEEN(-1,1)),
   "Value not matched")))</f>
        <v>Value not matched</v>
      </c>
      <c r="R689" s="833" t="s">
        <v>213</v>
      </c>
      <c r="S689" s="834" t="str">
        <f ca="1">IF(G689&lt;0.6, "IS 14650 CPS 10748/GR2", "IS 14650 CPS 10748/GR3")</f>
        <v>IS 14650 CPS 10748/GR2</v>
      </c>
      <c r="T689" s="831" t="s">
        <v>769</v>
      </c>
      <c r="U689" s="825"/>
      <c r="V689" s="826"/>
      <c r="W689" s="206">
        <f>Prod.!B387</f>
        <v>0</v>
      </c>
      <c r="X689" s="469">
        <f>Prod.!C387</f>
        <v>0</v>
      </c>
      <c r="Y689" s="469">
        <f>Prod.!D387</f>
        <v>0</v>
      </c>
      <c r="Z689" s="469">
        <f>Prod.!E387</f>
        <v>0</v>
      </c>
      <c r="AA689" s="282">
        <f>Prod.!F387</f>
        <v>0</v>
      </c>
      <c r="AB689" s="282">
        <f>Prod.!G387</f>
        <v>0</v>
      </c>
      <c r="AC689" s="836">
        <f>Prod.!H387</f>
        <v>0</v>
      </c>
      <c r="AD689" s="282">
        <f>Prod.!AB387</f>
        <v>0</v>
      </c>
      <c r="AE689" s="282">
        <f>AD689-AF689</f>
        <v>0</v>
      </c>
      <c r="AF689" s="282">
        <f>Prod.!AA387</f>
        <v>0</v>
      </c>
    </row>
    <row r="690" spans="1:32" ht="15" customHeight="1">
      <c r="A690" s="1435">
        <v>7</v>
      </c>
      <c r="B690" s="818">
        <f>W691</f>
        <v>0</v>
      </c>
      <c r="C690" s="819" t="s">
        <v>765</v>
      </c>
      <c r="D690" s="822"/>
      <c r="E690" s="822"/>
      <c r="F690" s="821">
        <f ca="1">F691 + (RAND() * 0.02 - 0.01)</f>
        <v>-8.9925600770627608E-3</v>
      </c>
      <c r="G690" s="821">
        <f ca="1">G691 + (RAND() * 0.06 - 0.03)</f>
        <v>0.52804478191485715</v>
      </c>
      <c r="H690" s="822">
        <f ca="1">H691 + (RAND() * 0.006 - 0.003)</f>
        <v>1.3955918528219639E-3</v>
      </c>
      <c r="I690" s="822">
        <f ca="1">I691 + (RAND() * 0.006 - 0.003)</f>
        <v>-2.6839266635505588E-3</v>
      </c>
      <c r="J690" s="821">
        <f ca="1">J691 + (RAND() * 0.02 - 0.01)</f>
        <v>7.3056022049708836E-3</v>
      </c>
      <c r="K690" s="821"/>
      <c r="L690" s="822"/>
      <c r="M690" s="821"/>
      <c r="N690" s="823"/>
      <c r="O690" s="823"/>
      <c r="P690" s="823"/>
      <c r="Q690" s="823"/>
      <c r="R690" s="839"/>
      <c r="S690" s="821"/>
      <c r="T690" s="821"/>
      <c r="U690" s="825"/>
      <c r="V690" s="826"/>
    </row>
    <row r="691" spans="1:32" ht="15" customHeight="1">
      <c r="A691" s="1435"/>
      <c r="B691" s="827">
        <f>B690</f>
        <v>0</v>
      </c>
      <c r="C691" s="828" t="s">
        <v>768</v>
      </c>
      <c r="D691" s="829" t="str">
        <f>IF(AC691=130, "130 × 130", IF(AC691=160, "160 × 160", IF(AC691=110, "110 × 110", "Value not 130, 160, or 110")))</f>
        <v>Value not 130, 160, or 110</v>
      </c>
      <c r="E691" s="830">
        <f>AD691</f>
        <v>0</v>
      </c>
      <c r="F691" s="831">
        <f ca="1">IF(X691 &gt; 0.1, RAND() * (0.1 - 0.06) + 0.06, X691)</f>
        <v>0</v>
      </c>
      <c r="G691" s="831">
        <f ca="1">IF(Y691 &lt; 0.5, 0.5 + RAND() * 0.1, Y691)</f>
        <v>0.53833671017189166</v>
      </c>
      <c r="H691" s="830">
        <f ca="1">IF(AB691&gt;0.04, 0.029 + (0.039-0.029)*RAND(), AB691)</f>
        <v>0</v>
      </c>
      <c r="I691" s="830">
        <f ca="1">IF(AA691&gt;0.04, 0.029 + (0.039-0.029)*RAND(), AA691)</f>
        <v>0</v>
      </c>
      <c r="J691" s="831">
        <f ca="1">IF(Z691&gt;0.15, 0.11 + (0.15-0.11) * RAND(), Z691)</f>
        <v>0</v>
      </c>
      <c r="K691" s="830">
        <f ca="1">0.004 + (RAND() * (0.001 - 0.004))</f>
        <v>2.1646046285846267E-3</v>
      </c>
      <c r="L691" s="830">
        <f ca="1">H691+I691</f>
        <v>0</v>
      </c>
      <c r="M691" s="831">
        <f ca="1">(G691/6)+F691</f>
        <v>8.9722785028648611E-2</v>
      </c>
      <c r="N691" s="831">
        <f ca="1">2 + RAND()</f>
        <v>2.5470702332065374</v>
      </c>
      <c r="O691" s="831">
        <f ca="1">1 + RAND()</f>
        <v>1.2029063544437368</v>
      </c>
      <c r="P691" s="831">
        <f ca="1">2.98 + (RAND() * (3.03 - 2.98))</f>
        <v>2.9801464859377074</v>
      </c>
      <c r="Q691" s="832" t="str">
        <f ca="1">IF(D691="130 × 130", (130 + RANDBETWEEN(-1,1)) &amp; " × " &amp; (130 + RANDBETWEEN(-1,1)),
   IF(D691="160 × 160", (160 + RANDBETWEEN(-1,1)) &amp; " × " &amp; (160 + RANDBETWEEN(-1,1)),
   IF(D691="110 × 110", (110 + RANDBETWEEN(-1,1)) &amp; " × " &amp; (110 + RANDBETWEEN(-1,1)),
   "Value not matched")))</f>
        <v>Value not matched</v>
      </c>
      <c r="R691" s="833" t="s">
        <v>213</v>
      </c>
      <c r="S691" s="834" t="str">
        <f ca="1">IF(G691&lt;0.6, "IS 14650 CPS 10748/GR2", "IS 14650 CPS 10748/GR3")</f>
        <v>IS 14650 CPS 10748/GR2</v>
      </c>
      <c r="T691" s="831" t="s">
        <v>769</v>
      </c>
      <c r="U691" s="825"/>
      <c r="V691" s="826"/>
      <c r="W691" s="206">
        <f>Prod.!B388</f>
        <v>0</v>
      </c>
      <c r="X691" s="469">
        <f>Prod.!C388</f>
        <v>0</v>
      </c>
      <c r="Y691" s="469">
        <f>Prod.!D388</f>
        <v>0</v>
      </c>
      <c r="Z691" s="469">
        <f>Prod.!E388</f>
        <v>0</v>
      </c>
      <c r="AA691" s="282">
        <f>Prod.!F388</f>
        <v>0</v>
      </c>
      <c r="AB691" s="282">
        <f>Prod.!G388</f>
        <v>0</v>
      </c>
      <c r="AC691" s="836">
        <f>Prod.!H388</f>
        <v>0</v>
      </c>
      <c r="AD691" s="282">
        <f>Prod.!AB388</f>
        <v>0</v>
      </c>
      <c r="AE691" s="282">
        <f>AD691-AF691</f>
        <v>0</v>
      </c>
      <c r="AF691" s="282">
        <f>Prod.!AA388</f>
        <v>0</v>
      </c>
    </row>
    <row r="692" spans="1:32" ht="15" customHeight="1">
      <c r="A692" s="1435">
        <v>8</v>
      </c>
      <c r="B692" s="818">
        <f>W693</f>
        <v>0</v>
      </c>
      <c r="C692" s="819" t="s">
        <v>765</v>
      </c>
      <c r="D692" s="822"/>
      <c r="E692" s="822"/>
      <c r="F692" s="821">
        <f ca="1">F693 + (RAND() * 0.02 - 0.01)</f>
        <v>-6.8311797624257039E-3</v>
      </c>
      <c r="G692" s="821">
        <f ca="1">G693 + (RAND() * 0.06 - 0.03)</f>
        <v>0.49252946783625789</v>
      </c>
      <c r="H692" s="822">
        <f ca="1">H693 + (RAND() * 0.006 - 0.003)</f>
        <v>2.2377103008208027E-3</v>
      </c>
      <c r="I692" s="822">
        <f ca="1">I693 + (RAND() * 0.006 - 0.003)</f>
        <v>-9.9591390009294177E-4</v>
      </c>
      <c r="J692" s="821">
        <f ca="1">J693 + (RAND() * 0.02 - 0.01)</f>
        <v>4.5518500178935682E-3</v>
      </c>
      <c r="K692" s="821"/>
      <c r="L692" s="822"/>
      <c r="M692" s="821"/>
      <c r="N692" s="823"/>
      <c r="O692" s="823"/>
      <c r="P692" s="823"/>
      <c r="Q692" s="823"/>
      <c r="R692" s="839"/>
      <c r="S692" s="821"/>
      <c r="T692" s="821"/>
      <c r="U692" s="825"/>
      <c r="V692" s="826"/>
    </row>
    <row r="693" spans="1:32" ht="15" customHeight="1">
      <c r="A693" s="1435"/>
      <c r="B693" s="827">
        <f>B692</f>
        <v>0</v>
      </c>
      <c r="C693" s="828" t="s">
        <v>768</v>
      </c>
      <c r="D693" s="829" t="str">
        <f>IF(AC693=130, "130 × 130", IF(AC693=160, "160 × 160", IF(AC693=110, "110 × 110", "Value not 130, 160, or 110")))</f>
        <v>Value not 130, 160, or 110</v>
      </c>
      <c r="E693" s="830">
        <f>AD693</f>
        <v>0</v>
      </c>
      <c r="F693" s="831">
        <f ca="1">IF(X693 &gt; 0.1, RAND() * (0.1 - 0.06) + 0.06, X693)</f>
        <v>0</v>
      </c>
      <c r="G693" s="831">
        <f ca="1">IF(Y693 &lt; 0.5, 0.5 + RAND() * 0.1, Y693)</f>
        <v>0.50402595478920731</v>
      </c>
      <c r="H693" s="830">
        <f ca="1">IF(AB693&gt;0.04, 0.029 + (0.039-0.029)*RAND(), AB693)</f>
        <v>0</v>
      </c>
      <c r="I693" s="830">
        <f ca="1">IF(AA693&gt;0.04, 0.029 + (0.039-0.029)*RAND(), AA693)</f>
        <v>0</v>
      </c>
      <c r="J693" s="831">
        <f ca="1">IF(Z693&gt;0.15, 0.11 + (0.15-0.11) * RAND(), Z693)</f>
        <v>0</v>
      </c>
      <c r="K693" s="830">
        <f ca="1">0.004 + (RAND() * (0.001 - 0.004))</f>
        <v>2.8491955649816375E-3</v>
      </c>
      <c r="L693" s="830">
        <f ca="1">H693+I693</f>
        <v>0</v>
      </c>
      <c r="M693" s="831">
        <f ca="1">(G693/6)+F693</f>
        <v>8.4004325798201218E-2</v>
      </c>
      <c r="N693" s="831">
        <f ca="1">2 + RAND()</f>
        <v>2.6336760594104685</v>
      </c>
      <c r="O693" s="831">
        <f ca="1">1 + RAND()</f>
        <v>1.7470512512575425</v>
      </c>
      <c r="P693" s="831">
        <f ca="1">2.98 + (RAND() * (3.03 - 2.98))</f>
        <v>2.9890528691718323</v>
      </c>
      <c r="Q693" s="832" t="str">
        <f ca="1">IF(D693="130 × 130", (130 + RANDBETWEEN(-1,1)) &amp; " × " &amp; (130 + RANDBETWEEN(-1,1)),
   IF(D693="160 × 160", (160 + RANDBETWEEN(-1,1)) &amp; " × " &amp; (160 + RANDBETWEEN(-1,1)),
   IF(D693="110 × 110", (110 + RANDBETWEEN(-1,1)) &amp; " × " &amp; (110 + RANDBETWEEN(-1,1)),
   "Value not matched")))</f>
        <v>Value not matched</v>
      </c>
      <c r="R693" s="833" t="s">
        <v>213</v>
      </c>
      <c r="S693" s="834" t="str">
        <f ca="1">IF(G693&lt;0.6, "IS 14650 CPS 10748/GR2", "IS 14650 CPS 10748/GR3")</f>
        <v>IS 14650 CPS 10748/GR2</v>
      </c>
      <c r="T693" s="831" t="s">
        <v>769</v>
      </c>
      <c r="U693" s="825"/>
      <c r="V693" s="826"/>
      <c r="W693" s="206">
        <f>Prod.!B389</f>
        <v>0</v>
      </c>
      <c r="X693" s="469">
        <f>Prod.!C389</f>
        <v>0</v>
      </c>
      <c r="Y693" s="469">
        <f>Prod.!D389</f>
        <v>0</v>
      </c>
      <c r="Z693" s="469">
        <f>Prod.!E389</f>
        <v>0</v>
      </c>
      <c r="AA693" s="282">
        <f>Prod.!F389</f>
        <v>0</v>
      </c>
      <c r="AB693" s="282">
        <f>Prod.!G389</f>
        <v>0</v>
      </c>
      <c r="AC693" s="836">
        <f>Prod.!H389</f>
        <v>0</v>
      </c>
      <c r="AD693" s="282">
        <f>Prod.!AB389</f>
        <v>0</v>
      </c>
      <c r="AE693" s="282">
        <f>AD693-AF693</f>
        <v>0</v>
      </c>
      <c r="AF693" s="282">
        <f>Prod.!AA389</f>
        <v>0</v>
      </c>
    </row>
    <row r="694" spans="1:32" ht="15" customHeight="1">
      <c r="A694" s="1435">
        <v>9</v>
      </c>
      <c r="B694" s="818">
        <f>W695</f>
        <v>0</v>
      </c>
      <c r="C694" s="819" t="s">
        <v>765</v>
      </c>
      <c r="D694" s="822"/>
      <c r="E694" s="822"/>
      <c r="F694" s="821">
        <f ca="1">F695 + (RAND() * 0.02 - 0.01)</f>
        <v>2.5397021948031211E-3</v>
      </c>
      <c r="G694" s="821">
        <f ca="1">G695 + (RAND() * 0.06 - 0.03)</f>
        <v>0.48350479103802946</v>
      </c>
      <c r="H694" s="822">
        <f ca="1">H695 + (RAND() * 0.006 - 0.003)</f>
        <v>-2.1726349099336646E-3</v>
      </c>
      <c r="I694" s="822">
        <f ca="1">I695 + (RAND() * 0.006 - 0.003)</f>
        <v>-1.2087041351807532E-3</v>
      </c>
      <c r="J694" s="821">
        <f ca="1">J695 + (RAND() * 0.02 - 0.01)</f>
        <v>-6.0946803317995252E-3</v>
      </c>
      <c r="K694" s="821"/>
      <c r="L694" s="822"/>
      <c r="M694" s="821"/>
      <c r="N694" s="823"/>
      <c r="O694" s="823"/>
      <c r="P694" s="823"/>
      <c r="Q694" s="823"/>
      <c r="R694" s="839"/>
      <c r="S694" s="821"/>
      <c r="T694" s="821"/>
      <c r="U694" s="825"/>
      <c r="V694" s="826"/>
    </row>
    <row r="695" spans="1:32" ht="15" customHeight="1">
      <c r="A695" s="1435"/>
      <c r="B695" s="827">
        <f>B694</f>
        <v>0</v>
      </c>
      <c r="C695" s="828" t="s">
        <v>768</v>
      </c>
      <c r="D695" s="829" t="str">
        <f>IF(AC695=130, "130 × 130", IF(AC695=160, "160 × 160", IF(AC695=110, "110 × 110", "Value not 130, 160, or 110")))</f>
        <v>Value not 130, 160, or 110</v>
      </c>
      <c r="E695" s="830">
        <f>AD695</f>
        <v>0</v>
      </c>
      <c r="F695" s="831">
        <f ca="1">IF(X695 &gt; 0.1, RAND() * (0.1 - 0.06) + 0.06, X695)</f>
        <v>0</v>
      </c>
      <c r="G695" s="831">
        <f ca="1">IF(Y695 &lt; 0.5, 0.5 + RAND() * 0.1, Y695)</f>
        <v>0.50304065415779253</v>
      </c>
      <c r="H695" s="830">
        <f ca="1">IF(AB695&gt;0.04, 0.029 + (0.039-0.029)*RAND(), AB695)</f>
        <v>0</v>
      </c>
      <c r="I695" s="830">
        <f ca="1">IF(AA695&gt;0.04, 0.029 + (0.039-0.029)*RAND(), AA695)</f>
        <v>0</v>
      </c>
      <c r="J695" s="831">
        <f ca="1">IF(Z695&gt;0.15, 0.11 + (0.15-0.11) * RAND(), Z695)</f>
        <v>0</v>
      </c>
      <c r="K695" s="830">
        <f ca="1">0.004 + (RAND() * (0.001 - 0.004))</f>
        <v>2.4932249348275483E-3</v>
      </c>
      <c r="L695" s="830">
        <f ca="1">H695+I695</f>
        <v>0</v>
      </c>
      <c r="M695" s="831">
        <f ca="1">(G695/6)+F695</f>
        <v>8.3840109026298751E-2</v>
      </c>
      <c r="N695" s="831">
        <f ca="1">2 + RAND()</f>
        <v>2.5215324538316839</v>
      </c>
      <c r="O695" s="831">
        <f ca="1">1 + RAND()</f>
        <v>1.1100194972461774</v>
      </c>
      <c r="P695" s="831">
        <f ca="1">2.98 + (RAND() * (3.03 - 2.98))</f>
        <v>3.0110192614665108</v>
      </c>
      <c r="Q695" s="832" t="str">
        <f ca="1">IF(D695="130 × 130", (130 + RANDBETWEEN(-1,1)) &amp; " × " &amp; (130 + RANDBETWEEN(-1,1)),
   IF(D695="160 × 160", (160 + RANDBETWEEN(-1,1)) &amp; " × " &amp; (160 + RANDBETWEEN(-1,1)),
   IF(D695="110 × 110", (110 + RANDBETWEEN(-1,1)) &amp; " × " &amp; (110 + RANDBETWEEN(-1,1)),
   "Value not matched")))</f>
        <v>Value not matched</v>
      </c>
      <c r="R695" s="833" t="s">
        <v>213</v>
      </c>
      <c r="S695" s="834" t="str">
        <f ca="1">IF(G695&lt;0.6, "IS 14650 CPS 10748/GR2", "IS 14650 CPS 10748/GR3")</f>
        <v>IS 14650 CPS 10748/GR2</v>
      </c>
      <c r="T695" s="831" t="s">
        <v>769</v>
      </c>
      <c r="U695" s="825"/>
      <c r="V695" s="826"/>
      <c r="W695" s="206">
        <f>Prod.!B390</f>
        <v>0</v>
      </c>
      <c r="X695" s="469">
        <f>Prod.!C390</f>
        <v>0</v>
      </c>
      <c r="Y695" s="469">
        <f>Prod.!D390</f>
        <v>0</v>
      </c>
      <c r="Z695" s="469">
        <f>Prod.!E390</f>
        <v>0</v>
      </c>
      <c r="AA695" s="282">
        <f>Prod.!F390</f>
        <v>0</v>
      </c>
      <c r="AB695" s="282">
        <f>Prod.!G390</f>
        <v>0</v>
      </c>
      <c r="AC695" s="836">
        <f>Prod.!H390</f>
        <v>0</v>
      </c>
      <c r="AD695" s="282">
        <f>Prod.!AB390</f>
        <v>0</v>
      </c>
      <c r="AE695" s="282">
        <f>AD695-AF695</f>
        <v>0</v>
      </c>
      <c r="AF695" s="282">
        <f>Prod.!AA390</f>
        <v>0</v>
      </c>
    </row>
    <row r="696" spans="1:32" ht="15" customHeight="1">
      <c r="A696" s="1435">
        <v>10</v>
      </c>
      <c r="B696" s="818">
        <f>W697</f>
        <v>0</v>
      </c>
      <c r="C696" s="819" t="s">
        <v>765</v>
      </c>
      <c r="D696" s="822"/>
      <c r="E696" s="822"/>
      <c r="F696" s="821">
        <f ca="1">F697 + (RAND() * 0.02 - 0.01)</f>
        <v>-3.0799445717262387E-3</v>
      </c>
      <c r="G696" s="821">
        <f ca="1">G697 + (RAND() * 0.06 - 0.03)</f>
        <v>0.5220749948422172</v>
      </c>
      <c r="H696" s="822">
        <f ca="1">H697 + (RAND() * 0.006 - 0.003)</f>
        <v>-2.6053937185006263E-4</v>
      </c>
      <c r="I696" s="822">
        <f ca="1">I697 + (RAND() * 0.006 - 0.003)</f>
        <v>-2.3096706195918138E-3</v>
      </c>
      <c r="J696" s="821">
        <f ca="1">J697 + (RAND() * 0.02 - 0.01)</f>
        <v>-8.6942730766616516E-3</v>
      </c>
      <c r="K696" s="821"/>
      <c r="L696" s="822"/>
      <c r="M696" s="821"/>
      <c r="N696" s="823"/>
      <c r="O696" s="823"/>
      <c r="P696" s="823"/>
      <c r="Q696" s="823"/>
      <c r="R696" s="839"/>
      <c r="S696" s="821"/>
      <c r="T696" s="821"/>
      <c r="U696" s="825"/>
      <c r="V696" s="826"/>
    </row>
    <row r="697" spans="1:32" ht="15" customHeight="1">
      <c r="A697" s="1435"/>
      <c r="B697" s="827">
        <f>B696</f>
        <v>0</v>
      </c>
      <c r="C697" s="828" t="s">
        <v>768</v>
      </c>
      <c r="D697" s="829" t="str">
        <f>IF(AC697=130, "130 × 130", IF(AC697=160, "160 × 160", IF(AC697=110, "110 × 110", "Value not 130, 160, or 110")))</f>
        <v>Value not 130, 160, or 110</v>
      </c>
      <c r="E697" s="830">
        <f>AD697</f>
        <v>0</v>
      </c>
      <c r="F697" s="831">
        <f ca="1">IF(X697 &gt; 0.1, RAND() * (0.1 - 0.06) + 0.06, X697)</f>
        <v>0</v>
      </c>
      <c r="G697" s="831">
        <f ca="1">IF(Y697 &lt; 0.5, 0.5 + RAND() * 0.1, Y697)</f>
        <v>0.50857099974060471</v>
      </c>
      <c r="H697" s="830">
        <f ca="1">IF(AB697&gt;0.04, 0.029 + (0.039-0.029)*RAND(), AB697)</f>
        <v>0</v>
      </c>
      <c r="I697" s="830">
        <f ca="1">IF(AA697&gt;0.04, 0.029 + (0.039-0.029)*RAND(), AA697)</f>
        <v>0</v>
      </c>
      <c r="J697" s="831">
        <f ca="1">IF(Z697&gt;0.15, 0.11 + (0.15-0.11) * RAND(), Z697)</f>
        <v>0</v>
      </c>
      <c r="K697" s="830">
        <f ca="1">0.004 + (RAND() * (0.001 - 0.004))</f>
        <v>1.5462695773061888E-3</v>
      </c>
      <c r="L697" s="830">
        <f ca="1">H697+I697</f>
        <v>0</v>
      </c>
      <c r="M697" s="831">
        <f ca="1">(G697/6)+F697</f>
        <v>8.4761833290100785E-2</v>
      </c>
      <c r="N697" s="831">
        <f ca="1">2 + RAND()</f>
        <v>2.8450935586447033</v>
      </c>
      <c r="O697" s="831">
        <f ca="1">1 + RAND()</f>
        <v>1.6599072418509226</v>
      </c>
      <c r="P697" s="831">
        <f ca="1">2.98 + (RAND() * (3.03 - 2.98))</f>
        <v>3.0062391208627304</v>
      </c>
      <c r="Q697" s="832" t="str">
        <f ca="1">IF(D697="130 × 130", (130 + RANDBETWEEN(-1,1)) &amp; " × " &amp; (130 + RANDBETWEEN(-1,1)),
   IF(D697="160 × 160", (160 + RANDBETWEEN(-1,1)) &amp; " × " &amp; (160 + RANDBETWEEN(-1,1)),
   IF(D697="110 × 110", (110 + RANDBETWEEN(-1,1)) &amp; " × " &amp; (110 + RANDBETWEEN(-1,1)),
   "Value not matched")))</f>
        <v>Value not matched</v>
      </c>
      <c r="R697" s="833" t="s">
        <v>213</v>
      </c>
      <c r="S697" s="834" t="str">
        <f ca="1">IF(G697&lt;0.6, "IS 14650 CPS 10748/GR2", "IS 14650 CPS 10748/GR3")</f>
        <v>IS 14650 CPS 10748/GR2</v>
      </c>
      <c r="T697" s="831" t="s">
        <v>769</v>
      </c>
      <c r="U697" s="825"/>
      <c r="V697" s="826"/>
      <c r="W697" s="206">
        <f>Prod.!B391</f>
        <v>0</v>
      </c>
      <c r="X697" s="469">
        <f>Prod.!C391</f>
        <v>0</v>
      </c>
      <c r="Y697" s="469">
        <f>Prod.!D391</f>
        <v>0</v>
      </c>
      <c r="Z697" s="469">
        <f>Prod.!E391</f>
        <v>0</v>
      </c>
      <c r="AA697" s="282">
        <f>Prod.!F391</f>
        <v>0</v>
      </c>
      <c r="AB697" s="282">
        <f>Prod.!G391</f>
        <v>0</v>
      </c>
      <c r="AC697" s="836">
        <f>Prod.!H391</f>
        <v>0</v>
      </c>
      <c r="AD697" s="282">
        <f>Prod.!AB391</f>
        <v>0</v>
      </c>
      <c r="AE697" s="282">
        <f>AD697-AF697</f>
        <v>0</v>
      </c>
      <c r="AF697" s="282">
        <f>Prod.!AA391</f>
        <v>0</v>
      </c>
    </row>
    <row r="698" spans="1:32" ht="15" customHeight="1">
      <c r="A698" s="1435">
        <v>11</v>
      </c>
      <c r="B698" s="818">
        <f>W699</f>
        <v>0</v>
      </c>
      <c r="C698" s="819" t="s">
        <v>765</v>
      </c>
      <c r="D698" s="822"/>
      <c r="E698" s="822"/>
      <c r="F698" s="821">
        <f ca="1">F699 + (RAND() * 0.02 - 0.01)</f>
        <v>-9.3278518987600489E-3</v>
      </c>
      <c r="G698" s="821">
        <f ca="1">G699 + (RAND() * 0.06 - 0.03)</f>
        <v>0.50170265170230954</v>
      </c>
      <c r="H698" s="822">
        <f ca="1">H699 + (RAND() * 0.006 - 0.003)</f>
        <v>-2.4084950812395156E-3</v>
      </c>
      <c r="I698" s="822">
        <f ca="1">I699 + (RAND() * 0.006 - 0.003)</f>
        <v>2.1838354725552374E-3</v>
      </c>
      <c r="J698" s="821">
        <f ca="1">J699 + (RAND() * 0.02 - 0.01)</f>
        <v>-5.7162294278538988E-3</v>
      </c>
      <c r="K698" s="821"/>
      <c r="L698" s="822"/>
      <c r="M698" s="821"/>
      <c r="N698" s="823"/>
      <c r="O698" s="823"/>
      <c r="P698" s="823"/>
      <c r="Q698" s="823"/>
      <c r="R698" s="839"/>
      <c r="S698" s="821"/>
      <c r="T698" s="821"/>
      <c r="U698" s="825"/>
      <c r="V698" s="826"/>
    </row>
    <row r="699" spans="1:32" ht="15" customHeight="1">
      <c r="A699" s="1435"/>
      <c r="B699" s="827">
        <f>B698</f>
        <v>0</v>
      </c>
      <c r="C699" s="828" t="s">
        <v>768</v>
      </c>
      <c r="D699" s="829" t="str">
        <f>IF(AC699=130, "130 × 130", IF(AC699=160, "160 × 160", IF(AC699=110, "110 × 110", "Value not 130, 160, or 110")))</f>
        <v>Value not 130, 160, or 110</v>
      </c>
      <c r="E699" s="830">
        <f>AD699</f>
        <v>0</v>
      </c>
      <c r="F699" s="831">
        <f ca="1">IF(X699 &gt; 0.1, RAND() * (0.1 - 0.06) + 0.06, X699)</f>
        <v>0</v>
      </c>
      <c r="G699" s="831">
        <f ca="1">IF(Y699 &lt; 0.5, 0.5 + RAND() * 0.1, Y699)</f>
        <v>0.50494766263429358</v>
      </c>
      <c r="H699" s="830">
        <f ca="1">IF(AB699&gt;0.04, 0.029 + (0.039-0.029)*RAND(), AB699)</f>
        <v>0</v>
      </c>
      <c r="I699" s="830">
        <f ca="1">IF(AA699&gt;0.04, 0.029 + (0.039-0.029)*RAND(), AA699)</f>
        <v>0</v>
      </c>
      <c r="J699" s="831">
        <f ca="1">IF(Z699&gt;0.15, 0.11 + (0.15-0.11) * RAND(), Z699)</f>
        <v>0</v>
      </c>
      <c r="K699" s="830">
        <f ca="1">0.004 + (RAND() * (0.001 - 0.004))</f>
        <v>1.949339359390896E-3</v>
      </c>
      <c r="L699" s="830">
        <f ca="1">H699+I699</f>
        <v>0</v>
      </c>
      <c r="M699" s="831">
        <f ca="1">(G699/6)+F699</f>
        <v>8.4157943772382268E-2</v>
      </c>
      <c r="N699" s="831">
        <f ca="1">2 + RAND()</f>
        <v>2.2388546210126989</v>
      </c>
      <c r="O699" s="831">
        <f ca="1">1 + RAND()</f>
        <v>1.5125696142222251</v>
      </c>
      <c r="P699" s="831">
        <f ca="1">2.98 + (RAND() * (3.03 - 2.98))</f>
        <v>2.9899897467287437</v>
      </c>
      <c r="Q699" s="832" t="str">
        <f ca="1">IF(D699="130 × 130", (130 + RANDBETWEEN(-1,1)) &amp; " × " &amp; (130 + RANDBETWEEN(-1,1)),
   IF(D699="160 × 160", (160 + RANDBETWEEN(-1,1)) &amp; " × " &amp; (160 + RANDBETWEEN(-1,1)),
   IF(D699="110 × 110", (110 + RANDBETWEEN(-1,1)) &amp; " × " &amp; (110 + RANDBETWEEN(-1,1)),
   "Value not matched")))</f>
        <v>Value not matched</v>
      </c>
      <c r="R699" s="833" t="s">
        <v>213</v>
      </c>
      <c r="S699" s="834" t="str">
        <f ca="1">IF(G699&lt;0.6, "IS 14650 CPS 10748/GR2", "IS 14650 CPS 10748/GR3")</f>
        <v>IS 14650 CPS 10748/GR2</v>
      </c>
      <c r="T699" s="831" t="s">
        <v>769</v>
      </c>
      <c r="U699" s="825"/>
      <c r="V699" s="826"/>
      <c r="W699" s="206">
        <f>Prod.!B392</f>
        <v>0</v>
      </c>
      <c r="X699" s="469">
        <f>Prod.!C392</f>
        <v>0</v>
      </c>
      <c r="Y699" s="469">
        <f>Prod.!D392</f>
        <v>0</v>
      </c>
      <c r="Z699" s="469">
        <f>Prod.!E392</f>
        <v>0</v>
      </c>
      <c r="AA699" s="282">
        <f>Prod.!F392</f>
        <v>0</v>
      </c>
      <c r="AB699" s="282">
        <f>Prod.!G392</f>
        <v>0</v>
      </c>
      <c r="AC699" s="836">
        <f>Prod.!H392</f>
        <v>0</v>
      </c>
      <c r="AD699" s="282">
        <f>Prod.!AB392</f>
        <v>0</v>
      </c>
      <c r="AE699" s="282">
        <f>AD699-AF699</f>
        <v>0</v>
      </c>
      <c r="AF699" s="282">
        <f>Prod.!AA392</f>
        <v>0</v>
      </c>
    </row>
    <row r="700" spans="1:32" ht="15" customHeight="1">
      <c r="A700" s="1435">
        <v>12</v>
      </c>
      <c r="B700" s="818">
        <f>W701</f>
        <v>0</v>
      </c>
      <c r="C700" s="819" t="s">
        <v>765</v>
      </c>
      <c r="D700" s="822"/>
      <c r="E700" s="822"/>
      <c r="F700" s="821">
        <f ca="1">F701 + (RAND() * 0.02 - 0.01)</f>
        <v>3.2232309658326852E-4</v>
      </c>
      <c r="G700" s="821">
        <f ca="1">G701 + (RAND() * 0.06 - 0.03)</f>
        <v>0.50813107800097246</v>
      </c>
      <c r="H700" s="822">
        <f ca="1">H701 + (RAND() * 0.006 - 0.003)</f>
        <v>2.9011645791044366E-3</v>
      </c>
      <c r="I700" s="822">
        <f ca="1">I701 + (RAND() * 0.006 - 0.003)</f>
        <v>5.5370890022509106E-4</v>
      </c>
      <c r="J700" s="821">
        <f ca="1">J701 + (RAND() * 0.02 - 0.01)</f>
        <v>4.3989155902993855E-3</v>
      </c>
      <c r="K700" s="821"/>
      <c r="L700" s="822"/>
      <c r="M700" s="821"/>
      <c r="N700" s="823"/>
      <c r="O700" s="823"/>
      <c r="P700" s="823"/>
      <c r="Q700" s="823"/>
      <c r="R700" s="839"/>
      <c r="S700" s="821"/>
      <c r="T700" s="821"/>
      <c r="U700" s="825"/>
      <c r="V700" s="826"/>
    </row>
    <row r="701" spans="1:32" ht="15" customHeight="1">
      <c r="A701" s="1435"/>
      <c r="B701" s="827">
        <f>B700</f>
        <v>0</v>
      </c>
      <c r="C701" s="828" t="s">
        <v>768</v>
      </c>
      <c r="D701" s="829" t="str">
        <f>IF(AC701=130, "130 × 130", IF(AC701=160, "160 × 160", IF(AC701=110, "110 × 110", "Value not 130, 160, or 110")))</f>
        <v>Value not 130, 160, or 110</v>
      </c>
      <c r="E701" s="830">
        <f>AD701</f>
        <v>0</v>
      </c>
      <c r="F701" s="831">
        <f ca="1">IF(X701 &gt; 0.1, RAND() * (0.1 - 0.06) + 0.06, X701)</f>
        <v>0</v>
      </c>
      <c r="G701" s="831">
        <f ca="1">IF(Y701 &lt; 0.5, 0.5 + RAND() * 0.1, Y701)</f>
        <v>0.53308958318022892</v>
      </c>
      <c r="H701" s="830">
        <f ca="1">IF(AB701&gt;0.04, 0.029 + (0.039-0.029)*RAND(), AB701)</f>
        <v>0</v>
      </c>
      <c r="I701" s="830">
        <f ca="1">IF(AA701&gt;0.04, 0.029 + (0.039-0.029)*RAND(), AA701)</f>
        <v>0</v>
      </c>
      <c r="J701" s="831">
        <f ca="1">IF(Z701&gt;0.15, 0.11 + (0.15-0.11) * RAND(), Z701)</f>
        <v>0</v>
      </c>
      <c r="K701" s="830">
        <f ca="1">0.004 + (RAND() * (0.001 - 0.004))</f>
        <v>1.7648882354296944E-3</v>
      </c>
      <c r="L701" s="830">
        <f ca="1">H701+I701</f>
        <v>0</v>
      </c>
      <c r="M701" s="831">
        <f ca="1">(G701/6)+F701</f>
        <v>8.8848263863371482E-2</v>
      </c>
      <c r="N701" s="831">
        <f ca="1">2 + RAND()</f>
        <v>2.4733367330942833</v>
      </c>
      <c r="O701" s="831">
        <f ca="1">1 + RAND()</f>
        <v>1.2096751267501731</v>
      </c>
      <c r="P701" s="831">
        <f ca="1">2.98 + (RAND() * (3.03 - 2.98))</f>
        <v>3.0254631342917184</v>
      </c>
      <c r="Q701" s="832" t="str">
        <f ca="1">IF(D701="130 × 130", (130 + RANDBETWEEN(-1,1)) &amp; " × " &amp; (130 + RANDBETWEEN(-1,1)),
   IF(D701="160 × 160", (160 + RANDBETWEEN(-1,1)) &amp; " × " &amp; (160 + RANDBETWEEN(-1,1)),
   IF(D701="110 × 110", (110 + RANDBETWEEN(-1,1)) &amp; " × " &amp; (110 + RANDBETWEEN(-1,1)),
   "Value not matched")))</f>
        <v>Value not matched</v>
      </c>
      <c r="R701" s="833" t="s">
        <v>213</v>
      </c>
      <c r="S701" s="834" t="str">
        <f ca="1">IF(G701&lt;0.6, "IS 14650 CPS 10748/GR2", "IS 14650 CPS 10748/GR3")</f>
        <v>IS 14650 CPS 10748/GR2</v>
      </c>
      <c r="T701" s="831" t="s">
        <v>769</v>
      </c>
      <c r="U701" s="825"/>
      <c r="V701" s="826"/>
      <c r="W701" s="206">
        <f>Prod.!B393</f>
        <v>0</v>
      </c>
      <c r="X701" s="469">
        <f>Prod.!C393</f>
        <v>0</v>
      </c>
      <c r="Y701" s="469">
        <f>Prod.!D393</f>
        <v>0</v>
      </c>
      <c r="Z701" s="469">
        <f>Prod.!E393</f>
        <v>0</v>
      </c>
      <c r="AA701" s="282">
        <f>Prod.!F393</f>
        <v>0</v>
      </c>
      <c r="AB701" s="282">
        <f>Prod.!G393</f>
        <v>0</v>
      </c>
      <c r="AC701" s="836">
        <f>Prod.!H393</f>
        <v>0</v>
      </c>
      <c r="AD701" s="282">
        <f>Prod.!AB393</f>
        <v>0</v>
      </c>
      <c r="AE701" s="282">
        <f>AD701-AF701</f>
        <v>0</v>
      </c>
      <c r="AF701" s="282">
        <f>Prod.!AA393</f>
        <v>0</v>
      </c>
    </row>
    <row r="702" spans="1:32" ht="15" customHeight="1">
      <c r="A702" s="1435"/>
      <c r="B702" s="818"/>
      <c r="C702" s="819"/>
      <c r="D702" s="822"/>
      <c r="E702" s="822"/>
      <c r="F702" s="821"/>
      <c r="G702" s="821"/>
      <c r="H702" s="840"/>
      <c r="I702" s="840"/>
      <c r="J702" s="821"/>
      <c r="K702" s="821"/>
      <c r="L702" s="822"/>
      <c r="M702" s="838"/>
      <c r="N702" s="821"/>
      <c r="O702" s="821"/>
      <c r="P702" s="821"/>
      <c r="Q702" s="821"/>
      <c r="R702" s="839"/>
      <c r="S702" s="841"/>
      <c r="T702" s="821"/>
      <c r="U702" s="825"/>
      <c r="V702" s="826"/>
    </row>
    <row r="703" spans="1:32" ht="15" customHeight="1">
      <c r="A703" s="1435"/>
      <c r="B703" s="827"/>
      <c r="C703" s="828"/>
      <c r="D703" s="842"/>
      <c r="E703" s="830"/>
      <c r="F703" s="831"/>
      <c r="G703" s="831"/>
      <c r="H703" s="843"/>
      <c r="I703" s="843"/>
      <c r="J703" s="831"/>
      <c r="K703" s="831"/>
      <c r="L703" s="830"/>
      <c r="M703" s="831"/>
      <c r="N703" s="831"/>
      <c r="O703" s="831"/>
      <c r="P703" s="831"/>
      <c r="Q703" s="831"/>
      <c r="R703" s="833"/>
      <c r="S703" s="834"/>
      <c r="T703" s="831"/>
      <c r="U703" s="825"/>
      <c r="V703" s="826"/>
    </row>
    <row r="704" spans="1:32" ht="15" customHeight="1">
      <c r="A704" s="180"/>
      <c r="B704" s="180"/>
      <c r="C704" s="180" t="s">
        <v>770</v>
      </c>
      <c r="D704" s="395"/>
      <c r="E704" s="844">
        <f>SUM(E678:E701)</f>
        <v>0</v>
      </c>
      <c r="F704" s="180"/>
      <c r="G704" s="180"/>
      <c r="H704" s="844"/>
      <c r="I704" s="180"/>
      <c r="J704" s="845"/>
      <c r="K704" s="845"/>
      <c r="L704" s="180"/>
      <c r="M704" s="845"/>
      <c r="N704" s="180"/>
      <c r="O704" s="180"/>
      <c r="P704" s="180"/>
      <c r="Q704" s="180"/>
      <c r="R704" s="263"/>
      <c r="S704" s="180"/>
      <c r="T704" s="180"/>
    </row>
    <row r="705" spans="1:32" ht="28.5" customHeight="1">
      <c r="A705" s="1436" t="s">
        <v>746</v>
      </c>
      <c r="B705" s="1436"/>
      <c r="C705" s="1436"/>
      <c r="D705" s="1436"/>
      <c r="E705" s="1436"/>
      <c r="F705" s="1436"/>
      <c r="G705" s="1436"/>
      <c r="H705" s="1436"/>
      <c r="I705" s="1436"/>
      <c r="J705" s="1436"/>
      <c r="K705" s="1436"/>
      <c r="L705" s="1436"/>
      <c r="M705" s="1436"/>
      <c r="N705" s="1436"/>
      <c r="O705" s="1436"/>
      <c r="P705" s="1436"/>
      <c r="Q705" s="1436"/>
      <c r="R705" s="1436"/>
      <c r="S705" s="1436"/>
      <c r="T705" s="1436"/>
      <c r="U705" s="515"/>
      <c r="V705" s="846"/>
    </row>
    <row r="706" spans="1:32" ht="15" customHeight="1">
      <c r="A706" s="1437" t="s">
        <v>747</v>
      </c>
      <c r="B706" s="1437"/>
      <c r="C706" s="1437"/>
      <c r="D706" s="1437"/>
      <c r="E706" s="1437"/>
      <c r="F706" s="1437"/>
      <c r="G706" s="1437"/>
      <c r="H706" s="1437"/>
      <c r="I706" s="1437"/>
      <c r="J706" s="1437"/>
      <c r="K706" s="1437"/>
      <c r="L706" s="1437"/>
      <c r="M706" s="1437"/>
      <c r="N706" s="1437"/>
      <c r="O706" s="1437"/>
      <c r="P706" s="1437"/>
      <c r="Q706" s="1437"/>
      <c r="R706" s="1437"/>
      <c r="S706" s="1437"/>
      <c r="T706" s="1437"/>
      <c r="U706" s="806"/>
      <c r="V706" s="807"/>
    </row>
    <row r="707" spans="1:32" ht="15" customHeight="1">
      <c r="A707" s="1438" t="str">
        <f>"DATE OF MANUFACTURING : " &amp; TEXT(V711, "DD-MM-YYYY")</f>
        <v>DATE OF MANUFACTURING : 00-01-1900</v>
      </c>
      <c r="B707" s="1438"/>
      <c r="C707" s="1438"/>
      <c r="D707" s="1438"/>
      <c r="E707" s="1438"/>
      <c r="F707" s="1438"/>
      <c r="G707" s="1438"/>
      <c r="H707" s="1438"/>
      <c r="I707" s="1438"/>
      <c r="J707" s="1438"/>
      <c r="K707" s="1438"/>
      <c r="L707" s="1438"/>
      <c r="M707" s="1438"/>
      <c r="N707" s="1437" t="s">
        <v>748</v>
      </c>
      <c r="O707" s="1437"/>
      <c r="P707" s="1437"/>
      <c r="Q707" s="1437"/>
      <c r="R707" s="1437"/>
      <c r="S707" s="1437"/>
      <c r="T707" s="1437"/>
      <c r="U707" s="808"/>
      <c r="V707" s="809"/>
    </row>
    <row r="708" spans="1:32" ht="29.25" customHeight="1">
      <c r="A708" s="1439" t="s">
        <v>749</v>
      </c>
      <c r="B708" s="1440" t="s">
        <v>750</v>
      </c>
      <c r="C708" s="1440"/>
      <c r="D708" s="1440" t="s">
        <v>751</v>
      </c>
      <c r="E708" s="1441" t="s">
        <v>752</v>
      </c>
      <c r="F708" s="1442" t="s">
        <v>753</v>
      </c>
      <c r="G708" s="1442"/>
      <c r="H708" s="1442"/>
      <c r="I708" s="1442"/>
      <c r="J708" s="1442"/>
      <c r="K708" s="1442"/>
      <c r="L708" s="1442"/>
      <c r="M708" s="1442"/>
      <c r="N708" s="1442" t="s">
        <v>754</v>
      </c>
      <c r="O708" s="1442"/>
      <c r="P708" s="1442"/>
      <c r="Q708" s="1442"/>
      <c r="R708" s="1444" t="s">
        <v>755</v>
      </c>
      <c r="S708" s="1441" t="s">
        <v>756</v>
      </c>
      <c r="T708" s="1440" t="s">
        <v>104</v>
      </c>
      <c r="U708" s="810"/>
      <c r="V708" s="811"/>
    </row>
    <row r="709" spans="1:32" ht="42.75" customHeight="1">
      <c r="A709" s="1439"/>
      <c r="B709" s="1440"/>
      <c r="C709" s="1440"/>
      <c r="D709" s="1440"/>
      <c r="E709" s="1440"/>
      <c r="F709" s="812" t="s">
        <v>40</v>
      </c>
      <c r="G709" s="812" t="s">
        <v>757</v>
      </c>
      <c r="H709" s="813" t="s">
        <v>758</v>
      </c>
      <c r="I709" s="812" t="s">
        <v>43</v>
      </c>
      <c r="J709" s="812" t="s">
        <v>42</v>
      </c>
      <c r="K709" s="812" t="s">
        <v>759</v>
      </c>
      <c r="L709" s="812" t="s">
        <v>760</v>
      </c>
      <c r="M709" s="812" t="s">
        <v>761</v>
      </c>
      <c r="N709" s="814" t="s">
        <v>762</v>
      </c>
      <c r="O709" s="815" t="s">
        <v>772</v>
      </c>
      <c r="P709" s="816" t="s">
        <v>773</v>
      </c>
      <c r="Q709" s="817" t="s">
        <v>764</v>
      </c>
      <c r="R709" s="1444"/>
      <c r="S709" s="1441"/>
      <c r="T709" s="1441"/>
      <c r="U709" s="810"/>
      <c r="V709" s="811"/>
    </row>
    <row r="710" spans="1:32" ht="15" customHeight="1">
      <c r="A710" s="1435">
        <v>1</v>
      </c>
      <c r="B710" s="818">
        <f>W711</f>
        <v>0</v>
      </c>
      <c r="C710" s="819" t="s">
        <v>765</v>
      </c>
      <c r="D710" s="820"/>
      <c r="E710" s="821"/>
      <c r="F710" s="821">
        <f ca="1">F711 + (RAND() * 0.02 - 0.01)</f>
        <v>-9.4534634171942675E-3</v>
      </c>
      <c r="G710" s="821">
        <f ca="1">G711 + (RAND() * 0.06 - 0.03)</f>
        <v>0.60758671345282378</v>
      </c>
      <c r="H710" s="822">
        <f ca="1">H711 + (RAND() * 0.006 - 0.003)</f>
        <v>2.4704788807253094E-3</v>
      </c>
      <c r="I710" s="822">
        <f ca="1">I711 + (RAND() * 0.006 - 0.003)</f>
        <v>-2.8848834731441649E-3</v>
      </c>
      <c r="J710" s="821">
        <f ca="1">J711 + (RAND() * 0.02 - 0.01)</f>
        <v>-1.9562919922024198E-3</v>
      </c>
      <c r="K710" s="821"/>
      <c r="L710" s="822"/>
      <c r="M710" s="821"/>
      <c r="N710" s="823"/>
      <c r="O710" s="823"/>
      <c r="P710" s="823"/>
      <c r="Q710" s="823"/>
      <c r="R710" s="824"/>
      <c r="S710" s="821"/>
      <c r="T710" s="821"/>
      <c r="U710" s="825"/>
      <c r="V710" s="826"/>
      <c r="AE710" t="s">
        <v>767</v>
      </c>
    </row>
    <row r="711" spans="1:32" ht="15" customHeight="1">
      <c r="A711" s="1435"/>
      <c r="B711" s="827">
        <f>B710</f>
        <v>0</v>
      </c>
      <c r="C711" s="828" t="s">
        <v>768</v>
      </c>
      <c r="D711" s="829" t="str">
        <f>IF(AC711=130, "130 × 130", IF(AC711=160, "160 × 160", IF(AC711=110, "110 × 110", "Value not 130, 160, or 110")))</f>
        <v>Value not 130, 160, or 110</v>
      </c>
      <c r="E711" s="830">
        <f>AD711</f>
        <v>0</v>
      </c>
      <c r="F711" s="831">
        <f ca="1">IF(X711 &gt; 0.1, RAND() * (0.1 - 0.06) + 0.06, X711)</f>
        <v>0</v>
      </c>
      <c r="G711" s="831">
        <f ca="1">IF(Y711 &lt; 0.5, 0.5 + RAND() * 0.1, Y711)</f>
        <v>0.58619872871104928</v>
      </c>
      <c r="H711" s="830">
        <f ca="1">IF(AB711&gt;0.04, 0.029 + (0.039-0.029)*RAND(), AB711)</f>
        <v>0</v>
      </c>
      <c r="I711" s="830">
        <f ca="1">IF(AA711&gt;0.04, 0.029 + (0.039-0.029)*RAND(), AA711)</f>
        <v>0</v>
      </c>
      <c r="J711" s="831">
        <f ca="1">IF(Z711&gt;0.15, 0.11 + (0.15-0.11) * RAND(), Z711)</f>
        <v>0</v>
      </c>
      <c r="K711" s="830">
        <f ca="1">0.004 + (RAND() * (0.001 - 0.004))</f>
        <v>1.6332609538846198E-3</v>
      </c>
      <c r="L711" s="830">
        <f ca="1">H711+I711</f>
        <v>0</v>
      </c>
      <c r="M711" s="831">
        <f ca="1">(G711/6)+F711</f>
        <v>9.7699788118508213E-2</v>
      </c>
      <c r="N711" s="831">
        <f ca="1">2 + RAND()</f>
        <v>2.3741099641488987</v>
      </c>
      <c r="O711" s="831">
        <f ca="1">1 + RAND()</f>
        <v>1.2453997289249648</v>
      </c>
      <c r="P711" s="831">
        <f ca="1">2.98 + (RAND() * (3.03 - 2.98))</f>
        <v>2.9845379792170292</v>
      </c>
      <c r="Q711" s="832" t="str">
        <f ca="1">IF(D711="130 × 130", (130 + RANDBETWEEN(-1,1)) &amp; " × " &amp; (130 + RANDBETWEEN(-1,1)),
   IF(D711="160 × 160", (160 + RANDBETWEEN(-1,1)) &amp; " × " &amp; (160 + RANDBETWEEN(-1,1)),
   IF(D711="110 × 110", (110 + RANDBETWEEN(-1,1)) &amp; " × " &amp; (110 + RANDBETWEEN(-1,1)),
   "Value not matched")))</f>
        <v>Value not matched</v>
      </c>
      <c r="R711" s="833" t="s">
        <v>213</v>
      </c>
      <c r="S711" s="834" t="str">
        <f ca="1">IF(G711&lt;0.6, "IS 14650 CPS 10748/GR2", "IS 14650 CPS 10748/GR3")</f>
        <v>IS 14650 CPS 10748/GR2</v>
      </c>
      <c r="T711" s="831" t="s">
        <v>769</v>
      </c>
      <c r="U711" s="825"/>
      <c r="V711" s="835">
        <f>Prod.!A400</f>
        <v>0</v>
      </c>
      <c r="W711" s="206">
        <f>Prod.!B400</f>
        <v>0</v>
      </c>
      <c r="X711" s="469">
        <f>Prod.!C400</f>
        <v>0</v>
      </c>
      <c r="Y711" s="469">
        <f>Prod.!D400</f>
        <v>0</v>
      </c>
      <c r="Z711" s="469">
        <f>Prod.!E400</f>
        <v>0</v>
      </c>
      <c r="AA711" s="282">
        <f>Prod.!F400</f>
        <v>0</v>
      </c>
      <c r="AB711" s="282">
        <f>Prod.!G400</f>
        <v>0</v>
      </c>
      <c r="AC711" s="836">
        <f>Prod.!H400</f>
        <v>0</v>
      </c>
      <c r="AD711" s="282">
        <f>Prod.!AB400</f>
        <v>0</v>
      </c>
      <c r="AE711" s="282">
        <f>AD711-AF711</f>
        <v>0</v>
      </c>
      <c r="AF711" s="282">
        <f>Prod.!AA400</f>
        <v>0</v>
      </c>
    </row>
    <row r="712" spans="1:32" ht="15" customHeight="1">
      <c r="A712" s="1435">
        <v>2</v>
      </c>
      <c r="B712" s="818">
        <f>W713</f>
        <v>0</v>
      </c>
      <c r="C712" s="819" t="s">
        <v>765</v>
      </c>
      <c r="D712" s="822"/>
      <c r="E712" s="822"/>
      <c r="F712" s="821">
        <f ca="1">F713 + (RAND() * 0.02 - 0.01)</f>
        <v>-1.7446738814044307E-3</v>
      </c>
      <c r="G712" s="821">
        <f ca="1">G713 + (RAND() * 0.06 - 0.03)</f>
        <v>0.57402421474885457</v>
      </c>
      <c r="H712" s="822">
        <f ca="1">H713 + (RAND() * 0.006 - 0.003)</f>
        <v>-5.2412665368497483E-4</v>
      </c>
      <c r="I712" s="822">
        <f ca="1">I713 + (RAND() * 0.006 - 0.003)</f>
        <v>2.9241470962209542E-4</v>
      </c>
      <c r="J712" s="821">
        <f ca="1">J713 + (RAND() * 0.02 - 0.01)</f>
        <v>-9.7826022288796145E-4</v>
      </c>
      <c r="K712" s="821"/>
      <c r="L712" s="822"/>
      <c r="M712" s="821"/>
      <c r="N712" s="823"/>
      <c r="O712" s="823"/>
      <c r="P712" s="823"/>
      <c r="Q712" s="823"/>
      <c r="R712" s="837"/>
      <c r="S712" s="821"/>
      <c r="T712" s="838"/>
      <c r="U712" s="825"/>
      <c r="V712" s="826"/>
    </row>
    <row r="713" spans="1:32" ht="15" customHeight="1">
      <c r="A713" s="1435"/>
      <c r="B713" s="827">
        <f>B712</f>
        <v>0</v>
      </c>
      <c r="C713" s="828" t="s">
        <v>768</v>
      </c>
      <c r="D713" s="829" t="str">
        <f>IF(AC713=130, "130 × 130", IF(AC713=160, "160 × 160", IF(AC713=110, "110 × 110", "Value not 130, 160, or 110")))</f>
        <v>Value not 130, 160, or 110</v>
      </c>
      <c r="E713" s="830">
        <f>AD713</f>
        <v>0</v>
      </c>
      <c r="F713" s="831">
        <f ca="1">IF(X713 &gt; 0.1, RAND() * (0.1 - 0.06) + 0.06, X713)</f>
        <v>0</v>
      </c>
      <c r="G713" s="831">
        <f ca="1">IF(Y713 &lt; 0.5, 0.5 + RAND() * 0.1, Y713)</f>
        <v>0.54944677786241691</v>
      </c>
      <c r="H713" s="830">
        <f ca="1">IF(AB713&gt;0.04, 0.029 + (0.039-0.029)*RAND(), AB713)</f>
        <v>0</v>
      </c>
      <c r="I713" s="830">
        <f ca="1">IF(AA713&gt;0.04, 0.029 + (0.039-0.029)*RAND(), AA713)</f>
        <v>0</v>
      </c>
      <c r="J713" s="831">
        <f ca="1">IF(Z713&gt;0.15, 0.11 + (0.15-0.11) * RAND(), Z713)</f>
        <v>0</v>
      </c>
      <c r="K713" s="830">
        <f ca="1">0.004 + (RAND() * (0.001 - 0.004))</f>
        <v>2.3908005675426858E-3</v>
      </c>
      <c r="L713" s="830">
        <f ca="1">H713+I713</f>
        <v>0</v>
      </c>
      <c r="M713" s="831">
        <f ca="1">(G713/6)+F713</f>
        <v>9.157446297706949E-2</v>
      </c>
      <c r="N713" s="831">
        <f ca="1">2 + RAND()</f>
        <v>2.7363787494290226</v>
      </c>
      <c r="O713" s="831">
        <f ca="1">1 + RAND()</f>
        <v>1.6685784534775236</v>
      </c>
      <c r="P713" s="831">
        <f ca="1">2.98 + (RAND() * (3.03 - 2.98))</f>
        <v>3.0062349985501653</v>
      </c>
      <c r="Q713" s="832" t="str">
        <f ca="1">IF(D713="130 × 130", (130 + RANDBETWEEN(-1,1)) &amp; " × " &amp; (130 + RANDBETWEEN(-1,1)),
   IF(D713="160 × 160", (160 + RANDBETWEEN(-1,1)) &amp; " × " &amp; (160 + RANDBETWEEN(-1,1)),
   IF(D713="110 × 110", (110 + RANDBETWEEN(-1,1)) &amp; " × " &amp; (110 + RANDBETWEEN(-1,1)),
   "Value not matched")))</f>
        <v>Value not matched</v>
      </c>
      <c r="R713" s="833" t="s">
        <v>213</v>
      </c>
      <c r="S713" s="834" t="str">
        <f ca="1">IF(G713&lt;0.6, "IS 14650 CPS 10748/GR2", "IS 14650 CPS 10748/GR3")</f>
        <v>IS 14650 CPS 10748/GR2</v>
      </c>
      <c r="T713" s="831" t="s">
        <v>769</v>
      </c>
      <c r="U713" s="825"/>
      <c r="V713" s="826"/>
      <c r="W713" s="206">
        <f>Prod.!B401</f>
        <v>0</v>
      </c>
      <c r="X713" s="469">
        <f>Prod.!C401</f>
        <v>0</v>
      </c>
      <c r="Y713" s="469">
        <f>Prod.!D401</f>
        <v>0</v>
      </c>
      <c r="Z713" s="469">
        <f>Prod.!E401</f>
        <v>0</v>
      </c>
      <c r="AA713" s="282">
        <f>Prod.!F401</f>
        <v>0</v>
      </c>
      <c r="AB713" s="282">
        <f>Prod.!G401</f>
        <v>0</v>
      </c>
      <c r="AC713" s="836">
        <f>Prod.!H401</f>
        <v>0</v>
      </c>
      <c r="AD713" s="282">
        <f>Prod.!AB401</f>
        <v>0</v>
      </c>
      <c r="AE713" s="282">
        <f>AD713-AF713</f>
        <v>0</v>
      </c>
      <c r="AF713" s="282">
        <f>Prod.!AA401</f>
        <v>0</v>
      </c>
    </row>
    <row r="714" spans="1:32" ht="15" customHeight="1">
      <c r="A714" s="1435">
        <v>3</v>
      </c>
      <c r="B714" s="818">
        <f>W715</f>
        <v>0</v>
      </c>
      <c r="C714" s="819" t="s">
        <v>765</v>
      </c>
      <c r="D714" s="822"/>
      <c r="E714" s="822"/>
      <c r="F714" s="821">
        <f ca="1">F715 + (RAND() * 0.02 - 0.01)</f>
        <v>6.617439409518559E-3</v>
      </c>
      <c r="G714" s="821">
        <f ca="1">G715 + (RAND() * 0.06 - 0.03)</f>
        <v>0.49914901004384321</v>
      </c>
      <c r="H714" s="822">
        <f ca="1">H715 + (RAND() * 0.006 - 0.003)</f>
        <v>-2.2751796298541606E-3</v>
      </c>
      <c r="I714" s="822">
        <f ca="1">I715 + (RAND() * 0.006 - 0.003)</f>
        <v>2.6513231912432414E-4</v>
      </c>
      <c r="J714" s="821">
        <f ca="1">J715 + (RAND() * 0.02 - 0.01)</f>
        <v>-5.1878879316995374E-3</v>
      </c>
      <c r="K714" s="821"/>
      <c r="L714" s="822"/>
      <c r="M714" s="821"/>
      <c r="N714" s="823"/>
      <c r="O714" s="823"/>
      <c r="P714" s="823"/>
      <c r="Q714" s="823"/>
      <c r="R714" s="839"/>
      <c r="S714" s="821"/>
      <c r="T714" s="821"/>
      <c r="U714" s="825"/>
      <c r="V714" s="826"/>
    </row>
    <row r="715" spans="1:32" ht="15" customHeight="1">
      <c r="A715" s="1435"/>
      <c r="B715" s="827">
        <f>B714</f>
        <v>0</v>
      </c>
      <c r="C715" s="828" t="s">
        <v>768</v>
      </c>
      <c r="D715" s="829" t="str">
        <f>IF(AC715=130, "130 × 130", IF(AC715=160, "160 × 160", IF(AC715=110, "110 × 110", "Value not 130, 160, or 110")))</f>
        <v>Value not 130, 160, or 110</v>
      </c>
      <c r="E715" s="830">
        <f>AD715</f>
        <v>0</v>
      </c>
      <c r="F715" s="831">
        <f ca="1">IF(X715 &gt; 0.1, RAND() * (0.1 - 0.06) + 0.06, X715)</f>
        <v>0</v>
      </c>
      <c r="G715" s="831">
        <f ca="1">IF(Y715 &lt; 0.5, 0.5 + RAND() * 0.1, Y715)</f>
        <v>0.52588817317226422</v>
      </c>
      <c r="H715" s="830">
        <f ca="1">IF(AB715&gt;0.04, 0.029 + (0.039-0.029)*RAND(), AB715)</f>
        <v>0</v>
      </c>
      <c r="I715" s="830">
        <f ca="1">IF(AA715&gt;0.04, 0.029 + (0.039-0.029)*RAND(), AA715)</f>
        <v>0</v>
      </c>
      <c r="J715" s="831">
        <f ca="1">IF(Z715&gt;0.15, 0.11 + (0.15-0.11) * RAND(), Z715)</f>
        <v>0</v>
      </c>
      <c r="K715" s="830">
        <f ca="1">0.004 + (RAND() * (0.001 - 0.004))</f>
        <v>3.002834532205993E-3</v>
      </c>
      <c r="L715" s="830">
        <f ca="1">H715+I715</f>
        <v>0</v>
      </c>
      <c r="M715" s="831">
        <f ca="1">(G715/6)+F715</f>
        <v>8.7648028862044036E-2</v>
      </c>
      <c r="N715" s="831">
        <f ca="1">2 + RAND()</f>
        <v>2.0549415623390526</v>
      </c>
      <c r="O715" s="831">
        <f ca="1">1 + RAND()</f>
        <v>1.9055988792621941</v>
      </c>
      <c r="P715" s="831">
        <f ca="1">2.98 + (RAND() * (3.03 - 2.98))</f>
        <v>3.018831423495508</v>
      </c>
      <c r="Q715" s="832" t="str">
        <f ca="1">IF(D715="130 × 130", (130 + RANDBETWEEN(-1,1)) &amp; " × " &amp; (130 + RANDBETWEEN(-1,1)),
   IF(D715="160 × 160", (160 + RANDBETWEEN(-1,1)) &amp; " × " &amp; (160 + RANDBETWEEN(-1,1)),
   IF(D715="110 × 110", (110 + RANDBETWEEN(-1,1)) &amp; " × " &amp; (110 + RANDBETWEEN(-1,1)),
   "Value not matched")))</f>
        <v>Value not matched</v>
      </c>
      <c r="R715" s="833" t="s">
        <v>213</v>
      </c>
      <c r="S715" s="834" t="str">
        <f ca="1">IF(G715&lt;0.6, "IS 14650 CPS 10748/GR2", "IS 14650 CPS 10748/GR3")</f>
        <v>IS 14650 CPS 10748/GR2</v>
      </c>
      <c r="T715" s="831" t="s">
        <v>769</v>
      </c>
      <c r="U715" s="825"/>
      <c r="V715" s="826"/>
      <c r="W715" s="206">
        <f>Prod.!B402</f>
        <v>0</v>
      </c>
      <c r="X715" s="469">
        <f>Prod.!C402</f>
        <v>0</v>
      </c>
      <c r="Y715" s="469">
        <f>Prod.!D402</f>
        <v>0</v>
      </c>
      <c r="Z715" s="469">
        <f>Prod.!E402</f>
        <v>0</v>
      </c>
      <c r="AA715" s="282">
        <f>Prod.!F402</f>
        <v>0</v>
      </c>
      <c r="AB715" s="282">
        <f>Prod.!G402</f>
        <v>0</v>
      </c>
      <c r="AC715" s="836">
        <f>Prod.!H402</f>
        <v>0</v>
      </c>
      <c r="AD715" s="282">
        <f>Prod.!AB402</f>
        <v>0</v>
      </c>
      <c r="AE715" s="282">
        <f>AD715-AF715</f>
        <v>0</v>
      </c>
      <c r="AF715" s="282">
        <f>Prod.!AA402</f>
        <v>0</v>
      </c>
    </row>
    <row r="716" spans="1:32" ht="15" customHeight="1">
      <c r="A716" s="1435">
        <v>4</v>
      </c>
      <c r="B716" s="818">
        <f>W717</f>
        <v>0</v>
      </c>
      <c r="C716" s="819" t="s">
        <v>765</v>
      </c>
      <c r="D716" s="822"/>
      <c r="E716" s="822"/>
      <c r="F716" s="821">
        <f ca="1">F717 + (RAND() * 0.02 - 0.01)</f>
        <v>-1.5694967310218889E-3</v>
      </c>
      <c r="G716" s="821">
        <f ca="1">G717 + (RAND() * 0.06 - 0.03)</f>
        <v>0.60112895466423122</v>
      </c>
      <c r="H716" s="822">
        <f ca="1">H717 + (RAND() * 0.006 - 0.003)</f>
        <v>2.5733963917898674E-3</v>
      </c>
      <c r="I716" s="822">
        <f ca="1">I717 + (RAND() * 0.006 - 0.003)</f>
        <v>2.5101006940217137E-3</v>
      </c>
      <c r="J716" s="821">
        <f ca="1">J717 + (RAND() * 0.02 - 0.01)</f>
        <v>-4.4827584037598787E-3</v>
      </c>
      <c r="K716" s="821"/>
      <c r="L716" s="822"/>
      <c r="M716" s="821"/>
      <c r="N716" s="823"/>
      <c r="O716" s="823"/>
      <c r="P716" s="823"/>
      <c r="Q716" s="823"/>
      <c r="R716" s="839"/>
      <c r="S716" s="821"/>
      <c r="T716" s="821"/>
      <c r="U716" s="825"/>
      <c r="V716" s="826"/>
    </row>
    <row r="717" spans="1:32" ht="15" customHeight="1">
      <c r="A717" s="1435"/>
      <c r="B717" s="827">
        <f>B716</f>
        <v>0</v>
      </c>
      <c r="C717" s="828" t="s">
        <v>768</v>
      </c>
      <c r="D717" s="829" t="str">
        <f>IF(AC717=130, "130 × 130", IF(AC717=160, "160 × 160", IF(AC717=110, "110 × 110", "Value not 130, 160, or 110")))</f>
        <v>Value not 130, 160, or 110</v>
      </c>
      <c r="E717" s="830">
        <f>AD717</f>
        <v>0</v>
      </c>
      <c r="F717" s="831">
        <f ca="1">IF(X717 &gt; 0.1, RAND() * (0.1 - 0.06) + 0.06, X717)</f>
        <v>0</v>
      </c>
      <c r="G717" s="831">
        <f ca="1">IF(Y717 &lt; 0.5, 0.5 + RAND() * 0.1, Y717)</f>
        <v>0.57597925585021792</v>
      </c>
      <c r="H717" s="830">
        <f ca="1">IF(AB717&gt;0.04, 0.029 + (0.039-0.029)*RAND(), AB717)</f>
        <v>0</v>
      </c>
      <c r="I717" s="830">
        <f ca="1">IF(AA717&gt;0.04, 0.029 + (0.039-0.029)*RAND(), AA717)</f>
        <v>0</v>
      </c>
      <c r="J717" s="831">
        <f ca="1">IF(Z717&gt;0.15, 0.11 + (0.15-0.11) * RAND(), Z717)</f>
        <v>0</v>
      </c>
      <c r="K717" s="830">
        <f ca="1">0.004 + (RAND() * (0.001 - 0.004))</f>
        <v>1.9974522311089985E-3</v>
      </c>
      <c r="L717" s="830">
        <f ca="1">H717+I717</f>
        <v>0</v>
      </c>
      <c r="M717" s="831">
        <f ca="1">(G717/6)+F717</f>
        <v>9.5996542641702987E-2</v>
      </c>
      <c r="N717" s="831">
        <f ca="1">2 + RAND()</f>
        <v>2.7090335383579172</v>
      </c>
      <c r="O717" s="831">
        <f ca="1">1 + RAND()</f>
        <v>1.9533028438005358</v>
      </c>
      <c r="P717" s="831">
        <f ca="1">2.98 + (RAND() * (3.03 - 2.98))</f>
        <v>3.0273127399439947</v>
      </c>
      <c r="Q717" s="832" t="str">
        <f ca="1">IF(D717="130 × 130", (130 + RANDBETWEEN(-1,1)) &amp; " × " &amp; (130 + RANDBETWEEN(-1,1)),
   IF(D717="160 × 160", (160 + RANDBETWEEN(-1,1)) &amp; " × " &amp; (160 + RANDBETWEEN(-1,1)),
   IF(D717="110 × 110", (110 + RANDBETWEEN(-1,1)) &amp; " × " &amp; (110 + RANDBETWEEN(-1,1)),
   "Value not matched")))</f>
        <v>Value not matched</v>
      </c>
      <c r="R717" s="833" t="s">
        <v>213</v>
      </c>
      <c r="S717" s="834" t="str">
        <f ca="1">IF(G717&lt;0.6, "IS 14650 CPS 10748/GR2", "IS 14650 CPS 10748/GR3")</f>
        <v>IS 14650 CPS 10748/GR2</v>
      </c>
      <c r="T717" s="831" t="s">
        <v>769</v>
      </c>
      <c r="U717" s="825"/>
      <c r="V717" s="826"/>
      <c r="W717" s="206">
        <f>Prod.!B403</f>
        <v>0</v>
      </c>
      <c r="X717" s="469">
        <f>Prod.!C403</f>
        <v>0</v>
      </c>
      <c r="Y717" s="469">
        <f>Prod.!D403</f>
        <v>0</v>
      </c>
      <c r="Z717" s="469">
        <f>Prod.!E403</f>
        <v>0</v>
      </c>
      <c r="AA717" s="282">
        <f>Prod.!F403</f>
        <v>0</v>
      </c>
      <c r="AB717" s="282">
        <f>Prod.!G403</f>
        <v>0</v>
      </c>
      <c r="AC717" s="836">
        <f>Prod.!H403</f>
        <v>0</v>
      </c>
      <c r="AD717" s="282">
        <f>Prod.!AB403</f>
        <v>0</v>
      </c>
      <c r="AE717" s="282">
        <f>AD717-AF717</f>
        <v>0</v>
      </c>
      <c r="AF717" s="282">
        <f>Prod.!AA403</f>
        <v>0</v>
      </c>
    </row>
    <row r="718" spans="1:32" ht="15" customHeight="1">
      <c r="A718" s="1435">
        <v>5</v>
      </c>
      <c r="B718" s="818">
        <f>W719</f>
        <v>0</v>
      </c>
      <c r="C718" s="819" t="s">
        <v>765</v>
      </c>
      <c r="D718" s="822"/>
      <c r="E718" s="822"/>
      <c r="F718" s="821">
        <f ca="1">F719 + (RAND() * 0.02 - 0.01)</f>
        <v>-2.6562715538153972E-3</v>
      </c>
      <c r="G718" s="821">
        <f ca="1">G719 + (RAND() * 0.06 - 0.03)</f>
        <v>0.58947574999115226</v>
      </c>
      <c r="H718" s="822">
        <f ca="1">H719 + (RAND() * 0.006 - 0.003)</f>
        <v>-1.1059797275891035E-5</v>
      </c>
      <c r="I718" s="822">
        <f ca="1">I719 + (RAND() * 0.006 - 0.003)</f>
        <v>-2.9362207071969562E-3</v>
      </c>
      <c r="J718" s="821">
        <f ca="1">J719 + (RAND() * 0.02 - 0.01)</f>
        <v>1.5970297630890501E-3</v>
      </c>
      <c r="K718" s="821"/>
      <c r="L718" s="822"/>
      <c r="M718" s="821"/>
      <c r="N718" s="823"/>
      <c r="O718" s="823"/>
      <c r="P718" s="823"/>
      <c r="Q718" s="823"/>
      <c r="R718" s="839"/>
      <c r="S718" s="821"/>
      <c r="T718" s="821"/>
      <c r="U718" s="825"/>
      <c r="V718" s="826"/>
    </row>
    <row r="719" spans="1:32" ht="15" customHeight="1">
      <c r="A719" s="1435"/>
      <c r="B719" s="827">
        <f>B718</f>
        <v>0</v>
      </c>
      <c r="C719" s="828" t="s">
        <v>768</v>
      </c>
      <c r="D719" s="829" t="str">
        <f>IF(AC719=130, "130 × 130", IF(AC719=160, "160 × 160", IF(AC719=110, "110 × 110", "Value not 130, 160, or 110")))</f>
        <v>Value not 130, 160, or 110</v>
      </c>
      <c r="E719" s="830">
        <f>AD719</f>
        <v>0</v>
      </c>
      <c r="F719" s="831">
        <f ca="1">IF(X719 &gt; 0.1, RAND() * (0.1 - 0.06) + 0.06, X719)</f>
        <v>0</v>
      </c>
      <c r="G719" s="831">
        <f ca="1">IF(Y719 &lt; 0.5, 0.5 + RAND() * 0.1, Y719)</f>
        <v>0.58113580469793213</v>
      </c>
      <c r="H719" s="830">
        <f ca="1">IF(AB719&gt;0.04, 0.029 + (0.039-0.029)*RAND(), AB719)</f>
        <v>0</v>
      </c>
      <c r="I719" s="830">
        <f ca="1">IF(AA719&gt;0.04, 0.029 + (0.039-0.029)*RAND(), AA719)</f>
        <v>0</v>
      </c>
      <c r="J719" s="831">
        <f ca="1">IF(Z719&gt;0.15, 0.11 + (0.15-0.11) * RAND(), Z719)</f>
        <v>0</v>
      </c>
      <c r="K719" s="830">
        <f ca="1">0.004 + (RAND() * (0.001 - 0.004))</f>
        <v>2.7041360775677146E-3</v>
      </c>
      <c r="L719" s="830">
        <f ca="1">H719+I719</f>
        <v>0</v>
      </c>
      <c r="M719" s="831">
        <f ca="1">(G719/6)+F719</f>
        <v>9.6855967449655356E-2</v>
      </c>
      <c r="N719" s="831">
        <f ca="1">2 + RAND()</f>
        <v>2.6912585600786505</v>
      </c>
      <c r="O719" s="831">
        <f ca="1">1 + RAND()</f>
        <v>1.5209786408107115</v>
      </c>
      <c r="P719" s="831">
        <f ca="1">2.98 + (RAND() * (3.03 - 2.98))</f>
        <v>3.0123129490846576</v>
      </c>
      <c r="Q719" s="832" t="str">
        <f ca="1">IF(D719="130 × 130", (130 + RANDBETWEEN(-1,1)) &amp; " × " &amp; (130 + RANDBETWEEN(-1,1)),
   IF(D719="160 × 160", (160 + RANDBETWEEN(-1,1)) &amp; " × " &amp; (160 + RANDBETWEEN(-1,1)),
   IF(D719="110 × 110", (110 + RANDBETWEEN(-1,1)) &amp; " × " &amp; (110 + RANDBETWEEN(-1,1)),
   "Value not matched")))</f>
        <v>Value not matched</v>
      </c>
      <c r="R719" s="833" t="s">
        <v>213</v>
      </c>
      <c r="S719" s="834" t="str">
        <f ca="1">IF(G719&lt;0.6, "IS 14650 CPS 10748/GR2", "IS 14650 CPS 10748/GR3")</f>
        <v>IS 14650 CPS 10748/GR2</v>
      </c>
      <c r="T719" s="831" t="s">
        <v>769</v>
      </c>
      <c r="U719" s="825"/>
      <c r="V719" s="826"/>
      <c r="W719" s="206">
        <f>Prod.!B404</f>
        <v>0</v>
      </c>
      <c r="X719" s="469">
        <f>Prod.!C404</f>
        <v>0</v>
      </c>
      <c r="Y719" s="469">
        <f>Prod.!D404</f>
        <v>0</v>
      </c>
      <c r="Z719" s="469">
        <f>Prod.!E404</f>
        <v>0</v>
      </c>
      <c r="AA719" s="282">
        <f>Prod.!F404</f>
        <v>0</v>
      </c>
      <c r="AB719" s="282">
        <f>Prod.!G404</f>
        <v>0</v>
      </c>
      <c r="AC719" s="836">
        <f>Prod.!H404</f>
        <v>0</v>
      </c>
      <c r="AD719" s="282">
        <f>Prod.!AB404</f>
        <v>0</v>
      </c>
      <c r="AE719" s="282">
        <f>AD719-AF719</f>
        <v>0</v>
      </c>
      <c r="AF719" s="282">
        <f>Prod.!AA404</f>
        <v>0</v>
      </c>
    </row>
    <row r="720" spans="1:32" ht="15" customHeight="1">
      <c r="A720" s="1435">
        <v>6</v>
      </c>
      <c r="B720" s="818">
        <f>W721</f>
        <v>0</v>
      </c>
      <c r="C720" s="819" t="s">
        <v>765</v>
      </c>
      <c r="D720" s="822"/>
      <c r="E720" s="822"/>
      <c r="F720" s="821">
        <f ca="1">F721 + (RAND() * 0.02 - 0.01)</f>
        <v>5.3477151125351941E-3</v>
      </c>
      <c r="G720" s="821">
        <f ca="1">G721 + (RAND() * 0.06 - 0.03)</f>
        <v>0.55676006654833166</v>
      </c>
      <c r="H720" s="822">
        <f ca="1">H721 + (RAND() * 0.006 - 0.003)</f>
        <v>-4.0711928757192727E-4</v>
      </c>
      <c r="I720" s="822">
        <f ca="1">I721 + (RAND() * 0.006 - 0.003)</f>
        <v>-2.9467246103929163E-3</v>
      </c>
      <c r="J720" s="821">
        <f ca="1">J721 + (RAND() * 0.02 - 0.01)</f>
        <v>-7.0536254411930916E-3</v>
      </c>
      <c r="K720" s="821"/>
      <c r="L720" s="822"/>
      <c r="M720" s="821"/>
      <c r="N720" s="823"/>
      <c r="O720" s="823"/>
      <c r="P720" s="823"/>
      <c r="Q720" s="823"/>
      <c r="R720" s="839"/>
      <c r="S720" s="821"/>
      <c r="T720" s="821"/>
      <c r="U720" s="825"/>
      <c r="V720" s="826"/>
    </row>
    <row r="721" spans="1:32" ht="15" customHeight="1">
      <c r="A721" s="1435"/>
      <c r="B721" s="827">
        <f>B720</f>
        <v>0</v>
      </c>
      <c r="C721" s="828" t="s">
        <v>768</v>
      </c>
      <c r="D721" s="829" t="str">
        <f>IF(AC721=130, "130 × 130", IF(AC721=160, "160 × 160", IF(AC721=110, "110 × 110", "Value not 130, 160, or 110")))</f>
        <v>Value not 130, 160, or 110</v>
      </c>
      <c r="E721" s="830">
        <f>AD721</f>
        <v>0</v>
      </c>
      <c r="F721" s="831">
        <f ca="1">IF(X721 &gt; 0.1, RAND() * (0.1 - 0.06) + 0.06, X721)</f>
        <v>0</v>
      </c>
      <c r="G721" s="831">
        <f ca="1">IF(Y721 &lt; 0.5, 0.5 + RAND() * 0.1, Y721)</f>
        <v>0.56460057586829415</v>
      </c>
      <c r="H721" s="830">
        <f ca="1">IF(AB721&gt;0.04, 0.029 + (0.039-0.029)*RAND(), AB721)</f>
        <v>0</v>
      </c>
      <c r="I721" s="830">
        <f ca="1">IF(AA721&gt;0.04, 0.029 + (0.039-0.029)*RAND(), AA721)</f>
        <v>0</v>
      </c>
      <c r="J721" s="831">
        <f ca="1">IF(Z721&gt;0.15, 0.11 + (0.15-0.11) * RAND(), Z721)</f>
        <v>0</v>
      </c>
      <c r="K721" s="830">
        <f ca="1">0.004 + (RAND() * (0.001 - 0.004))</f>
        <v>2.50942864264342E-3</v>
      </c>
      <c r="L721" s="830">
        <f ca="1">H721+I721</f>
        <v>0</v>
      </c>
      <c r="M721" s="831">
        <f ca="1">(G721/6)+F721</f>
        <v>9.4100095978049025E-2</v>
      </c>
      <c r="N721" s="831">
        <f ca="1">2 + RAND()</f>
        <v>2.3764998598525278</v>
      </c>
      <c r="O721" s="831">
        <f ca="1">1 + RAND()</f>
        <v>1.888800537523935</v>
      </c>
      <c r="P721" s="831">
        <f ca="1">2.98 + (RAND() * (3.03 - 2.98))</f>
        <v>2.9883259604340799</v>
      </c>
      <c r="Q721" s="832" t="str">
        <f ca="1">IF(D721="130 × 130", (130 + RANDBETWEEN(-1,1)) &amp; " × " &amp; (130 + RANDBETWEEN(-1,1)),
   IF(D721="160 × 160", (160 + RANDBETWEEN(-1,1)) &amp; " × " &amp; (160 + RANDBETWEEN(-1,1)),
   IF(D721="110 × 110", (110 + RANDBETWEEN(-1,1)) &amp; " × " &amp; (110 + RANDBETWEEN(-1,1)),
   "Value not matched")))</f>
        <v>Value not matched</v>
      </c>
      <c r="R721" s="833" t="s">
        <v>213</v>
      </c>
      <c r="S721" s="834" t="str">
        <f ca="1">IF(G721&lt;0.6, "IS 14650 CPS 10748/GR2", "IS 14650 CPS 10748/GR3")</f>
        <v>IS 14650 CPS 10748/GR2</v>
      </c>
      <c r="T721" s="831" t="s">
        <v>769</v>
      </c>
      <c r="U721" s="825"/>
      <c r="V721" s="826"/>
      <c r="W721" s="206">
        <f>Prod.!B405</f>
        <v>0</v>
      </c>
      <c r="X721" s="469">
        <f>Prod.!C405</f>
        <v>0</v>
      </c>
      <c r="Y721" s="469">
        <f>Prod.!D405</f>
        <v>0</v>
      </c>
      <c r="Z721" s="469">
        <f>Prod.!E405</f>
        <v>0</v>
      </c>
      <c r="AA721" s="282">
        <f>Prod.!F405</f>
        <v>0</v>
      </c>
      <c r="AB721" s="282">
        <f>Prod.!G405</f>
        <v>0</v>
      </c>
      <c r="AC721" s="836">
        <f>Prod.!H405</f>
        <v>0</v>
      </c>
      <c r="AD721" s="282">
        <f>Prod.!AB405</f>
        <v>0</v>
      </c>
      <c r="AE721" s="282">
        <f>AD721-AF721</f>
        <v>0</v>
      </c>
      <c r="AF721" s="282">
        <f>Prod.!AA405</f>
        <v>0</v>
      </c>
    </row>
    <row r="722" spans="1:32" ht="15" customHeight="1">
      <c r="A722" s="1435">
        <v>7</v>
      </c>
      <c r="B722" s="818">
        <f>W723</f>
        <v>0</v>
      </c>
      <c r="C722" s="819" t="s">
        <v>765</v>
      </c>
      <c r="D722" s="822"/>
      <c r="E722" s="822"/>
      <c r="F722" s="821">
        <f ca="1">F723 + (RAND() * 0.02 - 0.01)</f>
        <v>-3.646109600707095E-3</v>
      </c>
      <c r="G722" s="821">
        <f ca="1">G723 + (RAND() * 0.06 - 0.03)</f>
        <v>0.50918252489596993</v>
      </c>
      <c r="H722" s="822">
        <f ca="1">H723 + (RAND() * 0.006 - 0.003)</f>
        <v>2.4998978578257306E-4</v>
      </c>
      <c r="I722" s="822">
        <f ca="1">I723 + (RAND() * 0.006 - 0.003)</f>
        <v>9.8263654656075353E-7</v>
      </c>
      <c r="J722" s="821">
        <f ca="1">J723 + (RAND() * 0.02 - 0.01)</f>
        <v>9.1192048903794964E-3</v>
      </c>
      <c r="K722" s="821"/>
      <c r="L722" s="822"/>
      <c r="M722" s="821"/>
      <c r="N722" s="823"/>
      <c r="O722" s="823"/>
      <c r="P722" s="823"/>
      <c r="Q722" s="823"/>
      <c r="R722" s="839"/>
      <c r="S722" s="821"/>
      <c r="T722" s="821"/>
      <c r="U722" s="825"/>
      <c r="V722" s="826"/>
    </row>
    <row r="723" spans="1:32" ht="15" customHeight="1">
      <c r="A723" s="1435"/>
      <c r="B723" s="827">
        <f>B722</f>
        <v>0</v>
      </c>
      <c r="C723" s="828" t="s">
        <v>768</v>
      </c>
      <c r="D723" s="829" t="str">
        <f>IF(AC723=130, "130 × 130", IF(AC723=160, "160 × 160", IF(AC723=110, "110 × 110", "Value not 130, 160, or 110")))</f>
        <v>Value not 130, 160, or 110</v>
      </c>
      <c r="E723" s="830">
        <f>AD723</f>
        <v>0</v>
      </c>
      <c r="F723" s="831">
        <f ca="1">IF(X723 &gt; 0.1, RAND() * (0.1 - 0.06) + 0.06, X723)</f>
        <v>0</v>
      </c>
      <c r="G723" s="831">
        <f ca="1">IF(Y723 &lt; 0.5, 0.5 + RAND() * 0.1, Y723)</f>
        <v>0.51082547801749956</v>
      </c>
      <c r="H723" s="830">
        <f ca="1">IF(AB723&gt;0.04, 0.029 + (0.039-0.029)*RAND(), AB723)</f>
        <v>0</v>
      </c>
      <c r="I723" s="830">
        <f ca="1">IF(AA723&gt;0.04, 0.029 + (0.039-0.029)*RAND(), AA723)</f>
        <v>0</v>
      </c>
      <c r="J723" s="831">
        <f ca="1">IF(Z723&gt;0.15, 0.11 + (0.15-0.11) * RAND(), Z723)</f>
        <v>0</v>
      </c>
      <c r="K723" s="830">
        <f ca="1">0.004 + (RAND() * (0.001 - 0.004))</f>
        <v>1.3243805437914554E-3</v>
      </c>
      <c r="L723" s="830">
        <f ca="1">H723+I723</f>
        <v>0</v>
      </c>
      <c r="M723" s="831">
        <f ca="1">(G723/6)+F723</f>
        <v>8.5137579669583255E-2</v>
      </c>
      <c r="N723" s="831">
        <f ca="1">2 + RAND()</f>
        <v>2.7560153928055771</v>
      </c>
      <c r="O723" s="831">
        <f ca="1">1 + RAND()</f>
        <v>1.6450064568453331</v>
      </c>
      <c r="P723" s="831">
        <f ca="1">2.98 + (RAND() * (3.03 - 2.98))</f>
        <v>2.9974095911353</v>
      </c>
      <c r="Q723" s="832" t="str">
        <f ca="1">IF(D723="130 × 130", (130 + RANDBETWEEN(-1,1)) &amp; " × " &amp; (130 + RANDBETWEEN(-1,1)),
   IF(D723="160 × 160", (160 + RANDBETWEEN(-1,1)) &amp; " × " &amp; (160 + RANDBETWEEN(-1,1)),
   IF(D723="110 × 110", (110 + RANDBETWEEN(-1,1)) &amp; " × " &amp; (110 + RANDBETWEEN(-1,1)),
   "Value not matched")))</f>
        <v>Value not matched</v>
      </c>
      <c r="R723" s="833" t="s">
        <v>213</v>
      </c>
      <c r="S723" s="834" t="str">
        <f ca="1">IF(G723&lt;0.6, "IS 14650 CPS 10748/GR2", "IS 14650 CPS 10748/GR3")</f>
        <v>IS 14650 CPS 10748/GR2</v>
      </c>
      <c r="T723" s="831" t="s">
        <v>769</v>
      </c>
      <c r="U723" s="825"/>
      <c r="V723" s="826"/>
      <c r="W723" s="206">
        <f>Prod.!B406</f>
        <v>0</v>
      </c>
      <c r="X723" s="469">
        <f>Prod.!C406</f>
        <v>0</v>
      </c>
      <c r="Y723" s="469">
        <f>Prod.!D406</f>
        <v>0</v>
      </c>
      <c r="Z723" s="469">
        <f>Prod.!E406</f>
        <v>0</v>
      </c>
      <c r="AA723" s="282">
        <f>Prod.!F406</f>
        <v>0</v>
      </c>
      <c r="AB723" s="282">
        <f>Prod.!G406</f>
        <v>0</v>
      </c>
      <c r="AC723" s="836">
        <f>Prod.!H406</f>
        <v>0</v>
      </c>
      <c r="AD723" s="282">
        <f>Prod.!AB406</f>
        <v>0</v>
      </c>
      <c r="AE723" s="282">
        <f>AD723-AF723</f>
        <v>0</v>
      </c>
      <c r="AF723" s="282">
        <f>Prod.!AA406</f>
        <v>0</v>
      </c>
    </row>
    <row r="724" spans="1:32" ht="15" customHeight="1">
      <c r="A724" s="1435">
        <v>8</v>
      </c>
      <c r="B724" s="818">
        <f>W725</f>
        <v>0</v>
      </c>
      <c r="C724" s="819" t="s">
        <v>765</v>
      </c>
      <c r="D724" s="822"/>
      <c r="E724" s="822"/>
      <c r="F724" s="821">
        <f ca="1">F725 + (RAND() * 0.02 - 0.01)</f>
        <v>7.2584064159450287E-3</v>
      </c>
      <c r="G724" s="821">
        <f ca="1">G725 + (RAND() * 0.06 - 0.03)</f>
        <v>0.49034473569935422</v>
      </c>
      <c r="H724" s="822">
        <f ca="1">H725 + (RAND() * 0.006 - 0.003)</f>
        <v>1.0932953717186821E-4</v>
      </c>
      <c r="I724" s="822">
        <f ca="1">I725 + (RAND() * 0.006 - 0.003)</f>
        <v>-1.7868058020978966E-3</v>
      </c>
      <c r="J724" s="821">
        <f ca="1">J725 + (RAND() * 0.02 - 0.01)</f>
        <v>-1.707493008603787E-3</v>
      </c>
      <c r="K724" s="821"/>
      <c r="L724" s="822"/>
      <c r="M724" s="821"/>
      <c r="N724" s="823"/>
      <c r="O724" s="823"/>
      <c r="P724" s="823"/>
      <c r="Q724" s="823"/>
      <c r="R724" s="839"/>
      <c r="S724" s="821"/>
      <c r="T724" s="821"/>
      <c r="U724" s="825"/>
      <c r="V724" s="826"/>
    </row>
    <row r="725" spans="1:32" ht="15" customHeight="1">
      <c r="A725" s="1435"/>
      <c r="B725" s="827">
        <f>B724</f>
        <v>0</v>
      </c>
      <c r="C725" s="828" t="s">
        <v>768</v>
      </c>
      <c r="D725" s="829" t="str">
        <f>IF(AC725=130, "130 × 130", IF(AC725=160, "160 × 160", IF(AC725=110, "110 × 110", "Value not 130, 160, or 110")))</f>
        <v>Value not 130, 160, or 110</v>
      </c>
      <c r="E725" s="830">
        <f>AD725</f>
        <v>0</v>
      </c>
      <c r="F725" s="831">
        <f ca="1">IF(X725 &gt; 0.1, RAND() * (0.1 - 0.06) + 0.06, X725)</f>
        <v>0</v>
      </c>
      <c r="G725" s="831">
        <f ca="1">IF(Y725 &lt; 0.5, 0.5 + RAND() * 0.1, Y725)</f>
        <v>0.51845329035443344</v>
      </c>
      <c r="H725" s="830">
        <f ca="1">IF(AB725&gt;0.04, 0.029 + (0.039-0.029)*RAND(), AB725)</f>
        <v>0</v>
      </c>
      <c r="I725" s="830">
        <f ca="1">IF(AA725&gt;0.04, 0.029 + (0.039-0.029)*RAND(), AA725)</f>
        <v>0</v>
      </c>
      <c r="J725" s="831">
        <f ca="1">IF(Z725&gt;0.15, 0.11 + (0.15-0.11) * RAND(), Z725)</f>
        <v>0</v>
      </c>
      <c r="K725" s="830">
        <f ca="1">0.004 + (RAND() * (0.001 - 0.004))</f>
        <v>3.5852406095392988E-3</v>
      </c>
      <c r="L725" s="830">
        <f ca="1">H725+I725</f>
        <v>0</v>
      </c>
      <c r="M725" s="831">
        <f ca="1">(G725/6)+F725</f>
        <v>8.6408881725738906E-2</v>
      </c>
      <c r="N725" s="831">
        <f ca="1">2 + RAND()</f>
        <v>2.7497496081044011</v>
      </c>
      <c r="O725" s="831">
        <f ca="1">1 + RAND()</f>
        <v>1.807176908842433</v>
      </c>
      <c r="P725" s="831">
        <f ca="1">2.98 + (RAND() * (3.03 - 2.98))</f>
        <v>3.0077985376226573</v>
      </c>
      <c r="Q725" s="832" t="str">
        <f ca="1">IF(D725="130 × 130", (130 + RANDBETWEEN(-1,1)) &amp; " × " &amp; (130 + RANDBETWEEN(-1,1)),
   IF(D725="160 × 160", (160 + RANDBETWEEN(-1,1)) &amp; " × " &amp; (160 + RANDBETWEEN(-1,1)),
   IF(D725="110 × 110", (110 + RANDBETWEEN(-1,1)) &amp; " × " &amp; (110 + RANDBETWEEN(-1,1)),
   "Value not matched")))</f>
        <v>Value not matched</v>
      </c>
      <c r="R725" s="833" t="s">
        <v>213</v>
      </c>
      <c r="S725" s="834" t="str">
        <f ca="1">IF(G725&lt;0.6, "IS 14650 CPS 10748/GR2", "IS 14650 CPS 10748/GR3")</f>
        <v>IS 14650 CPS 10748/GR2</v>
      </c>
      <c r="T725" s="831" t="s">
        <v>769</v>
      </c>
      <c r="U725" s="825"/>
      <c r="V725" s="826"/>
      <c r="W725" s="206">
        <f>Prod.!B407</f>
        <v>0</v>
      </c>
      <c r="X725" s="469">
        <f>Prod.!C407</f>
        <v>0</v>
      </c>
      <c r="Y725" s="469">
        <f>Prod.!D407</f>
        <v>0</v>
      </c>
      <c r="Z725" s="469">
        <f>Prod.!E407</f>
        <v>0</v>
      </c>
      <c r="AA725" s="282">
        <f>Prod.!F407</f>
        <v>0</v>
      </c>
      <c r="AB725" s="282">
        <f>Prod.!G407</f>
        <v>0</v>
      </c>
      <c r="AC725" s="836">
        <f>Prod.!H407</f>
        <v>0</v>
      </c>
      <c r="AD725" s="282">
        <f>Prod.!AB407</f>
        <v>0</v>
      </c>
      <c r="AE725" s="282">
        <f>AD725-AF725</f>
        <v>0</v>
      </c>
      <c r="AF725" s="282">
        <f>Prod.!AA407</f>
        <v>0</v>
      </c>
    </row>
    <row r="726" spans="1:32" ht="15" customHeight="1">
      <c r="A726" s="1435">
        <v>9</v>
      </c>
      <c r="B726" s="818">
        <f>W727</f>
        <v>0</v>
      </c>
      <c r="C726" s="819" t="s">
        <v>765</v>
      </c>
      <c r="D726" s="822"/>
      <c r="E726" s="822"/>
      <c r="F726" s="821">
        <f ca="1">F727 + (RAND() * 0.02 - 0.01)</f>
        <v>7.4604768788117826E-3</v>
      </c>
      <c r="G726" s="821">
        <f ca="1">G727 + (RAND() * 0.06 - 0.03)</f>
        <v>0.54118704054674216</v>
      </c>
      <c r="H726" s="822">
        <f ca="1">H727 + (RAND() * 0.006 - 0.003)</f>
        <v>1.1441632880162447E-3</v>
      </c>
      <c r="I726" s="822">
        <f ca="1">I727 + (RAND() * 0.006 - 0.003)</f>
        <v>-6.6411469532929278E-4</v>
      </c>
      <c r="J726" s="821">
        <f ca="1">J727 + (RAND() * 0.02 - 0.01)</f>
        <v>2.2009949557953816E-3</v>
      </c>
      <c r="K726" s="821"/>
      <c r="L726" s="822"/>
      <c r="M726" s="821"/>
      <c r="N726" s="823"/>
      <c r="O726" s="823"/>
      <c r="P726" s="823"/>
      <c r="Q726" s="823"/>
      <c r="R726" s="839"/>
      <c r="S726" s="821"/>
      <c r="T726" s="821"/>
      <c r="U726" s="825"/>
      <c r="V726" s="826"/>
    </row>
    <row r="727" spans="1:32" ht="15" customHeight="1">
      <c r="A727" s="1435"/>
      <c r="B727" s="827">
        <f>B726</f>
        <v>0</v>
      </c>
      <c r="C727" s="828" t="s">
        <v>768</v>
      </c>
      <c r="D727" s="829" t="str">
        <f>IF(AC727=130, "130 × 130", IF(AC727=160, "160 × 160", IF(AC727=110, "110 × 110", "Value not 130, 160, or 110")))</f>
        <v>Value not 130, 160, or 110</v>
      </c>
      <c r="E727" s="830">
        <f>AD727</f>
        <v>0</v>
      </c>
      <c r="F727" s="831">
        <f ca="1">IF(X727 &gt; 0.1, RAND() * (0.1 - 0.06) + 0.06, X727)</f>
        <v>0</v>
      </c>
      <c r="G727" s="831">
        <f ca="1">IF(Y727 &lt; 0.5, 0.5 + RAND() * 0.1, Y727)</f>
        <v>0.55662717395255379</v>
      </c>
      <c r="H727" s="830">
        <f ca="1">IF(AB727&gt;0.04, 0.029 + (0.039-0.029)*RAND(), AB727)</f>
        <v>0</v>
      </c>
      <c r="I727" s="830">
        <f ca="1">IF(AA727&gt;0.04, 0.029 + (0.039-0.029)*RAND(), AA727)</f>
        <v>0</v>
      </c>
      <c r="J727" s="831">
        <f ca="1">IF(Z727&gt;0.15, 0.11 + (0.15-0.11) * RAND(), Z727)</f>
        <v>0</v>
      </c>
      <c r="K727" s="830">
        <f ca="1">0.004 + (RAND() * (0.001 - 0.004))</f>
        <v>2.83909665164871E-3</v>
      </c>
      <c r="L727" s="830">
        <f ca="1">H727+I727</f>
        <v>0</v>
      </c>
      <c r="M727" s="831">
        <f ca="1">(G727/6)+F727</f>
        <v>9.2771195658758965E-2</v>
      </c>
      <c r="N727" s="831">
        <f ca="1">2 + RAND()</f>
        <v>2.1802801126780089</v>
      </c>
      <c r="O727" s="831">
        <f ca="1">1 + RAND()</f>
        <v>1.3242110527652771</v>
      </c>
      <c r="P727" s="831">
        <f ca="1">2.98 + (RAND() * (3.03 - 2.98))</f>
        <v>3.0166748578878577</v>
      </c>
      <c r="Q727" s="832" t="str">
        <f ca="1">IF(D727="130 × 130", (130 + RANDBETWEEN(-1,1)) &amp; " × " &amp; (130 + RANDBETWEEN(-1,1)),
   IF(D727="160 × 160", (160 + RANDBETWEEN(-1,1)) &amp; " × " &amp; (160 + RANDBETWEEN(-1,1)),
   IF(D727="110 × 110", (110 + RANDBETWEEN(-1,1)) &amp; " × " &amp; (110 + RANDBETWEEN(-1,1)),
   "Value not matched")))</f>
        <v>Value not matched</v>
      </c>
      <c r="R727" s="833" t="s">
        <v>213</v>
      </c>
      <c r="S727" s="834" t="str">
        <f ca="1">IF(G727&lt;0.6, "IS 14650 CPS 10748/GR2", "IS 14650 CPS 10748/GR3")</f>
        <v>IS 14650 CPS 10748/GR2</v>
      </c>
      <c r="T727" s="831" t="s">
        <v>769</v>
      </c>
      <c r="U727" s="825"/>
      <c r="V727" s="826"/>
      <c r="W727" s="206">
        <f>Prod.!B408</f>
        <v>0</v>
      </c>
      <c r="X727" s="469">
        <f>Prod.!C408</f>
        <v>0</v>
      </c>
      <c r="Y727" s="469">
        <f>Prod.!D408</f>
        <v>0</v>
      </c>
      <c r="Z727" s="469">
        <f>Prod.!E408</f>
        <v>0</v>
      </c>
      <c r="AA727" s="282">
        <f>Prod.!F408</f>
        <v>0</v>
      </c>
      <c r="AB727" s="282">
        <f>Prod.!G408</f>
        <v>0</v>
      </c>
      <c r="AC727" s="836">
        <f>Prod.!H408</f>
        <v>0</v>
      </c>
      <c r="AD727" s="282">
        <f>Prod.!AB408</f>
        <v>0</v>
      </c>
      <c r="AE727" s="282">
        <f>AD727-AF727</f>
        <v>0</v>
      </c>
      <c r="AF727" s="282">
        <f>Prod.!AA408</f>
        <v>0</v>
      </c>
    </row>
    <row r="728" spans="1:32" ht="15" customHeight="1">
      <c r="A728" s="1435">
        <v>10</v>
      </c>
      <c r="B728" s="818">
        <f>W729</f>
        <v>0</v>
      </c>
      <c r="C728" s="819" t="s">
        <v>765</v>
      </c>
      <c r="D728" s="822"/>
      <c r="E728" s="822"/>
      <c r="F728" s="821">
        <f ca="1">F729 + (RAND() * 0.02 - 0.01)</f>
        <v>8.9235463061798758E-3</v>
      </c>
      <c r="G728" s="821">
        <f ca="1">G729 + (RAND() * 0.06 - 0.03)</f>
        <v>0.55615496763734606</v>
      </c>
      <c r="H728" s="822">
        <f ca="1">H729 + (RAND() * 0.006 - 0.003)</f>
        <v>-6.8164502237801116E-4</v>
      </c>
      <c r="I728" s="822">
        <f ca="1">I729 + (RAND() * 0.006 - 0.003)</f>
        <v>-8.7079846715497908E-4</v>
      </c>
      <c r="J728" s="821">
        <f ca="1">J729 + (RAND() * 0.02 - 0.01)</f>
        <v>4.1312178752565942E-3</v>
      </c>
      <c r="K728" s="821"/>
      <c r="L728" s="822"/>
      <c r="M728" s="821"/>
      <c r="N728" s="823"/>
      <c r="O728" s="823"/>
      <c r="P728" s="823"/>
      <c r="Q728" s="823"/>
      <c r="R728" s="839"/>
      <c r="S728" s="821"/>
      <c r="T728" s="821"/>
      <c r="U728" s="825"/>
      <c r="V728" s="826"/>
    </row>
    <row r="729" spans="1:32" ht="15" customHeight="1">
      <c r="A729" s="1435"/>
      <c r="B729" s="827">
        <f>B728</f>
        <v>0</v>
      </c>
      <c r="C729" s="828" t="s">
        <v>768</v>
      </c>
      <c r="D729" s="829" t="str">
        <f>IF(AC729=130, "130 × 130", IF(AC729=160, "160 × 160", IF(AC729=110, "110 × 110", "Value not 130, 160, or 110")))</f>
        <v>Value not 130, 160, or 110</v>
      </c>
      <c r="E729" s="830">
        <f>AD729</f>
        <v>0</v>
      </c>
      <c r="F729" s="831">
        <f ca="1">IF(X729 &gt; 0.1, RAND() * (0.1 - 0.06) + 0.06, X729)</f>
        <v>0</v>
      </c>
      <c r="G729" s="831">
        <f ca="1">IF(Y729 &lt; 0.5, 0.5 + RAND() * 0.1, Y729)</f>
        <v>0.53958606971569323</v>
      </c>
      <c r="H729" s="830">
        <f ca="1">IF(AB729&gt;0.04, 0.029 + (0.039-0.029)*RAND(), AB729)</f>
        <v>0</v>
      </c>
      <c r="I729" s="830">
        <f ca="1">IF(AA729&gt;0.04, 0.029 + (0.039-0.029)*RAND(), AA729)</f>
        <v>0</v>
      </c>
      <c r="J729" s="831">
        <f ca="1">IF(Z729&gt;0.15, 0.11 + (0.15-0.11) * RAND(), Z729)</f>
        <v>0</v>
      </c>
      <c r="K729" s="830">
        <f ca="1">0.004 + (RAND() * (0.001 - 0.004))</f>
        <v>2.2967086258215792E-3</v>
      </c>
      <c r="L729" s="830">
        <f ca="1">H729+I729</f>
        <v>0</v>
      </c>
      <c r="M729" s="831">
        <f ca="1">(G729/6)+F729</f>
        <v>8.99310116192822E-2</v>
      </c>
      <c r="N729" s="831">
        <f ca="1">2 + RAND()</f>
        <v>2.2060409964923546</v>
      </c>
      <c r="O729" s="831">
        <f ca="1">1 + RAND()</f>
        <v>1.919509444843424</v>
      </c>
      <c r="P729" s="831">
        <f ca="1">2.98 + (RAND() * (3.03 - 2.98))</f>
        <v>2.9825745535284547</v>
      </c>
      <c r="Q729" s="832" t="str">
        <f ca="1">IF(D729="130 × 130", (130 + RANDBETWEEN(-1,1)) &amp; " × " &amp; (130 + RANDBETWEEN(-1,1)),
   IF(D729="160 × 160", (160 + RANDBETWEEN(-1,1)) &amp; " × " &amp; (160 + RANDBETWEEN(-1,1)),
   IF(D729="110 × 110", (110 + RANDBETWEEN(-1,1)) &amp; " × " &amp; (110 + RANDBETWEEN(-1,1)),
   "Value not matched")))</f>
        <v>Value not matched</v>
      </c>
      <c r="R729" s="833" t="s">
        <v>213</v>
      </c>
      <c r="S729" s="834" t="str">
        <f ca="1">IF(G729&lt;0.6, "IS 14650 CPS 10748/GR2", "IS 14650 CPS 10748/GR3")</f>
        <v>IS 14650 CPS 10748/GR2</v>
      </c>
      <c r="T729" s="831" t="s">
        <v>769</v>
      </c>
      <c r="U729" s="825"/>
      <c r="V729" s="826"/>
      <c r="W729" s="206">
        <f>Prod.!B409</f>
        <v>0</v>
      </c>
      <c r="X729" s="469">
        <f>Prod.!C409</f>
        <v>0</v>
      </c>
      <c r="Y729" s="469">
        <f>Prod.!D409</f>
        <v>0</v>
      </c>
      <c r="Z729" s="469">
        <f>Prod.!E409</f>
        <v>0</v>
      </c>
      <c r="AA729" s="282">
        <f>Prod.!F409</f>
        <v>0</v>
      </c>
      <c r="AB729" s="282">
        <f>Prod.!G409</f>
        <v>0</v>
      </c>
      <c r="AC729" s="836">
        <f>Prod.!H409</f>
        <v>0</v>
      </c>
      <c r="AD729" s="282">
        <f>Prod.!AB409</f>
        <v>0</v>
      </c>
      <c r="AE729" s="282">
        <f>AD729-AF729</f>
        <v>0</v>
      </c>
      <c r="AF729" s="282">
        <f>Prod.!AA409</f>
        <v>0</v>
      </c>
    </row>
    <row r="730" spans="1:32" ht="15" customHeight="1">
      <c r="A730" s="1435">
        <v>11</v>
      </c>
      <c r="B730" s="818">
        <f>W731</f>
        <v>0</v>
      </c>
      <c r="C730" s="819" t="s">
        <v>765</v>
      </c>
      <c r="D730" s="822"/>
      <c r="E730" s="822"/>
      <c r="F730" s="821">
        <f ca="1">F731 + (RAND() * 0.02 - 0.01)</f>
        <v>-2.55884851333013E-3</v>
      </c>
      <c r="G730" s="821">
        <f ca="1">G731 + (RAND() * 0.06 - 0.03)</f>
        <v>0.54117066104861489</v>
      </c>
      <c r="H730" s="822">
        <f ca="1">H731 + (RAND() * 0.006 - 0.003)</f>
        <v>1.9610186034369793E-3</v>
      </c>
      <c r="I730" s="822">
        <f ca="1">I731 + (RAND() * 0.006 - 0.003)</f>
        <v>-2.799954608249625E-3</v>
      </c>
      <c r="J730" s="821">
        <f ca="1">J731 + (RAND() * 0.02 - 0.01)</f>
        <v>7.1247561578064496E-3</v>
      </c>
      <c r="K730" s="821"/>
      <c r="L730" s="822"/>
      <c r="M730" s="821"/>
      <c r="N730" s="823"/>
      <c r="O730" s="823"/>
      <c r="P730" s="823"/>
      <c r="Q730" s="823"/>
      <c r="R730" s="839"/>
      <c r="S730" s="821"/>
      <c r="T730" s="821"/>
      <c r="U730" s="825"/>
      <c r="V730" s="826"/>
    </row>
    <row r="731" spans="1:32" ht="15" customHeight="1">
      <c r="A731" s="1435"/>
      <c r="B731" s="827">
        <f>B730</f>
        <v>0</v>
      </c>
      <c r="C731" s="828" t="s">
        <v>768</v>
      </c>
      <c r="D731" s="829" t="str">
        <f>IF(AC731=130, "130 × 130", IF(AC731=160, "160 × 160", IF(AC731=110, "110 × 110", "Value not 130, 160, or 110")))</f>
        <v>Value not 130, 160, or 110</v>
      </c>
      <c r="E731" s="830">
        <f>AD731</f>
        <v>0</v>
      </c>
      <c r="F731" s="831">
        <f ca="1">IF(X731 &gt; 0.1, RAND() * (0.1 - 0.06) + 0.06, X731)</f>
        <v>0</v>
      </c>
      <c r="G731" s="831">
        <f ca="1">IF(Y731 &lt; 0.5, 0.5 + RAND() * 0.1, Y731)</f>
        <v>0.52178987528528031</v>
      </c>
      <c r="H731" s="830">
        <f ca="1">IF(AB731&gt;0.04, 0.029 + (0.039-0.029)*RAND(), AB731)</f>
        <v>0</v>
      </c>
      <c r="I731" s="830">
        <f ca="1">IF(AA731&gt;0.04, 0.029 + (0.039-0.029)*RAND(), AA731)</f>
        <v>0</v>
      </c>
      <c r="J731" s="831">
        <f ca="1">IF(Z731&gt;0.15, 0.11 + (0.15-0.11) * RAND(), Z731)</f>
        <v>0</v>
      </c>
      <c r="K731" s="830">
        <f ca="1">0.004 + (RAND() * (0.001 - 0.004))</f>
        <v>3.5118160782091992E-3</v>
      </c>
      <c r="L731" s="830">
        <f ca="1">H731+I731</f>
        <v>0</v>
      </c>
      <c r="M731" s="831">
        <f ca="1">(G731/6)+F731</f>
        <v>8.6964979214213381E-2</v>
      </c>
      <c r="N731" s="831">
        <f ca="1">2 + RAND()</f>
        <v>2.9260922024302616</v>
      </c>
      <c r="O731" s="831">
        <f ca="1">1 + RAND()</f>
        <v>1.1846696341039378</v>
      </c>
      <c r="P731" s="831">
        <f ca="1">2.98 + (RAND() * (3.03 - 2.98))</f>
        <v>2.9986758097239776</v>
      </c>
      <c r="Q731" s="832" t="str">
        <f ca="1">IF(D731="130 × 130", (130 + RANDBETWEEN(-1,1)) &amp; " × " &amp; (130 + RANDBETWEEN(-1,1)),
   IF(D731="160 × 160", (160 + RANDBETWEEN(-1,1)) &amp; " × " &amp; (160 + RANDBETWEEN(-1,1)),
   IF(D731="110 × 110", (110 + RANDBETWEEN(-1,1)) &amp; " × " &amp; (110 + RANDBETWEEN(-1,1)),
   "Value not matched")))</f>
        <v>Value not matched</v>
      </c>
      <c r="R731" s="833" t="s">
        <v>213</v>
      </c>
      <c r="S731" s="834" t="str">
        <f ca="1">IF(G731&lt;0.6, "IS 14650 CPS 10748/GR2", "IS 14650 CPS 10748/GR3")</f>
        <v>IS 14650 CPS 10748/GR2</v>
      </c>
      <c r="T731" s="831" t="s">
        <v>769</v>
      </c>
      <c r="U731" s="825"/>
      <c r="V731" s="826"/>
      <c r="W731" s="206">
        <f>Prod.!B410</f>
        <v>0</v>
      </c>
      <c r="X731" s="469">
        <f>Prod.!C410</f>
        <v>0</v>
      </c>
      <c r="Y731" s="469">
        <f>Prod.!D410</f>
        <v>0</v>
      </c>
      <c r="Z731" s="469">
        <f>Prod.!E410</f>
        <v>0</v>
      </c>
      <c r="AA731" s="282">
        <f>Prod.!F410</f>
        <v>0</v>
      </c>
      <c r="AB731" s="282">
        <f>Prod.!G410</f>
        <v>0</v>
      </c>
      <c r="AC731" s="836">
        <f>Prod.!H410</f>
        <v>0</v>
      </c>
      <c r="AD731" s="282">
        <f>Prod.!AB410</f>
        <v>0</v>
      </c>
      <c r="AE731" s="282">
        <f>AD731-AF731</f>
        <v>0</v>
      </c>
      <c r="AF731" s="282">
        <f>Prod.!AA410</f>
        <v>0</v>
      </c>
    </row>
    <row r="732" spans="1:32" ht="15" customHeight="1">
      <c r="A732" s="1435">
        <v>12</v>
      </c>
      <c r="B732" s="818">
        <f>W733</f>
        <v>0</v>
      </c>
      <c r="C732" s="819" t="s">
        <v>765</v>
      </c>
      <c r="D732" s="822"/>
      <c r="E732" s="822"/>
      <c r="F732" s="821">
        <f ca="1">F733 + (RAND() * 0.02 - 0.01)</f>
        <v>-3.2554545222246234E-3</v>
      </c>
      <c r="G732" s="821">
        <f ca="1">G733 + (RAND() * 0.06 - 0.03)</f>
        <v>0.5106298640609771</v>
      </c>
      <c r="H732" s="822">
        <f ca="1">H733 + (RAND() * 0.006 - 0.003)</f>
        <v>1.7487565825640471E-3</v>
      </c>
      <c r="I732" s="822">
        <f ca="1">I733 + (RAND() * 0.006 - 0.003)</f>
        <v>7.7852300610763495E-5</v>
      </c>
      <c r="J732" s="821">
        <f ca="1">J733 + (RAND() * 0.02 - 0.01)</f>
        <v>-3.5815197213245513E-3</v>
      </c>
      <c r="K732" s="821"/>
      <c r="L732" s="822"/>
      <c r="M732" s="821"/>
      <c r="N732" s="823"/>
      <c r="O732" s="823"/>
      <c r="P732" s="823"/>
      <c r="Q732" s="823"/>
      <c r="R732" s="839"/>
      <c r="S732" s="821"/>
      <c r="T732" s="821"/>
      <c r="U732" s="825"/>
      <c r="V732" s="826"/>
    </row>
    <row r="733" spans="1:32" ht="15" customHeight="1">
      <c r="A733" s="1435"/>
      <c r="B733" s="827">
        <f>B732</f>
        <v>0</v>
      </c>
      <c r="C733" s="828" t="s">
        <v>768</v>
      </c>
      <c r="D733" s="829" t="str">
        <f>IF(AC733=130, "130 × 130", IF(AC733=160, "160 × 160", IF(AC733=110, "110 × 110", "Value not 130, 160, or 110")))</f>
        <v>Value not 130, 160, or 110</v>
      </c>
      <c r="E733" s="830">
        <f>AD733</f>
        <v>0</v>
      </c>
      <c r="F733" s="831">
        <f ca="1">IF(X733 &gt; 0.1, RAND() * (0.1 - 0.06) + 0.06, X733)</f>
        <v>0</v>
      </c>
      <c r="G733" s="831">
        <f ca="1">IF(Y733 &lt; 0.5, 0.5 + RAND() * 0.1, Y733)</f>
        <v>0.51646758737851928</v>
      </c>
      <c r="H733" s="830">
        <f ca="1">IF(AB733&gt;0.04, 0.029 + (0.039-0.029)*RAND(), AB733)</f>
        <v>0</v>
      </c>
      <c r="I733" s="830">
        <f ca="1">IF(AA733&gt;0.04, 0.029 + (0.039-0.029)*RAND(), AA733)</f>
        <v>0</v>
      </c>
      <c r="J733" s="831">
        <f ca="1">IF(Z733&gt;0.15, 0.11 + (0.15-0.11) * RAND(), Z733)</f>
        <v>0</v>
      </c>
      <c r="K733" s="830">
        <f ca="1">0.004 + (RAND() * (0.001 - 0.004))</f>
        <v>2.6644920151409489E-3</v>
      </c>
      <c r="L733" s="830">
        <f ca="1">H733+I733</f>
        <v>0</v>
      </c>
      <c r="M733" s="831">
        <f ca="1">(G733/6)+F733</f>
        <v>8.6077931229753213E-2</v>
      </c>
      <c r="N733" s="831">
        <f ca="1">2 + RAND()</f>
        <v>2.6762167903055296</v>
      </c>
      <c r="O733" s="831">
        <f ca="1">1 + RAND()</f>
        <v>1.7154581595733416</v>
      </c>
      <c r="P733" s="831">
        <f ca="1">2.98 + (RAND() * (3.03 - 2.98))</f>
        <v>3.0293485089794285</v>
      </c>
      <c r="Q733" s="832" t="str">
        <f ca="1">IF(D733="130 × 130", (130 + RANDBETWEEN(-1,1)) &amp; " × " &amp; (130 + RANDBETWEEN(-1,1)),
   IF(D733="160 × 160", (160 + RANDBETWEEN(-1,1)) &amp; " × " &amp; (160 + RANDBETWEEN(-1,1)),
   IF(D733="110 × 110", (110 + RANDBETWEEN(-1,1)) &amp; " × " &amp; (110 + RANDBETWEEN(-1,1)),
   "Value not matched")))</f>
        <v>Value not matched</v>
      </c>
      <c r="R733" s="833" t="s">
        <v>213</v>
      </c>
      <c r="S733" s="834" t="str">
        <f ca="1">IF(G733&lt;0.6, "IS 14650 CPS 10748/GR2", "IS 14650 CPS 10748/GR3")</f>
        <v>IS 14650 CPS 10748/GR2</v>
      </c>
      <c r="T733" s="831" t="s">
        <v>769</v>
      </c>
      <c r="U733" s="825"/>
      <c r="V733" s="826"/>
      <c r="W733" s="206">
        <f>Prod.!B411</f>
        <v>0</v>
      </c>
      <c r="X733" s="469">
        <f>Prod.!C411</f>
        <v>0</v>
      </c>
      <c r="Y733" s="469">
        <f>Prod.!D411</f>
        <v>0</v>
      </c>
      <c r="Z733" s="469">
        <f>Prod.!E411</f>
        <v>0</v>
      </c>
      <c r="AA733" s="282">
        <f>Prod.!F411</f>
        <v>0</v>
      </c>
      <c r="AB733" s="282">
        <f>Prod.!G411</f>
        <v>0</v>
      </c>
      <c r="AC733" s="836">
        <f>Prod.!H411</f>
        <v>0</v>
      </c>
      <c r="AD733" s="282">
        <f>Prod.!AB411</f>
        <v>0</v>
      </c>
      <c r="AE733" s="282">
        <f>AD733-AF733</f>
        <v>0</v>
      </c>
      <c r="AF733" s="282">
        <f>Prod.!AA411</f>
        <v>0</v>
      </c>
    </row>
    <row r="734" spans="1:32" ht="15" customHeight="1">
      <c r="A734" s="1435"/>
      <c r="B734" s="818"/>
      <c r="C734" s="819"/>
      <c r="D734" s="822"/>
      <c r="E734" s="822"/>
      <c r="F734" s="821"/>
      <c r="G734" s="821"/>
      <c r="H734" s="840"/>
      <c r="I734" s="840"/>
      <c r="J734" s="821"/>
      <c r="K734" s="821"/>
      <c r="L734" s="822"/>
      <c r="M734" s="838"/>
      <c r="N734" s="821"/>
      <c r="O734" s="821"/>
      <c r="P734" s="821"/>
      <c r="Q734" s="821"/>
      <c r="R734" s="839"/>
      <c r="S734" s="841"/>
      <c r="T734" s="821"/>
      <c r="U734" s="825"/>
      <c r="V734" s="826"/>
    </row>
    <row r="735" spans="1:32" ht="15" customHeight="1">
      <c r="A735" s="1435"/>
      <c r="B735" s="827"/>
      <c r="C735" s="828"/>
      <c r="D735" s="842"/>
      <c r="E735" s="830"/>
      <c r="F735" s="831"/>
      <c r="G735" s="831"/>
      <c r="H735" s="843"/>
      <c r="I735" s="843"/>
      <c r="J735" s="831"/>
      <c r="K735" s="831"/>
      <c r="L735" s="830"/>
      <c r="M735" s="831"/>
      <c r="N735" s="831"/>
      <c r="O735" s="831"/>
      <c r="P735" s="831"/>
      <c r="Q735" s="831"/>
      <c r="R735" s="833"/>
      <c r="S735" s="834"/>
      <c r="T735" s="831"/>
      <c r="U735" s="825"/>
      <c r="V735" s="826"/>
    </row>
    <row r="736" spans="1:32" ht="15" customHeight="1">
      <c r="A736" s="180"/>
      <c r="B736" s="180"/>
      <c r="C736" s="180" t="s">
        <v>770</v>
      </c>
      <c r="D736" s="395"/>
      <c r="E736" s="844">
        <f>SUM(E710:E733)</f>
        <v>0</v>
      </c>
      <c r="F736" s="180"/>
      <c r="G736" s="180"/>
      <c r="H736" s="844"/>
      <c r="I736" s="180"/>
      <c r="J736" s="845"/>
      <c r="K736" s="845"/>
      <c r="L736" s="180"/>
      <c r="M736" s="845"/>
      <c r="N736" s="180"/>
      <c r="O736" s="180"/>
      <c r="P736" s="180"/>
      <c r="Q736" s="180"/>
      <c r="R736" s="263"/>
      <c r="S736" s="180"/>
      <c r="T736" s="180"/>
    </row>
    <row r="737" spans="1:32" ht="28.5" customHeight="1">
      <c r="A737" s="1436" t="s">
        <v>746</v>
      </c>
      <c r="B737" s="1436"/>
      <c r="C737" s="1436"/>
      <c r="D737" s="1436"/>
      <c r="E737" s="1436"/>
      <c r="F737" s="1436"/>
      <c r="G737" s="1436"/>
      <c r="H737" s="1436"/>
      <c r="I737" s="1436"/>
      <c r="J737" s="1436"/>
      <c r="K737" s="1436"/>
      <c r="L737" s="1436"/>
      <c r="M737" s="1436"/>
      <c r="N737" s="1436"/>
      <c r="O737" s="1436"/>
      <c r="P737" s="1436"/>
      <c r="Q737" s="1436"/>
      <c r="R737" s="1436"/>
      <c r="S737" s="1436"/>
      <c r="T737" s="1436"/>
      <c r="U737" s="515"/>
      <c r="V737" s="846"/>
    </row>
    <row r="738" spans="1:32" ht="15" customHeight="1">
      <c r="A738" s="1437" t="s">
        <v>747</v>
      </c>
      <c r="B738" s="1437"/>
      <c r="C738" s="1437"/>
      <c r="D738" s="1437"/>
      <c r="E738" s="1437"/>
      <c r="F738" s="1437"/>
      <c r="G738" s="1437"/>
      <c r="H738" s="1437"/>
      <c r="I738" s="1437"/>
      <c r="J738" s="1437"/>
      <c r="K738" s="1437"/>
      <c r="L738" s="1437"/>
      <c r="M738" s="1437"/>
      <c r="N738" s="1437"/>
      <c r="O738" s="1437"/>
      <c r="P738" s="1437"/>
      <c r="Q738" s="1437"/>
      <c r="R738" s="1437"/>
      <c r="S738" s="1437"/>
      <c r="T738" s="1437"/>
      <c r="U738" s="806"/>
      <c r="V738" s="807"/>
    </row>
    <row r="739" spans="1:32" ht="15" customHeight="1">
      <c r="A739" s="1438" t="str">
        <f>"DATE OF MANUFACTURING : " &amp; TEXT(V743, "DD-MM-YYYY")</f>
        <v>DATE OF MANUFACTURING : 00-01-1900</v>
      </c>
      <c r="B739" s="1438"/>
      <c r="C739" s="1438"/>
      <c r="D739" s="1438"/>
      <c r="E739" s="1438"/>
      <c r="F739" s="1438"/>
      <c r="G739" s="1438"/>
      <c r="H739" s="1438"/>
      <c r="I739" s="1438"/>
      <c r="J739" s="1438"/>
      <c r="K739" s="1438"/>
      <c r="L739" s="1438"/>
      <c r="M739" s="1438"/>
      <c r="N739" s="1437" t="s">
        <v>748</v>
      </c>
      <c r="O739" s="1437"/>
      <c r="P739" s="1437"/>
      <c r="Q739" s="1437"/>
      <c r="R739" s="1437"/>
      <c r="S739" s="1437"/>
      <c r="T739" s="1437"/>
      <c r="U739" s="808"/>
      <c r="V739" s="809"/>
    </row>
    <row r="740" spans="1:32" ht="29.25" customHeight="1">
      <c r="A740" s="1439" t="s">
        <v>749</v>
      </c>
      <c r="B740" s="1440" t="s">
        <v>750</v>
      </c>
      <c r="C740" s="1440"/>
      <c r="D740" s="1440" t="s">
        <v>751</v>
      </c>
      <c r="E740" s="1441" t="s">
        <v>752</v>
      </c>
      <c r="F740" s="1442" t="s">
        <v>753</v>
      </c>
      <c r="G740" s="1442"/>
      <c r="H740" s="1442"/>
      <c r="I740" s="1442"/>
      <c r="J740" s="1442"/>
      <c r="K740" s="1442"/>
      <c r="L740" s="1442"/>
      <c r="M740" s="1442"/>
      <c r="N740" s="1442" t="s">
        <v>754</v>
      </c>
      <c r="O740" s="1442"/>
      <c r="P740" s="1442"/>
      <c r="Q740" s="1442"/>
      <c r="R740" s="1444" t="s">
        <v>755</v>
      </c>
      <c r="S740" s="1441" t="s">
        <v>756</v>
      </c>
      <c r="T740" s="1440" t="s">
        <v>104</v>
      </c>
      <c r="U740" s="810"/>
      <c r="V740" s="811"/>
    </row>
    <row r="741" spans="1:32" ht="42.75" customHeight="1">
      <c r="A741" s="1439"/>
      <c r="B741" s="1440"/>
      <c r="C741" s="1440"/>
      <c r="D741" s="1440"/>
      <c r="E741" s="1440"/>
      <c r="F741" s="812" t="s">
        <v>40</v>
      </c>
      <c r="G741" s="812" t="s">
        <v>757</v>
      </c>
      <c r="H741" s="813" t="s">
        <v>758</v>
      </c>
      <c r="I741" s="812" t="s">
        <v>43</v>
      </c>
      <c r="J741" s="812" t="s">
        <v>42</v>
      </c>
      <c r="K741" s="812" t="s">
        <v>759</v>
      </c>
      <c r="L741" s="812" t="s">
        <v>760</v>
      </c>
      <c r="M741" s="812" t="s">
        <v>761</v>
      </c>
      <c r="N741" s="814" t="s">
        <v>762</v>
      </c>
      <c r="O741" s="815" t="s">
        <v>772</v>
      </c>
      <c r="P741" s="816" t="s">
        <v>773</v>
      </c>
      <c r="Q741" s="817" t="s">
        <v>764</v>
      </c>
      <c r="R741" s="1444"/>
      <c r="S741" s="1441"/>
      <c r="T741" s="1441"/>
      <c r="U741" s="810"/>
      <c r="V741" s="811"/>
    </row>
    <row r="742" spans="1:32" ht="15" customHeight="1">
      <c r="A742" s="1435">
        <v>1</v>
      </c>
      <c r="B742" s="818">
        <f>W743</f>
        <v>0</v>
      </c>
      <c r="C742" s="819" t="s">
        <v>765</v>
      </c>
      <c r="D742" s="820"/>
      <c r="E742" s="821"/>
      <c r="F742" s="821">
        <f ca="1">F743 + (RAND() * 0.02 - 0.01)</f>
        <v>3.6432964071676111E-3</v>
      </c>
      <c r="G742" s="821">
        <f ca="1">G743 + (RAND() * 0.06 - 0.03)</f>
        <v>0.55078040902444803</v>
      </c>
      <c r="H742" s="822">
        <f ca="1">H743 + (RAND() * 0.006 - 0.003)</f>
        <v>1.4261191591172732E-3</v>
      </c>
      <c r="I742" s="822">
        <f ca="1">I743 + (RAND() * 0.006 - 0.003)</f>
        <v>1.6230139624690346E-3</v>
      </c>
      <c r="J742" s="821">
        <f ca="1">J743 + (RAND() * 0.02 - 0.01)</f>
        <v>6.4238956748881009E-3</v>
      </c>
      <c r="K742" s="821"/>
      <c r="L742" s="822"/>
      <c r="M742" s="821"/>
      <c r="N742" s="823"/>
      <c r="O742" s="823"/>
      <c r="P742" s="823"/>
      <c r="Q742" s="823"/>
      <c r="R742" s="824"/>
      <c r="S742" s="821"/>
      <c r="T742" s="821"/>
      <c r="U742" s="825"/>
      <c r="V742" s="826"/>
      <c r="AE742" t="s">
        <v>767</v>
      </c>
    </row>
    <row r="743" spans="1:32" ht="15" customHeight="1">
      <c r="A743" s="1435"/>
      <c r="B743" s="827">
        <f>B742</f>
        <v>0</v>
      </c>
      <c r="C743" s="828" t="s">
        <v>768</v>
      </c>
      <c r="D743" s="829" t="str">
        <f>IF(AC743=130, "130 × 130", IF(AC743=160, "160 × 160", IF(AC743=110, "110 × 110", "Value not 130, 160, or 110")))</f>
        <v>Value not 130, 160, or 110</v>
      </c>
      <c r="E743" s="830">
        <f>AD743</f>
        <v>0</v>
      </c>
      <c r="F743" s="831">
        <f ca="1">IF(X743 &gt; 0.1, RAND() * (0.1 - 0.06) + 0.06, X743)</f>
        <v>0</v>
      </c>
      <c r="G743" s="831">
        <f ca="1">IF(Y743 &lt; 0.5, 0.5 + RAND() * 0.1, Y743)</f>
        <v>0.52481807118639123</v>
      </c>
      <c r="H743" s="830">
        <f ca="1">IF(AB743&gt;0.04, 0.029 + (0.039-0.029)*RAND(), AB743)</f>
        <v>0</v>
      </c>
      <c r="I743" s="830">
        <f ca="1">IF(AA743&gt;0.04, 0.029 + (0.039-0.029)*RAND(), AA743)</f>
        <v>0</v>
      </c>
      <c r="J743" s="831">
        <f ca="1">IF(Z743&gt;0.15, 0.11 + (0.15-0.11) * RAND(), Z743)</f>
        <v>0</v>
      </c>
      <c r="K743" s="830">
        <f ca="1">0.004 + (RAND() * (0.001 - 0.004))</f>
        <v>3.0481306607494634E-3</v>
      </c>
      <c r="L743" s="830">
        <f ca="1">H743+I743</f>
        <v>0</v>
      </c>
      <c r="M743" s="831">
        <f ca="1">(G743/6)+F743</f>
        <v>8.7469678531065201E-2</v>
      </c>
      <c r="N743" s="831">
        <f ca="1">2 + RAND()</f>
        <v>2.467174738842985</v>
      </c>
      <c r="O743" s="831">
        <f ca="1">1 + RAND()</f>
        <v>1.4689547151852467</v>
      </c>
      <c r="P743" s="831">
        <f ca="1">2.98 + (RAND() * (3.03 - 2.98))</f>
        <v>3.0196873605302019</v>
      </c>
      <c r="Q743" s="832" t="str">
        <f ca="1">IF(D743="130 × 130", (130 + RANDBETWEEN(-1,1)) &amp; " × " &amp; (130 + RANDBETWEEN(-1,1)),
   IF(D743="160 × 160", (160 + RANDBETWEEN(-1,1)) &amp; " × " &amp; (160 + RANDBETWEEN(-1,1)),
   IF(D743="110 × 110", (110 + RANDBETWEEN(-1,1)) &amp; " × " &amp; (110 + RANDBETWEEN(-1,1)),
   "Value not matched")))</f>
        <v>Value not matched</v>
      </c>
      <c r="R743" s="833" t="s">
        <v>213</v>
      </c>
      <c r="S743" s="834" t="str">
        <f ca="1">IF(G743&lt;0.6, "IS 14650 CPS 10748/GR2", "IS 14650 CPS 10748/GR3")</f>
        <v>IS 14650 CPS 10748/GR2</v>
      </c>
      <c r="T743" s="831" t="s">
        <v>769</v>
      </c>
      <c r="U743" s="825"/>
      <c r="V743" s="835">
        <f>Prod.!A418</f>
        <v>0</v>
      </c>
      <c r="W743" s="206">
        <f>Prod.!B418</f>
        <v>0</v>
      </c>
      <c r="X743" s="469">
        <f>Prod.!C418</f>
        <v>0</v>
      </c>
      <c r="Y743" s="469">
        <f>Prod.!D418</f>
        <v>0</v>
      </c>
      <c r="Z743" s="469">
        <f>Prod.!E418</f>
        <v>0</v>
      </c>
      <c r="AA743" s="282">
        <f>Prod.!F418</f>
        <v>0</v>
      </c>
      <c r="AB743" s="282">
        <f>Prod.!G418</f>
        <v>0</v>
      </c>
      <c r="AC743" s="836">
        <f>Prod.!H418</f>
        <v>0</v>
      </c>
      <c r="AD743" s="282">
        <f>Prod.!AB418</f>
        <v>0</v>
      </c>
      <c r="AE743" s="282">
        <f>AD743-AF743</f>
        <v>0</v>
      </c>
      <c r="AF743" s="282">
        <f>Prod.!AA418</f>
        <v>0</v>
      </c>
    </row>
    <row r="744" spans="1:32" ht="15" customHeight="1">
      <c r="A744" s="1435">
        <v>2</v>
      </c>
      <c r="B744" s="818">
        <f>W745</f>
        <v>0</v>
      </c>
      <c r="C744" s="819" t="s">
        <v>765</v>
      </c>
      <c r="D744" s="822"/>
      <c r="E744" s="822"/>
      <c r="F744" s="821">
        <f ca="1">F745 + (RAND() * 0.02 - 0.01)</f>
        <v>-5.7059288747381958E-3</v>
      </c>
      <c r="G744" s="821">
        <f ca="1">G745 + (RAND() * 0.06 - 0.03)</f>
        <v>0.55879681998206376</v>
      </c>
      <c r="H744" s="822">
        <f ca="1">H745 + (RAND() * 0.006 - 0.003)</f>
        <v>-6.4384992083151016E-4</v>
      </c>
      <c r="I744" s="822">
        <f ca="1">I745 + (RAND() * 0.006 - 0.003)</f>
        <v>4.5828267725606499E-4</v>
      </c>
      <c r="J744" s="821">
        <f ca="1">J745 + (RAND() * 0.02 - 0.01)</f>
        <v>1.1859145677709029E-3</v>
      </c>
      <c r="K744" s="821"/>
      <c r="L744" s="822"/>
      <c r="M744" s="821"/>
      <c r="N744" s="823"/>
      <c r="O744" s="823"/>
      <c r="P744" s="823"/>
      <c r="Q744" s="823"/>
      <c r="R744" s="837"/>
      <c r="S744" s="821"/>
      <c r="T744" s="838"/>
      <c r="U744" s="825"/>
      <c r="V744" s="826"/>
    </row>
    <row r="745" spans="1:32" ht="15" customHeight="1">
      <c r="A745" s="1435"/>
      <c r="B745" s="827">
        <f>B744</f>
        <v>0</v>
      </c>
      <c r="C745" s="828" t="s">
        <v>768</v>
      </c>
      <c r="D745" s="829" t="str">
        <f>IF(AC745=130, "130 × 130", IF(AC745=160, "160 × 160", IF(AC745=110, "110 × 110", "Value not 130, 160, or 110")))</f>
        <v>Value not 130, 160, or 110</v>
      </c>
      <c r="E745" s="830">
        <f>AD745</f>
        <v>0</v>
      </c>
      <c r="F745" s="831">
        <f ca="1">IF(X745 &gt; 0.1, RAND() * (0.1 - 0.06) + 0.06, X745)</f>
        <v>0</v>
      </c>
      <c r="G745" s="831">
        <f ca="1">IF(Y745 &lt; 0.5, 0.5 + RAND() * 0.1, Y745)</f>
        <v>0.53775323082087489</v>
      </c>
      <c r="H745" s="830">
        <f ca="1">IF(AB745&gt;0.04, 0.029 + (0.039-0.029)*RAND(), AB745)</f>
        <v>0</v>
      </c>
      <c r="I745" s="830">
        <f ca="1">IF(AA745&gt;0.04, 0.029 + (0.039-0.029)*RAND(), AA745)</f>
        <v>0</v>
      </c>
      <c r="J745" s="831">
        <f ca="1">IF(Z745&gt;0.15, 0.11 + (0.15-0.11) * RAND(), Z745)</f>
        <v>0</v>
      </c>
      <c r="K745" s="830">
        <f ca="1">0.004 + (RAND() * (0.001 - 0.004))</f>
        <v>3.2960985926062266E-3</v>
      </c>
      <c r="L745" s="830">
        <f ca="1">H745+I745</f>
        <v>0</v>
      </c>
      <c r="M745" s="831">
        <f ca="1">(G745/6)+F745</f>
        <v>8.9625538470145816E-2</v>
      </c>
      <c r="N745" s="831">
        <f ca="1">2 + RAND()</f>
        <v>2.7535666955596483</v>
      </c>
      <c r="O745" s="831">
        <f ca="1">1 + RAND()</f>
        <v>1.4301645315575557</v>
      </c>
      <c r="P745" s="831">
        <f ca="1">2.98 + (RAND() * (3.03 - 2.98))</f>
        <v>2.9982432206206369</v>
      </c>
      <c r="Q745" s="832" t="str">
        <f ca="1">IF(D745="130 × 130", (130 + RANDBETWEEN(-1,1)) &amp; " × " &amp; (130 + RANDBETWEEN(-1,1)),
   IF(D745="160 × 160", (160 + RANDBETWEEN(-1,1)) &amp; " × " &amp; (160 + RANDBETWEEN(-1,1)),
   IF(D745="110 × 110", (110 + RANDBETWEEN(-1,1)) &amp; " × " &amp; (110 + RANDBETWEEN(-1,1)),
   "Value not matched")))</f>
        <v>Value not matched</v>
      </c>
      <c r="R745" s="833" t="s">
        <v>213</v>
      </c>
      <c r="S745" s="834" t="str">
        <f ca="1">IF(G745&lt;0.6, "IS 14650 CPS 10748/GR2", "IS 14650 CPS 10748/GR3")</f>
        <v>IS 14650 CPS 10748/GR2</v>
      </c>
      <c r="T745" s="831" t="s">
        <v>769</v>
      </c>
      <c r="U745" s="825"/>
      <c r="V745" s="826"/>
      <c r="W745" s="206">
        <f>Prod.!B419</f>
        <v>0</v>
      </c>
      <c r="X745" s="469">
        <f>Prod.!C419</f>
        <v>0</v>
      </c>
      <c r="Y745" s="469">
        <f>Prod.!D419</f>
        <v>0</v>
      </c>
      <c r="Z745" s="469">
        <f>Prod.!E419</f>
        <v>0</v>
      </c>
      <c r="AA745" s="282">
        <f>Prod.!F419</f>
        <v>0</v>
      </c>
      <c r="AB745" s="282">
        <f>Prod.!G419</f>
        <v>0</v>
      </c>
      <c r="AC745" s="836">
        <f>Prod.!H419</f>
        <v>0</v>
      </c>
      <c r="AD745" s="282">
        <f>Prod.!AB419</f>
        <v>0</v>
      </c>
      <c r="AE745" s="282">
        <f>AD745-AF745</f>
        <v>0</v>
      </c>
      <c r="AF745" s="282">
        <f>Prod.!AA419</f>
        <v>0</v>
      </c>
    </row>
    <row r="746" spans="1:32" ht="15" customHeight="1">
      <c r="A746" s="1435">
        <v>3</v>
      </c>
      <c r="B746" s="818">
        <f>W747</f>
        <v>0</v>
      </c>
      <c r="C746" s="819" t="s">
        <v>765</v>
      </c>
      <c r="D746" s="822"/>
      <c r="E746" s="822"/>
      <c r="F746" s="821">
        <f ca="1">F747 + (RAND() * 0.02 - 0.01)</f>
        <v>-3.8029598674484124E-3</v>
      </c>
      <c r="G746" s="821">
        <f ca="1">G747 + (RAND() * 0.06 - 0.03)</f>
        <v>0.59218161082345588</v>
      </c>
      <c r="H746" s="822">
        <f ca="1">H747 + (RAND() * 0.006 - 0.003)</f>
        <v>-2.7618634281480988E-3</v>
      </c>
      <c r="I746" s="822">
        <f ca="1">I747 + (RAND() * 0.006 - 0.003)</f>
        <v>-2.359294334731094E-3</v>
      </c>
      <c r="J746" s="821">
        <f ca="1">J747 + (RAND() * 0.02 - 0.01)</f>
        <v>2.000854405678992E-3</v>
      </c>
      <c r="K746" s="821"/>
      <c r="L746" s="822"/>
      <c r="M746" s="821"/>
      <c r="N746" s="823"/>
      <c r="O746" s="823"/>
      <c r="P746" s="823"/>
      <c r="Q746" s="823"/>
      <c r="R746" s="839"/>
      <c r="S746" s="821"/>
      <c r="T746" s="821"/>
      <c r="U746" s="825"/>
      <c r="V746" s="826"/>
    </row>
    <row r="747" spans="1:32" ht="15" customHeight="1">
      <c r="A747" s="1435"/>
      <c r="B747" s="827">
        <f>B746</f>
        <v>0</v>
      </c>
      <c r="C747" s="828" t="s">
        <v>768</v>
      </c>
      <c r="D747" s="829" t="str">
        <f>IF(AC747=130, "130 × 130", IF(AC747=160, "160 × 160", IF(AC747=110, "110 × 110", "Value not 130, 160, or 110")))</f>
        <v>Value not 130, 160, or 110</v>
      </c>
      <c r="E747" s="830">
        <f>AD747</f>
        <v>0</v>
      </c>
      <c r="F747" s="831">
        <f ca="1">IF(X747 &gt; 0.1, RAND() * (0.1 - 0.06) + 0.06, X747)</f>
        <v>0</v>
      </c>
      <c r="G747" s="831">
        <f ca="1">IF(Y747 &lt; 0.5, 0.5 + RAND() * 0.1, Y747)</f>
        <v>0.59419755391048645</v>
      </c>
      <c r="H747" s="830">
        <f ca="1">IF(AB747&gt;0.04, 0.029 + (0.039-0.029)*RAND(), AB747)</f>
        <v>0</v>
      </c>
      <c r="I747" s="830">
        <f ca="1">IF(AA747&gt;0.04, 0.029 + (0.039-0.029)*RAND(), AA747)</f>
        <v>0</v>
      </c>
      <c r="J747" s="831">
        <f ca="1">IF(Z747&gt;0.15, 0.11 + (0.15-0.11) * RAND(), Z747)</f>
        <v>0</v>
      </c>
      <c r="K747" s="830">
        <f ca="1">0.004 + (RAND() * (0.001 - 0.004))</f>
        <v>2.7062447754538838E-3</v>
      </c>
      <c r="L747" s="830">
        <f ca="1">H747+I747</f>
        <v>0</v>
      </c>
      <c r="M747" s="831">
        <f ca="1">(G747/6)+F747</f>
        <v>9.9032925651747747E-2</v>
      </c>
      <c r="N747" s="831">
        <f ca="1">2 + RAND()</f>
        <v>2.0049801387130257</v>
      </c>
      <c r="O747" s="831">
        <f ca="1">1 + RAND()</f>
        <v>1.5076837674104626</v>
      </c>
      <c r="P747" s="831">
        <f ca="1">2.98 + (RAND() * (3.03 - 2.98))</f>
        <v>3.0249401481550273</v>
      </c>
      <c r="Q747" s="832" t="str">
        <f ca="1">IF(D747="130 × 130", (130 + RANDBETWEEN(-1,1)) &amp; " × " &amp; (130 + RANDBETWEEN(-1,1)),
   IF(D747="160 × 160", (160 + RANDBETWEEN(-1,1)) &amp; " × " &amp; (160 + RANDBETWEEN(-1,1)),
   IF(D747="110 × 110", (110 + RANDBETWEEN(-1,1)) &amp; " × " &amp; (110 + RANDBETWEEN(-1,1)),
   "Value not matched")))</f>
        <v>Value not matched</v>
      </c>
      <c r="R747" s="833" t="s">
        <v>213</v>
      </c>
      <c r="S747" s="834" t="str">
        <f ca="1">IF(G747&lt;0.6, "IS 14650 CPS 10748/GR2", "IS 14650 CPS 10748/GR3")</f>
        <v>IS 14650 CPS 10748/GR2</v>
      </c>
      <c r="T747" s="831" t="s">
        <v>769</v>
      </c>
      <c r="U747" s="825"/>
      <c r="V747" s="826"/>
      <c r="W747" s="206">
        <f>Prod.!B420</f>
        <v>0</v>
      </c>
      <c r="X747" s="469">
        <f>Prod.!C420</f>
        <v>0</v>
      </c>
      <c r="Y747" s="469">
        <f>Prod.!D420</f>
        <v>0</v>
      </c>
      <c r="Z747" s="469">
        <f>Prod.!E420</f>
        <v>0</v>
      </c>
      <c r="AA747" s="282">
        <f>Prod.!F420</f>
        <v>0</v>
      </c>
      <c r="AB747" s="282">
        <f>Prod.!G420</f>
        <v>0</v>
      </c>
      <c r="AC747" s="836">
        <f>Prod.!H420</f>
        <v>0</v>
      </c>
      <c r="AD747" s="282">
        <f>Prod.!AB420</f>
        <v>0</v>
      </c>
      <c r="AE747" s="282">
        <f>AD747-AF747</f>
        <v>0</v>
      </c>
      <c r="AF747" s="282">
        <f>Prod.!AA420</f>
        <v>0</v>
      </c>
    </row>
    <row r="748" spans="1:32" ht="15" customHeight="1">
      <c r="A748" s="1435">
        <v>4</v>
      </c>
      <c r="B748" s="818">
        <f>W749</f>
        <v>0</v>
      </c>
      <c r="C748" s="819" t="s">
        <v>765</v>
      </c>
      <c r="D748" s="822"/>
      <c r="E748" s="822"/>
      <c r="F748" s="821">
        <f ca="1">F749 + (RAND() * 0.02 - 0.01)</f>
        <v>1.5063069312012643E-3</v>
      </c>
      <c r="G748" s="821">
        <f ca="1">G749 + (RAND() * 0.06 - 0.03)</f>
        <v>0.53832888426105951</v>
      </c>
      <c r="H748" s="822">
        <f ca="1">H749 + (RAND() * 0.006 - 0.003)</f>
        <v>1.8149392652203229E-3</v>
      </c>
      <c r="I748" s="822">
        <f ca="1">I749 + (RAND() * 0.006 - 0.003)</f>
        <v>-1.388281385232756E-3</v>
      </c>
      <c r="J748" s="821">
        <f ca="1">J749 + (RAND() * 0.02 - 0.01)</f>
        <v>8.2792790905740748E-3</v>
      </c>
      <c r="K748" s="821"/>
      <c r="L748" s="822"/>
      <c r="M748" s="821"/>
      <c r="N748" s="823"/>
      <c r="O748" s="823"/>
      <c r="P748" s="823"/>
      <c r="Q748" s="823"/>
      <c r="R748" s="839"/>
      <c r="S748" s="821"/>
      <c r="T748" s="821"/>
      <c r="U748" s="825"/>
      <c r="V748" s="826"/>
    </row>
    <row r="749" spans="1:32" ht="15" customHeight="1">
      <c r="A749" s="1435"/>
      <c r="B749" s="827">
        <f>B748</f>
        <v>0</v>
      </c>
      <c r="C749" s="828" t="s">
        <v>768</v>
      </c>
      <c r="D749" s="829" t="str">
        <f>IF(AC749=130, "130 × 130", IF(AC749=160, "160 × 160", IF(AC749=110, "110 × 110", "Value not 130, 160, or 110")))</f>
        <v>Value not 130, 160, or 110</v>
      </c>
      <c r="E749" s="830">
        <f>AD749</f>
        <v>0</v>
      </c>
      <c r="F749" s="831">
        <f ca="1">IF(X749 &gt; 0.1, RAND() * (0.1 - 0.06) + 0.06, X749)</f>
        <v>0</v>
      </c>
      <c r="G749" s="831">
        <f ca="1">IF(Y749 &lt; 0.5, 0.5 + RAND() * 0.1, Y749)</f>
        <v>0.54999976282290519</v>
      </c>
      <c r="H749" s="830">
        <f ca="1">IF(AB749&gt;0.04, 0.029 + (0.039-0.029)*RAND(), AB749)</f>
        <v>0</v>
      </c>
      <c r="I749" s="830">
        <f ca="1">IF(AA749&gt;0.04, 0.029 + (0.039-0.029)*RAND(), AA749)</f>
        <v>0</v>
      </c>
      <c r="J749" s="831">
        <f ca="1">IF(Z749&gt;0.15, 0.11 + (0.15-0.11) * RAND(), Z749)</f>
        <v>0</v>
      </c>
      <c r="K749" s="830">
        <f ca="1">0.004 + (RAND() * (0.001 - 0.004))</f>
        <v>2.8260611672264726E-3</v>
      </c>
      <c r="L749" s="830">
        <f ca="1">H749+I749</f>
        <v>0</v>
      </c>
      <c r="M749" s="831">
        <f ca="1">(G749/6)+F749</f>
        <v>9.1666627137150861E-2</v>
      </c>
      <c r="N749" s="831">
        <f ca="1">2 + RAND()</f>
        <v>2.0290851294506065</v>
      </c>
      <c r="O749" s="831">
        <f ca="1">1 + RAND()</f>
        <v>1.6325873781024374</v>
      </c>
      <c r="P749" s="831">
        <f ca="1">2.98 + (RAND() * (3.03 - 2.98))</f>
        <v>3.0001172791860782</v>
      </c>
      <c r="Q749" s="832" t="str">
        <f ca="1">IF(D749="130 × 130", (130 + RANDBETWEEN(-1,1)) &amp; " × " &amp; (130 + RANDBETWEEN(-1,1)),
   IF(D749="160 × 160", (160 + RANDBETWEEN(-1,1)) &amp; " × " &amp; (160 + RANDBETWEEN(-1,1)),
   IF(D749="110 × 110", (110 + RANDBETWEEN(-1,1)) &amp; " × " &amp; (110 + RANDBETWEEN(-1,1)),
   "Value not matched")))</f>
        <v>Value not matched</v>
      </c>
      <c r="R749" s="833" t="s">
        <v>213</v>
      </c>
      <c r="S749" s="834" t="str">
        <f ca="1">IF(G749&lt;0.6, "IS 14650 CPS 10748/GR2", "IS 14650 CPS 10748/GR3")</f>
        <v>IS 14650 CPS 10748/GR2</v>
      </c>
      <c r="T749" s="831" t="s">
        <v>769</v>
      </c>
      <c r="U749" s="825"/>
      <c r="V749" s="826"/>
      <c r="W749" s="206">
        <f>Prod.!B421</f>
        <v>0</v>
      </c>
      <c r="X749" s="469">
        <f>Prod.!C421</f>
        <v>0</v>
      </c>
      <c r="Y749" s="469">
        <f>Prod.!D421</f>
        <v>0</v>
      </c>
      <c r="Z749" s="469">
        <f>Prod.!E421</f>
        <v>0</v>
      </c>
      <c r="AA749" s="282">
        <f>Prod.!F421</f>
        <v>0</v>
      </c>
      <c r="AB749" s="282">
        <f>Prod.!G421</f>
        <v>0</v>
      </c>
      <c r="AC749" s="836">
        <f>Prod.!H421</f>
        <v>0</v>
      </c>
      <c r="AD749" s="282">
        <f>Prod.!AB421</f>
        <v>0</v>
      </c>
      <c r="AE749" s="282">
        <f>AD749-AF749</f>
        <v>0</v>
      </c>
      <c r="AF749" s="282">
        <f>Prod.!AA421</f>
        <v>0</v>
      </c>
    </row>
    <row r="750" spans="1:32" ht="15" customHeight="1">
      <c r="A750" s="1435">
        <v>5</v>
      </c>
      <c r="B750" s="818">
        <f>W751</f>
        <v>0</v>
      </c>
      <c r="C750" s="819" t="s">
        <v>765</v>
      </c>
      <c r="D750" s="822"/>
      <c r="E750" s="822"/>
      <c r="F750" s="821">
        <f ca="1">F751 + (RAND() * 0.02 - 0.01)</f>
        <v>-5.0240787201214368E-3</v>
      </c>
      <c r="G750" s="821">
        <f ca="1">G751 + (RAND() * 0.06 - 0.03)</f>
        <v>0.60111515984682096</v>
      </c>
      <c r="H750" s="822">
        <f ca="1">H751 + (RAND() * 0.006 - 0.003)</f>
        <v>-5.7560619714460944E-4</v>
      </c>
      <c r="I750" s="822">
        <f ca="1">I751 + (RAND() * 0.006 - 0.003)</f>
        <v>-8.4328890275738207E-4</v>
      </c>
      <c r="J750" s="821">
        <f ca="1">J751 + (RAND() * 0.02 - 0.01)</f>
        <v>-8.4322821911914803E-3</v>
      </c>
      <c r="K750" s="821"/>
      <c r="L750" s="822"/>
      <c r="M750" s="821"/>
      <c r="N750" s="823"/>
      <c r="O750" s="823"/>
      <c r="P750" s="823"/>
      <c r="Q750" s="823"/>
      <c r="R750" s="839"/>
      <c r="S750" s="821"/>
      <c r="T750" s="821"/>
      <c r="U750" s="825"/>
      <c r="V750" s="826"/>
    </row>
    <row r="751" spans="1:32" ht="15" customHeight="1">
      <c r="A751" s="1435"/>
      <c r="B751" s="827">
        <f>B750</f>
        <v>0</v>
      </c>
      <c r="C751" s="828" t="s">
        <v>768</v>
      </c>
      <c r="D751" s="829" t="str">
        <f>IF(AC751=130, "130 × 130", IF(AC751=160, "160 × 160", IF(AC751=110, "110 × 110", "Value not 130, 160, or 110")))</f>
        <v>Value not 130, 160, or 110</v>
      </c>
      <c r="E751" s="830">
        <f>AD751</f>
        <v>0</v>
      </c>
      <c r="F751" s="831">
        <f ca="1">IF(X751 &gt; 0.1, RAND() * (0.1 - 0.06) + 0.06, X751)</f>
        <v>0</v>
      </c>
      <c r="G751" s="831">
        <f ca="1">IF(Y751 &lt; 0.5, 0.5 + RAND() * 0.1, Y751)</f>
        <v>0.59786137487394497</v>
      </c>
      <c r="H751" s="830">
        <f ca="1">IF(AB751&gt;0.04, 0.029 + (0.039-0.029)*RAND(), AB751)</f>
        <v>0</v>
      </c>
      <c r="I751" s="830">
        <f ca="1">IF(AA751&gt;0.04, 0.029 + (0.039-0.029)*RAND(), AA751)</f>
        <v>0</v>
      </c>
      <c r="J751" s="831">
        <f ca="1">IF(Z751&gt;0.15, 0.11 + (0.15-0.11) * RAND(), Z751)</f>
        <v>0</v>
      </c>
      <c r="K751" s="830">
        <f ca="1">0.004 + (RAND() * (0.001 - 0.004))</f>
        <v>3.5025785024747911E-3</v>
      </c>
      <c r="L751" s="830">
        <f ca="1">H751+I751</f>
        <v>0</v>
      </c>
      <c r="M751" s="831">
        <f ca="1">(G751/6)+F751</f>
        <v>9.9643562478990824E-2</v>
      </c>
      <c r="N751" s="831">
        <f ca="1">2 + RAND()</f>
        <v>2.4062819822892458</v>
      </c>
      <c r="O751" s="831">
        <f ca="1">1 + RAND()</f>
        <v>1.6492225951051975</v>
      </c>
      <c r="P751" s="831">
        <f ca="1">2.98 + (RAND() * (3.03 - 2.98))</f>
        <v>2.9805560712773906</v>
      </c>
      <c r="Q751" s="832" t="str">
        <f ca="1">IF(D751="130 × 130", (130 + RANDBETWEEN(-1,1)) &amp; " × " &amp; (130 + RANDBETWEEN(-1,1)),
   IF(D751="160 × 160", (160 + RANDBETWEEN(-1,1)) &amp; " × " &amp; (160 + RANDBETWEEN(-1,1)),
   IF(D751="110 × 110", (110 + RANDBETWEEN(-1,1)) &amp; " × " &amp; (110 + RANDBETWEEN(-1,1)),
   "Value not matched")))</f>
        <v>Value not matched</v>
      </c>
      <c r="R751" s="833" t="s">
        <v>213</v>
      </c>
      <c r="S751" s="834" t="str">
        <f ca="1">IF(G751&lt;0.6, "IS 14650 CPS 10748/GR2", "IS 14650 CPS 10748/GR3")</f>
        <v>IS 14650 CPS 10748/GR2</v>
      </c>
      <c r="T751" s="831" t="s">
        <v>769</v>
      </c>
      <c r="U751" s="825"/>
      <c r="V751" s="826"/>
      <c r="W751" s="206">
        <f>Prod.!B422</f>
        <v>0</v>
      </c>
      <c r="X751" s="469">
        <f>Prod.!C422</f>
        <v>0</v>
      </c>
      <c r="Y751" s="469">
        <f>Prod.!D422</f>
        <v>0</v>
      </c>
      <c r="Z751" s="469">
        <f>Prod.!E422</f>
        <v>0</v>
      </c>
      <c r="AA751" s="282">
        <f>Prod.!F422</f>
        <v>0</v>
      </c>
      <c r="AB751" s="282">
        <f>Prod.!G422</f>
        <v>0</v>
      </c>
      <c r="AC751" s="836">
        <f>Prod.!H422</f>
        <v>0</v>
      </c>
      <c r="AD751" s="282">
        <f>Prod.!AB422</f>
        <v>0</v>
      </c>
      <c r="AE751" s="282">
        <f>AD751-AF751</f>
        <v>0</v>
      </c>
      <c r="AF751" s="282">
        <f>Prod.!AA422</f>
        <v>0</v>
      </c>
    </row>
    <row r="752" spans="1:32" ht="15" customHeight="1">
      <c r="A752" s="1435">
        <v>6</v>
      </c>
      <c r="B752" s="818">
        <f>W753</f>
        <v>0</v>
      </c>
      <c r="C752" s="819" t="s">
        <v>765</v>
      </c>
      <c r="D752" s="822"/>
      <c r="E752" s="822"/>
      <c r="F752" s="821">
        <f ca="1">F753 + (RAND() * 0.02 - 0.01)</f>
        <v>5.6460312481994065E-3</v>
      </c>
      <c r="G752" s="821">
        <f ca="1">G753 + (RAND() * 0.06 - 0.03)</f>
        <v>0.51677636566192831</v>
      </c>
      <c r="H752" s="822">
        <f ca="1">H753 + (RAND() * 0.006 - 0.003)</f>
        <v>2.7111059892861306E-3</v>
      </c>
      <c r="I752" s="822">
        <f ca="1">I753 + (RAND() * 0.006 - 0.003)</f>
        <v>2.4429951535328009E-3</v>
      </c>
      <c r="J752" s="821">
        <f ca="1">J753 + (RAND() * 0.02 - 0.01)</f>
        <v>-4.3250120605187979E-3</v>
      </c>
      <c r="K752" s="821"/>
      <c r="L752" s="822"/>
      <c r="M752" s="821"/>
      <c r="N752" s="823"/>
      <c r="O752" s="823"/>
      <c r="P752" s="823"/>
      <c r="Q752" s="823"/>
      <c r="R752" s="839"/>
      <c r="S752" s="821"/>
      <c r="T752" s="821"/>
      <c r="U752" s="825"/>
      <c r="V752" s="826"/>
    </row>
    <row r="753" spans="1:32" ht="15" customHeight="1">
      <c r="A753" s="1435"/>
      <c r="B753" s="827">
        <f>B752</f>
        <v>0</v>
      </c>
      <c r="C753" s="828" t="s">
        <v>768</v>
      </c>
      <c r="D753" s="829" t="str">
        <f>IF(AC753=130, "130 × 130", IF(AC753=160, "160 × 160", IF(AC753=110, "110 × 110", "Value not 130, 160, or 110")))</f>
        <v>Value not 130, 160, or 110</v>
      </c>
      <c r="E753" s="830">
        <f>AD753</f>
        <v>0</v>
      </c>
      <c r="F753" s="831">
        <f ca="1">IF(X753 &gt; 0.1, RAND() * (0.1 - 0.06) + 0.06, X753)</f>
        <v>0</v>
      </c>
      <c r="G753" s="831">
        <f ca="1">IF(Y753 &lt; 0.5, 0.5 + RAND() * 0.1, Y753)</f>
        <v>0.54355697297862116</v>
      </c>
      <c r="H753" s="830">
        <f ca="1">IF(AB753&gt;0.04, 0.029 + (0.039-0.029)*RAND(), AB753)</f>
        <v>0</v>
      </c>
      <c r="I753" s="830">
        <f ca="1">IF(AA753&gt;0.04, 0.029 + (0.039-0.029)*RAND(), AA753)</f>
        <v>0</v>
      </c>
      <c r="J753" s="831">
        <f ca="1">IF(Z753&gt;0.15, 0.11 + (0.15-0.11) * RAND(), Z753)</f>
        <v>0</v>
      </c>
      <c r="K753" s="830">
        <f ca="1">0.004 + (RAND() * (0.001 - 0.004))</f>
        <v>1.7474675137026936E-3</v>
      </c>
      <c r="L753" s="830">
        <f ca="1">H753+I753</f>
        <v>0</v>
      </c>
      <c r="M753" s="831">
        <f ca="1">(G753/6)+F753</f>
        <v>9.0592828829770197E-2</v>
      </c>
      <c r="N753" s="831">
        <f ca="1">2 + RAND()</f>
        <v>2.8887980072165194</v>
      </c>
      <c r="O753" s="831">
        <f ca="1">1 + RAND()</f>
        <v>1.2865099826049811</v>
      </c>
      <c r="P753" s="831">
        <f ca="1">2.98 + (RAND() * (3.03 - 2.98))</f>
        <v>3.0247367730809214</v>
      </c>
      <c r="Q753" s="832" t="str">
        <f ca="1">IF(D753="130 × 130", (130 + RANDBETWEEN(-1,1)) &amp; " × " &amp; (130 + RANDBETWEEN(-1,1)),
   IF(D753="160 × 160", (160 + RANDBETWEEN(-1,1)) &amp; " × " &amp; (160 + RANDBETWEEN(-1,1)),
   IF(D753="110 × 110", (110 + RANDBETWEEN(-1,1)) &amp; " × " &amp; (110 + RANDBETWEEN(-1,1)),
   "Value not matched")))</f>
        <v>Value not matched</v>
      </c>
      <c r="R753" s="833" t="s">
        <v>213</v>
      </c>
      <c r="S753" s="834" t="str">
        <f ca="1">IF(G753&lt;0.6, "IS 14650 CPS 10748/GR2", "IS 14650 CPS 10748/GR3")</f>
        <v>IS 14650 CPS 10748/GR2</v>
      </c>
      <c r="T753" s="831" t="s">
        <v>769</v>
      </c>
      <c r="U753" s="825"/>
      <c r="V753" s="826"/>
      <c r="W753" s="206">
        <f>Prod.!B423</f>
        <v>0</v>
      </c>
      <c r="X753" s="469">
        <f>Prod.!C423</f>
        <v>0</v>
      </c>
      <c r="Y753" s="469">
        <f>Prod.!D423</f>
        <v>0</v>
      </c>
      <c r="Z753" s="469">
        <f>Prod.!E423</f>
        <v>0</v>
      </c>
      <c r="AA753" s="282">
        <f>Prod.!F423</f>
        <v>0</v>
      </c>
      <c r="AB753" s="282">
        <f>Prod.!G423</f>
        <v>0</v>
      </c>
      <c r="AC753" s="836">
        <f>Prod.!H423</f>
        <v>0</v>
      </c>
      <c r="AD753" s="282">
        <f>Prod.!AB423</f>
        <v>0</v>
      </c>
      <c r="AE753" s="282">
        <f>AD753-AF753</f>
        <v>0</v>
      </c>
      <c r="AF753" s="282">
        <f>Prod.!AA423</f>
        <v>0</v>
      </c>
    </row>
    <row r="754" spans="1:32" ht="15" customHeight="1">
      <c r="A754" s="1435">
        <v>7</v>
      </c>
      <c r="B754" s="818">
        <f>W755</f>
        <v>0</v>
      </c>
      <c r="C754" s="819" t="s">
        <v>765</v>
      </c>
      <c r="D754" s="822"/>
      <c r="E754" s="822"/>
      <c r="F754" s="821">
        <f ca="1">F755 + (RAND() * 0.02 - 0.01)</f>
        <v>5.8354900442495628E-3</v>
      </c>
      <c r="G754" s="821">
        <f ca="1">G755 + (RAND() * 0.06 - 0.03)</f>
        <v>0.54508828180275049</v>
      </c>
      <c r="H754" s="822">
        <f ca="1">H755 + (RAND() * 0.006 - 0.003)</f>
        <v>6.9687778069083516E-4</v>
      </c>
      <c r="I754" s="822">
        <f ca="1">I755 + (RAND() * 0.006 - 0.003)</f>
        <v>2.2665596075938437E-3</v>
      </c>
      <c r="J754" s="821">
        <f ca="1">J755 + (RAND() * 0.02 - 0.01)</f>
        <v>-5.4719987370432733E-3</v>
      </c>
      <c r="K754" s="821"/>
      <c r="L754" s="822"/>
      <c r="M754" s="821"/>
      <c r="N754" s="823"/>
      <c r="O754" s="823"/>
      <c r="P754" s="823"/>
      <c r="Q754" s="823"/>
      <c r="R754" s="839"/>
      <c r="S754" s="821"/>
      <c r="T754" s="821"/>
      <c r="U754" s="825"/>
      <c r="V754" s="826"/>
    </row>
    <row r="755" spans="1:32" ht="15" customHeight="1">
      <c r="A755" s="1435"/>
      <c r="B755" s="827">
        <f>B754</f>
        <v>0</v>
      </c>
      <c r="C755" s="828" t="s">
        <v>768</v>
      </c>
      <c r="D755" s="829" t="str">
        <f>IF(AC755=130, "130 × 130", IF(AC755=160, "160 × 160", IF(AC755=110, "110 × 110", "Value not 130, 160, or 110")))</f>
        <v>Value not 130, 160, or 110</v>
      </c>
      <c r="E755" s="830">
        <f>AD755</f>
        <v>0</v>
      </c>
      <c r="F755" s="831">
        <f ca="1">IF(X755 &gt; 0.1, RAND() * (0.1 - 0.06) + 0.06, X755)</f>
        <v>0</v>
      </c>
      <c r="G755" s="831">
        <f ca="1">IF(Y755 &lt; 0.5, 0.5 + RAND() * 0.1, Y755)</f>
        <v>0.52673243638512823</v>
      </c>
      <c r="H755" s="830">
        <f ca="1">IF(AB755&gt;0.04, 0.029 + (0.039-0.029)*RAND(), AB755)</f>
        <v>0</v>
      </c>
      <c r="I755" s="830">
        <f ca="1">IF(AA755&gt;0.04, 0.029 + (0.039-0.029)*RAND(), AA755)</f>
        <v>0</v>
      </c>
      <c r="J755" s="831">
        <f ca="1">IF(Z755&gt;0.15, 0.11 + (0.15-0.11) * RAND(), Z755)</f>
        <v>0</v>
      </c>
      <c r="K755" s="830">
        <f ca="1">0.004 + (RAND() * (0.001 - 0.004))</f>
        <v>1.2040084064666263E-3</v>
      </c>
      <c r="L755" s="830">
        <f ca="1">H755+I755</f>
        <v>0</v>
      </c>
      <c r="M755" s="831">
        <f ca="1">(G755/6)+F755</f>
        <v>8.7788739397521368E-2</v>
      </c>
      <c r="N755" s="831">
        <f ca="1">2 + RAND()</f>
        <v>2.7774938047439437</v>
      </c>
      <c r="O755" s="831">
        <f ca="1">1 + RAND()</f>
        <v>1.7667853899574928</v>
      </c>
      <c r="P755" s="831">
        <f ca="1">2.98 + (RAND() * (3.03 - 2.98))</f>
        <v>3.0058868269247685</v>
      </c>
      <c r="Q755" s="832" t="str">
        <f ca="1">IF(D755="130 × 130", (130 + RANDBETWEEN(-1,1)) &amp; " × " &amp; (130 + RANDBETWEEN(-1,1)),
   IF(D755="160 × 160", (160 + RANDBETWEEN(-1,1)) &amp; " × " &amp; (160 + RANDBETWEEN(-1,1)),
   IF(D755="110 × 110", (110 + RANDBETWEEN(-1,1)) &amp; " × " &amp; (110 + RANDBETWEEN(-1,1)),
   "Value not matched")))</f>
        <v>Value not matched</v>
      </c>
      <c r="R755" s="833" t="s">
        <v>213</v>
      </c>
      <c r="S755" s="834" t="str">
        <f ca="1">IF(G755&lt;0.6, "IS 14650 CPS 10748/GR2", "IS 14650 CPS 10748/GR3")</f>
        <v>IS 14650 CPS 10748/GR2</v>
      </c>
      <c r="T755" s="831" t="s">
        <v>769</v>
      </c>
      <c r="U755" s="825"/>
      <c r="V755" s="826"/>
      <c r="W755" s="206">
        <f>Prod.!B424</f>
        <v>0</v>
      </c>
      <c r="X755" s="469">
        <f>Prod.!C424</f>
        <v>0</v>
      </c>
      <c r="Y755" s="469">
        <f>Prod.!D424</f>
        <v>0</v>
      </c>
      <c r="Z755" s="469">
        <f>Prod.!E424</f>
        <v>0</v>
      </c>
      <c r="AA755" s="282">
        <f>Prod.!F424</f>
        <v>0</v>
      </c>
      <c r="AB755" s="282">
        <f>Prod.!G424</f>
        <v>0</v>
      </c>
      <c r="AC755" s="836">
        <f>Prod.!H424</f>
        <v>0</v>
      </c>
      <c r="AD755" s="282">
        <f>Prod.!AB424</f>
        <v>0</v>
      </c>
      <c r="AE755" s="282">
        <f>AD755-AF755</f>
        <v>0</v>
      </c>
      <c r="AF755" s="282">
        <f>Prod.!AA424</f>
        <v>0</v>
      </c>
    </row>
    <row r="756" spans="1:32" ht="15" customHeight="1">
      <c r="A756" s="1435">
        <v>8</v>
      </c>
      <c r="B756" s="818">
        <f>W757</f>
        <v>0</v>
      </c>
      <c r="C756" s="819" t="s">
        <v>765</v>
      </c>
      <c r="D756" s="822"/>
      <c r="E756" s="822"/>
      <c r="F756" s="821">
        <f ca="1">F757 + (RAND() * 0.02 - 0.01)</f>
        <v>6.5705208734111609E-3</v>
      </c>
      <c r="G756" s="821">
        <f ca="1">G757 + (RAND() * 0.06 - 0.03)</f>
        <v>0.59741574436714429</v>
      </c>
      <c r="H756" s="822">
        <f ca="1">H757 + (RAND() * 0.006 - 0.003)</f>
        <v>-2.9710310921619923E-3</v>
      </c>
      <c r="I756" s="822">
        <f ca="1">I757 + (RAND() * 0.006 - 0.003)</f>
        <v>1.2439083548537308E-3</v>
      </c>
      <c r="J756" s="821">
        <f ca="1">J757 + (RAND() * 0.02 - 0.01)</f>
        <v>-2.5324427371462921E-3</v>
      </c>
      <c r="K756" s="821"/>
      <c r="L756" s="822"/>
      <c r="M756" s="821"/>
      <c r="N756" s="823"/>
      <c r="O756" s="823"/>
      <c r="P756" s="823"/>
      <c r="Q756" s="823"/>
      <c r="R756" s="839"/>
      <c r="S756" s="821"/>
      <c r="T756" s="821"/>
      <c r="U756" s="825"/>
      <c r="V756" s="826"/>
    </row>
    <row r="757" spans="1:32" ht="15" customHeight="1">
      <c r="A757" s="1435"/>
      <c r="B757" s="827">
        <f>B756</f>
        <v>0</v>
      </c>
      <c r="C757" s="828" t="s">
        <v>768</v>
      </c>
      <c r="D757" s="829" t="str">
        <f>IF(AC757=130, "130 × 130", IF(AC757=160, "160 × 160", IF(AC757=110, "110 × 110", "Value not 130, 160, or 110")))</f>
        <v>Value not 130, 160, or 110</v>
      </c>
      <c r="E757" s="830">
        <f>AD757</f>
        <v>0</v>
      </c>
      <c r="F757" s="831">
        <f ca="1">IF(X757 &gt; 0.1, RAND() * (0.1 - 0.06) + 0.06, X757)</f>
        <v>0</v>
      </c>
      <c r="G757" s="831">
        <f ca="1">IF(Y757 &lt; 0.5, 0.5 + RAND() * 0.1, Y757)</f>
        <v>0.57098698853004415</v>
      </c>
      <c r="H757" s="830">
        <f ca="1">IF(AB757&gt;0.04, 0.029 + (0.039-0.029)*RAND(), AB757)</f>
        <v>0</v>
      </c>
      <c r="I757" s="830">
        <f ca="1">IF(AA757&gt;0.04, 0.029 + (0.039-0.029)*RAND(), AA757)</f>
        <v>0</v>
      </c>
      <c r="J757" s="831">
        <f ca="1">IF(Z757&gt;0.15, 0.11 + (0.15-0.11) * RAND(), Z757)</f>
        <v>0</v>
      </c>
      <c r="K757" s="830">
        <f ca="1">0.004 + (RAND() * (0.001 - 0.004))</f>
        <v>3.2396683600064537E-3</v>
      </c>
      <c r="L757" s="830">
        <f ca="1">H757+I757</f>
        <v>0</v>
      </c>
      <c r="M757" s="831">
        <f ca="1">(G757/6)+F757</f>
        <v>9.5164498088340696E-2</v>
      </c>
      <c r="N757" s="831">
        <f ca="1">2 + RAND()</f>
        <v>2.8198486799184903</v>
      </c>
      <c r="O757" s="831">
        <f ca="1">1 + RAND()</f>
        <v>1.6441967768393435</v>
      </c>
      <c r="P757" s="831">
        <f ca="1">2.98 + (RAND() * (3.03 - 2.98))</f>
        <v>3.0173833196613411</v>
      </c>
      <c r="Q757" s="832" t="str">
        <f ca="1">IF(D757="130 × 130", (130 + RANDBETWEEN(-1,1)) &amp; " × " &amp; (130 + RANDBETWEEN(-1,1)),
   IF(D757="160 × 160", (160 + RANDBETWEEN(-1,1)) &amp; " × " &amp; (160 + RANDBETWEEN(-1,1)),
   IF(D757="110 × 110", (110 + RANDBETWEEN(-1,1)) &amp; " × " &amp; (110 + RANDBETWEEN(-1,1)),
   "Value not matched")))</f>
        <v>Value not matched</v>
      </c>
      <c r="R757" s="833" t="s">
        <v>213</v>
      </c>
      <c r="S757" s="834" t="str">
        <f ca="1">IF(G757&lt;0.6, "IS 14650 CPS 10748/GR2", "IS 14650 CPS 10748/GR3")</f>
        <v>IS 14650 CPS 10748/GR2</v>
      </c>
      <c r="T757" s="831" t="s">
        <v>769</v>
      </c>
      <c r="U757" s="825"/>
      <c r="V757" s="826"/>
      <c r="W757" s="206">
        <f>Prod.!B425</f>
        <v>0</v>
      </c>
      <c r="X757" s="469">
        <f>Prod.!C425</f>
        <v>0</v>
      </c>
      <c r="Y757" s="469">
        <f>Prod.!D425</f>
        <v>0</v>
      </c>
      <c r="Z757" s="469">
        <f>Prod.!E425</f>
        <v>0</v>
      </c>
      <c r="AA757" s="282">
        <f>Prod.!F425</f>
        <v>0</v>
      </c>
      <c r="AB757" s="282">
        <f>Prod.!G425</f>
        <v>0</v>
      </c>
      <c r="AC757" s="836">
        <f>Prod.!H425</f>
        <v>0</v>
      </c>
      <c r="AD757" s="282">
        <f>Prod.!AB425</f>
        <v>0</v>
      </c>
      <c r="AE757" s="282">
        <f>AD757-AF757</f>
        <v>0</v>
      </c>
      <c r="AF757" s="282">
        <f>Prod.!AA425</f>
        <v>0</v>
      </c>
    </row>
    <row r="758" spans="1:32" ht="15" customHeight="1">
      <c r="A758" s="1435">
        <v>9</v>
      </c>
      <c r="B758" s="818">
        <f>W759</f>
        <v>0</v>
      </c>
      <c r="C758" s="819" t="s">
        <v>765</v>
      </c>
      <c r="D758" s="822"/>
      <c r="E758" s="822"/>
      <c r="F758" s="821">
        <f ca="1">F759 + (RAND() * 0.02 - 0.01)</f>
        <v>8.3146453812447951E-4</v>
      </c>
      <c r="G758" s="821">
        <f ca="1">G759 + (RAND() * 0.06 - 0.03)</f>
        <v>0.60314433751705354</v>
      </c>
      <c r="H758" s="822">
        <f ca="1">H759 + (RAND() * 0.006 - 0.003)</f>
        <v>-1.8674940024727966E-3</v>
      </c>
      <c r="I758" s="822">
        <f ca="1">I759 + (RAND() * 0.006 - 0.003)</f>
        <v>-1.4199923028175895E-3</v>
      </c>
      <c r="J758" s="821">
        <f ca="1">J759 + (RAND() * 0.02 - 0.01)</f>
        <v>7.7712000855805017E-3</v>
      </c>
      <c r="K758" s="821"/>
      <c r="L758" s="822"/>
      <c r="M758" s="821"/>
      <c r="N758" s="823"/>
      <c r="O758" s="823"/>
      <c r="P758" s="823"/>
      <c r="Q758" s="823"/>
      <c r="R758" s="839"/>
      <c r="S758" s="821"/>
      <c r="T758" s="821"/>
      <c r="U758" s="825"/>
      <c r="V758" s="826"/>
    </row>
    <row r="759" spans="1:32" ht="15" customHeight="1">
      <c r="A759" s="1435"/>
      <c r="B759" s="827">
        <f>B758</f>
        <v>0</v>
      </c>
      <c r="C759" s="828" t="s">
        <v>768</v>
      </c>
      <c r="D759" s="829" t="str">
        <f>IF(AC759=130, "130 × 130", IF(AC759=160, "160 × 160", IF(AC759=110, "110 × 110", "Value not 130, 160, or 110")))</f>
        <v>Value not 130, 160, or 110</v>
      </c>
      <c r="E759" s="830">
        <f>AD759</f>
        <v>0</v>
      </c>
      <c r="F759" s="831">
        <f ca="1">IF(X759 &gt; 0.1, RAND() * (0.1 - 0.06) + 0.06, X759)</f>
        <v>0</v>
      </c>
      <c r="G759" s="831">
        <f ca="1">IF(Y759 &lt; 0.5, 0.5 + RAND() * 0.1, Y759)</f>
        <v>0.58857075297746875</v>
      </c>
      <c r="H759" s="830">
        <f ca="1">IF(AB759&gt;0.04, 0.029 + (0.039-0.029)*RAND(), AB759)</f>
        <v>0</v>
      </c>
      <c r="I759" s="830">
        <f ca="1">IF(AA759&gt;0.04, 0.029 + (0.039-0.029)*RAND(), AA759)</f>
        <v>0</v>
      </c>
      <c r="J759" s="831">
        <f ca="1">IF(Z759&gt;0.15, 0.11 + (0.15-0.11) * RAND(), Z759)</f>
        <v>0</v>
      </c>
      <c r="K759" s="830">
        <f ca="1">0.004 + (RAND() * (0.001 - 0.004))</f>
        <v>3.0548628472796867E-3</v>
      </c>
      <c r="L759" s="830">
        <f ca="1">H759+I759</f>
        <v>0</v>
      </c>
      <c r="M759" s="831">
        <f ca="1">(G759/6)+F759</f>
        <v>9.8095125496244787E-2</v>
      </c>
      <c r="N759" s="831">
        <f ca="1">2 + RAND()</f>
        <v>2.6011345759493301</v>
      </c>
      <c r="O759" s="831">
        <f ca="1">1 + RAND()</f>
        <v>1.6505396336548759</v>
      </c>
      <c r="P759" s="831">
        <f ca="1">2.98 + (RAND() * (3.03 - 2.98))</f>
        <v>3.0069679677546106</v>
      </c>
      <c r="Q759" s="832" t="str">
        <f ca="1">IF(D759="130 × 130", (130 + RANDBETWEEN(-1,1)) &amp; " × " &amp; (130 + RANDBETWEEN(-1,1)),
   IF(D759="160 × 160", (160 + RANDBETWEEN(-1,1)) &amp; " × " &amp; (160 + RANDBETWEEN(-1,1)),
   IF(D759="110 × 110", (110 + RANDBETWEEN(-1,1)) &amp; " × " &amp; (110 + RANDBETWEEN(-1,1)),
   "Value not matched")))</f>
        <v>Value not matched</v>
      </c>
      <c r="R759" s="833" t="s">
        <v>213</v>
      </c>
      <c r="S759" s="834" t="str">
        <f ca="1">IF(G759&lt;0.6, "IS 14650 CPS 10748/GR2", "IS 14650 CPS 10748/GR3")</f>
        <v>IS 14650 CPS 10748/GR2</v>
      </c>
      <c r="T759" s="831" t="s">
        <v>769</v>
      </c>
      <c r="U759" s="825"/>
      <c r="V759" s="826"/>
      <c r="W759" s="206">
        <f>Prod.!B426</f>
        <v>0</v>
      </c>
      <c r="X759" s="469">
        <f>Prod.!C426</f>
        <v>0</v>
      </c>
      <c r="Y759" s="469">
        <f>Prod.!D426</f>
        <v>0</v>
      </c>
      <c r="Z759" s="469">
        <f>Prod.!E426</f>
        <v>0</v>
      </c>
      <c r="AA759" s="282">
        <f>Prod.!F426</f>
        <v>0</v>
      </c>
      <c r="AB759" s="282">
        <f>Prod.!G426</f>
        <v>0</v>
      </c>
      <c r="AC759" s="836">
        <f>Prod.!H426</f>
        <v>0</v>
      </c>
      <c r="AD759" s="282">
        <f>Prod.!AB426</f>
        <v>0</v>
      </c>
      <c r="AE759" s="282">
        <f>AD759-AF759</f>
        <v>0</v>
      </c>
      <c r="AF759" s="282">
        <f>Prod.!AA426</f>
        <v>0</v>
      </c>
    </row>
    <row r="760" spans="1:32" ht="15" customHeight="1">
      <c r="A760" s="1435">
        <v>10</v>
      </c>
      <c r="B760" s="818">
        <f>W761</f>
        <v>0</v>
      </c>
      <c r="C760" s="819" t="s">
        <v>765</v>
      </c>
      <c r="D760" s="822"/>
      <c r="E760" s="822"/>
      <c r="F760" s="821">
        <f ca="1">F761 + (RAND() * 0.02 - 0.01)</f>
        <v>4.6054774924573355E-4</v>
      </c>
      <c r="G760" s="821">
        <f ca="1">G761 + (RAND() * 0.06 - 0.03)</f>
        <v>0.56903974863578577</v>
      </c>
      <c r="H760" s="822">
        <f ca="1">H761 + (RAND() * 0.006 - 0.003)</f>
        <v>1.635134405450692E-3</v>
      </c>
      <c r="I760" s="822">
        <f ca="1">I761 + (RAND() * 0.006 - 0.003)</f>
        <v>4.3798000749941616E-4</v>
      </c>
      <c r="J760" s="821">
        <f ca="1">J761 + (RAND() * 0.02 - 0.01)</f>
        <v>9.5454502743280625E-3</v>
      </c>
      <c r="K760" s="821"/>
      <c r="L760" s="822"/>
      <c r="M760" s="821"/>
      <c r="N760" s="823"/>
      <c r="O760" s="823"/>
      <c r="P760" s="823"/>
      <c r="Q760" s="823"/>
      <c r="R760" s="839"/>
      <c r="S760" s="821"/>
      <c r="T760" s="821"/>
      <c r="U760" s="825"/>
      <c r="V760" s="826"/>
    </row>
    <row r="761" spans="1:32" ht="15" customHeight="1">
      <c r="A761" s="1435"/>
      <c r="B761" s="827">
        <f>B760</f>
        <v>0</v>
      </c>
      <c r="C761" s="828" t="s">
        <v>768</v>
      </c>
      <c r="D761" s="829" t="str">
        <f>IF(AC761=130, "130 × 130", IF(AC761=160, "160 × 160", IF(AC761=110, "110 × 110", "Value not 130, 160, or 110")))</f>
        <v>Value not 130, 160, or 110</v>
      </c>
      <c r="E761" s="830">
        <f>AD761</f>
        <v>0</v>
      </c>
      <c r="F761" s="831">
        <f ca="1">IF(X761 &gt; 0.1, RAND() * (0.1 - 0.06) + 0.06, X761)</f>
        <v>0</v>
      </c>
      <c r="G761" s="831">
        <f ca="1">IF(Y761 &lt; 0.5, 0.5 + RAND() * 0.1, Y761)</f>
        <v>0.57285195121606802</v>
      </c>
      <c r="H761" s="830">
        <f ca="1">IF(AB761&gt;0.04, 0.029 + (0.039-0.029)*RAND(), AB761)</f>
        <v>0</v>
      </c>
      <c r="I761" s="830">
        <f ca="1">IF(AA761&gt;0.04, 0.029 + (0.039-0.029)*RAND(), AA761)</f>
        <v>0</v>
      </c>
      <c r="J761" s="831">
        <f ca="1">IF(Z761&gt;0.15, 0.11 + (0.15-0.11) * RAND(), Z761)</f>
        <v>0</v>
      </c>
      <c r="K761" s="830">
        <f ca="1">0.004 + (RAND() * (0.001 - 0.004))</f>
        <v>3.433421756103588E-3</v>
      </c>
      <c r="L761" s="830">
        <f ca="1">H761+I761</f>
        <v>0</v>
      </c>
      <c r="M761" s="831">
        <f ca="1">(G761/6)+F761</f>
        <v>9.5475325202677999E-2</v>
      </c>
      <c r="N761" s="831">
        <f ca="1">2 + RAND()</f>
        <v>2.371669561755509</v>
      </c>
      <c r="O761" s="831">
        <f ca="1">1 + RAND()</f>
        <v>1.2244679895915351</v>
      </c>
      <c r="P761" s="831">
        <f ca="1">2.98 + (RAND() * (3.03 - 2.98))</f>
        <v>2.9943653749847168</v>
      </c>
      <c r="Q761" s="832" t="str">
        <f ca="1">IF(D761="130 × 130", (130 + RANDBETWEEN(-1,1)) &amp; " × " &amp; (130 + RANDBETWEEN(-1,1)),
   IF(D761="160 × 160", (160 + RANDBETWEEN(-1,1)) &amp; " × " &amp; (160 + RANDBETWEEN(-1,1)),
   IF(D761="110 × 110", (110 + RANDBETWEEN(-1,1)) &amp; " × " &amp; (110 + RANDBETWEEN(-1,1)),
   "Value not matched")))</f>
        <v>Value not matched</v>
      </c>
      <c r="R761" s="833" t="s">
        <v>213</v>
      </c>
      <c r="S761" s="834" t="str">
        <f ca="1">IF(G761&lt;0.6, "IS 14650 CPS 10748/GR2", "IS 14650 CPS 10748/GR3")</f>
        <v>IS 14650 CPS 10748/GR2</v>
      </c>
      <c r="T761" s="831" t="s">
        <v>769</v>
      </c>
      <c r="U761" s="825"/>
      <c r="V761" s="826"/>
      <c r="W761" s="206">
        <f>Prod.!B427</f>
        <v>0</v>
      </c>
      <c r="X761" s="469">
        <f>Prod.!C427</f>
        <v>0</v>
      </c>
      <c r="Y761" s="469">
        <f>Prod.!D427</f>
        <v>0</v>
      </c>
      <c r="Z761" s="469">
        <f>Prod.!E427</f>
        <v>0</v>
      </c>
      <c r="AA761" s="282">
        <f>Prod.!F427</f>
        <v>0</v>
      </c>
      <c r="AB761" s="282">
        <f>Prod.!G427</f>
        <v>0</v>
      </c>
      <c r="AC761" s="836">
        <f>Prod.!H427</f>
        <v>0</v>
      </c>
      <c r="AD761" s="282">
        <f>Prod.!AB427</f>
        <v>0</v>
      </c>
      <c r="AE761" s="282">
        <f>AD761-AF761</f>
        <v>0</v>
      </c>
      <c r="AF761" s="282">
        <f>Prod.!AA427</f>
        <v>0</v>
      </c>
    </row>
    <row r="762" spans="1:32" ht="15" customHeight="1">
      <c r="A762" s="1435">
        <v>11</v>
      </c>
      <c r="B762" s="818">
        <f>W763</f>
        <v>0</v>
      </c>
      <c r="C762" s="819" t="s">
        <v>765</v>
      </c>
      <c r="D762" s="822"/>
      <c r="E762" s="822"/>
      <c r="F762" s="821">
        <f ca="1">F763 + (RAND() * 0.02 - 0.01)</f>
        <v>1.4684383258720211E-3</v>
      </c>
      <c r="G762" s="821">
        <f ca="1">G763 + (RAND() * 0.06 - 0.03)</f>
        <v>0.53157823113475944</v>
      </c>
      <c r="H762" s="822">
        <f ca="1">H763 + (RAND() * 0.006 - 0.003)</f>
        <v>-9.0424694098445056E-4</v>
      </c>
      <c r="I762" s="822">
        <f ca="1">I763 + (RAND() * 0.006 - 0.003)</f>
        <v>3.7819164712343855E-4</v>
      </c>
      <c r="J762" s="821">
        <f ca="1">J763 + (RAND() * 0.02 - 0.01)</f>
        <v>-2.286541618958156E-3</v>
      </c>
      <c r="K762" s="821"/>
      <c r="L762" s="822"/>
      <c r="M762" s="821"/>
      <c r="N762" s="823"/>
      <c r="O762" s="823"/>
      <c r="P762" s="823"/>
      <c r="Q762" s="823"/>
      <c r="R762" s="839"/>
      <c r="S762" s="821"/>
      <c r="T762" s="821"/>
      <c r="U762" s="825"/>
      <c r="V762" s="826"/>
    </row>
    <row r="763" spans="1:32" ht="15" customHeight="1">
      <c r="A763" s="1435"/>
      <c r="B763" s="827">
        <f>B762</f>
        <v>0</v>
      </c>
      <c r="C763" s="828" t="s">
        <v>768</v>
      </c>
      <c r="D763" s="829" t="str">
        <f>IF(AC763=130, "130 × 130", IF(AC763=160, "160 × 160", IF(AC763=110, "110 × 110", "Value not 130, 160, or 110")))</f>
        <v>Value not 130, 160, or 110</v>
      </c>
      <c r="E763" s="830">
        <f>AD763</f>
        <v>0</v>
      </c>
      <c r="F763" s="831">
        <f ca="1">IF(X763 &gt; 0.1, RAND() * (0.1 - 0.06) + 0.06, X763)</f>
        <v>0</v>
      </c>
      <c r="G763" s="831">
        <f ca="1">IF(Y763 &lt; 0.5, 0.5 + RAND() * 0.1, Y763)</f>
        <v>0.53960858244969767</v>
      </c>
      <c r="H763" s="830">
        <f ca="1">IF(AB763&gt;0.04, 0.029 + (0.039-0.029)*RAND(), AB763)</f>
        <v>0</v>
      </c>
      <c r="I763" s="830">
        <f ca="1">IF(AA763&gt;0.04, 0.029 + (0.039-0.029)*RAND(), AA763)</f>
        <v>0</v>
      </c>
      <c r="J763" s="831">
        <f ca="1">IF(Z763&gt;0.15, 0.11 + (0.15-0.11) * RAND(), Z763)</f>
        <v>0</v>
      </c>
      <c r="K763" s="830">
        <f ca="1">0.004 + (RAND() * (0.001 - 0.004))</f>
        <v>1.4258104068890138E-3</v>
      </c>
      <c r="L763" s="830">
        <f ca="1">H763+I763</f>
        <v>0</v>
      </c>
      <c r="M763" s="831">
        <f ca="1">(G763/6)+F763</f>
        <v>8.9934763741616283E-2</v>
      </c>
      <c r="N763" s="831">
        <f ca="1">2 + RAND()</f>
        <v>2.671596909408553</v>
      </c>
      <c r="O763" s="831">
        <f ca="1">1 + RAND()</f>
        <v>1.3621218738376966</v>
      </c>
      <c r="P763" s="831">
        <f ca="1">2.98 + (RAND() * (3.03 - 2.98))</f>
        <v>2.9935552820612199</v>
      </c>
      <c r="Q763" s="832" t="str">
        <f ca="1">IF(D763="130 × 130", (130 + RANDBETWEEN(-1,1)) &amp; " × " &amp; (130 + RANDBETWEEN(-1,1)),
   IF(D763="160 × 160", (160 + RANDBETWEEN(-1,1)) &amp; " × " &amp; (160 + RANDBETWEEN(-1,1)),
   IF(D763="110 × 110", (110 + RANDBETWEEN(-1,1)) &amp; " × " &amp; (110 + RANDBETWEEN(-1,1)),
   "Value not matched")))</f>
        <v>Value not matched</v>
      </c>
      <c r="R763" s="833" t="s">
        <v>213</v>
      </c>
      <c r="S763" s="834" t="str">
        <f ca="1">IF(G763&lt;0.6, "IS 14650 CPS 10748/GR2", "IS 14650 CPS 10748/GR3")</f>
        <v>IS 14650 CPS 10748/GR2</v>
      </c>
      <c r="T763" s="831" t="s">
        <v>769</v>
      </c>
      <c r="U763" s="825"/>
      <c r="V763" s="826"/>
      <c r="W763" s="206">
        <f>Prod.!B428</f>
        <v>0</v>
      </c>
      <c r="X763" s="469">
        <f>Prod.!C428</f>
        <v>0</v>
      </c>
      <c r="Y763" s="469">
        <f>Prod.!D428</f>
        <v>0</v>
      </c>
      <c r="Z763" s="469">
        <f>Prod.!E428</f>
        <v>0</v>
      </c>
      <c r="AA763" s="282">
        <f>Prod.!F428</f>
        <v>0</v>
      </c>
      <c r="AB763" s="282">
        <f>Prod.!G428</f>
        <v>0</v>
      </c>
      <c r="AC763" s="836">
        <f>Prod.!H428</f>
        <v>0</v>
      </c>
      <c r="AD763" s="282">
        <f>Prod.!AB428</f>
        <v>0</v>
      </c>
      <c r="AE763" s="282">
        <f>AD763-AF763</f>
        <v>0</v>
      </c>
      <c r="AF763" s="282">
        <f>Prod.!AA428</f>
        <v>0</v>
      </c>
    </row>
    <row r="764" spans="1:32" ht="15" customHeight="1">
      <c r="A764" s="1435">
        <v>12</v>
      </c>
      <c r="B764" s="818">
        <f>W765</f>
        <v>0</v>
      </c>
      <c r="C764" s="819" t="s">
        <v>765</v>
      </c>
      <c r="D764" s="822"/>
      <c r="E764" s="822"/>
      <c r="F764" s="821">
        <f ca="1">F765 + (RAND() * 0.02 - 0.01)</f>
        <v>5.7934932538085387E-3</v>
      </c>
      <c r="G764" s="821">
        <f ca="1">G765 + (RAND() * 0.06 - 0.03)</f>
        <v>0.56827763975533618</v>
      </c>
      <c r="H764" s="822">
        <f ca="1">H765 + (RAND() * 0.006 - 0.003)</f>
        <v>1.5762416873995357E-3</v>
      </c>
      <c r="I764" s="822">
        <f ca="1">I765 + (RAND() * 0.006 - 0.003)</f>
        <v>2.6349476031343752E-3</v>
      </c>
      <c r="J764" s="821">
        <f ca="1">J765 + (RAND() * 0.02 - 0.01)</f>
        <v>5.2871846921314462E-3</v>
      </c>
      <c r="K764" s="821"/>
      <c r="L764" s="822"/>
      <c r="M764" s="821"/>
      <c r="N764" s="823"/>
      <c r="O764" s="823"/>
      <c r="P764" s="823"/>
      <c r="Q764" s="823"/>
      <c r="R764" s="839"/>
      <c r="S764" s="821"/>
      <c r="T764" s="821"/>
      <c r="U764" s="825"/>
      <c r="V764" s="826"/>
    </row>
    <row r="765" spans="1:32" ht="15" customHeight="1">
      <c r="A765" s="1435"/>
      <c r="B765" s="827">
        <f>B764</f>
        <v>0</v>
      </c>
      <c r="C765" s="828" t="s">
        <v>768</v>
      </c>
      <c r="D765" s="829" t="str">
        <f>IF(AC765=130, "130 × 130", IF(AC765=160, "160 × 160", IF(AC765=110, "110 × 110", "Value not 130, 160, or 110")))</f>
        <v>Value not 130, 160, or 110</v>
      </c>
      <c r="E765" s="830">
        <f>AD765</f>
        <v>0</v>
      </c>
      <c r="F765" s="831">
        <f ca="1">IF(X765 &gt; 0.1, RAND() * (0.1 - 0.06) + 0.06, X765)</f>
        <v>0</v>
      </c>
      <c r="G765" s="831">
        <f ca="1">IF(Y765 &lt; 0.5, 0.5 + RAND() * 0.1, Y765)</f>
        <v>0.55999344452878308</v>
      </c>
      <c r="H765" s="830">
        <f ca="1">IF(AB765&gt;0.04, 0.029 + (0.039-0.029)*RAND(), AB765)</f>
        <v>0</v>
      </c>
      <c r="I765" s="830">
        <f ca="1">IF(AA765&gt;0.04, 0.029 + (0.039-0.029)*RAND(), AA765)</f>
        <v>0</v>
      </c>
      <c r="J765" s="831">
        <f ca="1">IF(Z765&gt;0.15, 0.11 + (0.15-0.11) * RAND(), Z765)</f>
        <v>0</v>
      </c>
      <c r="K765" s="830">
        <f ca="1">0.004 + (RAND() * (0.001 - 0.004))</f>
        <v>2.0266874236190076E-3</v>
      </c>
      <c r="L765" s="830">
        <f ca="1">H765+I765</f>
        <v>0</v>
      </c>
      <c r="M765" s="831">
        <f ca="1">(G765/6)+F765</f>
        <v>9.333224075479718E-2</v>
      </c>
      <c r="N765" s="831">
        <f ca="1">2 + RAND()</f>
        <v>2.3110647946871996</v>
      </c>
      <c r="O765" s="831">
        <f ca="1">1 + RAND()</f>
        <v>1.61153891740178</v>
      </c>
      <c r="P765" s="831">
        <f ca="1">2.98 + (RAND() * (3.03 - 2.98))</f>
        <v>2.9905459813441921</v>
      </c>
      <c r="Q765" s="832" t="str">
        <f ca="1">IF(D765="130 × 130", (130 + RANDBETWEEN(-1,1)) &amp; " × " &amp; (130 + RANDBETWEEN(-1,1)),
   IF(D765="160 × 160", (160 + RANDBETWEEN(-1,1)) &amp; " × " &amp; (160 + RANDBETWEEN(-1,1)),
   IF(D765="110 × 110", (110 + RANDBETWEEN(-1,1)) &amp; " × " &amp; (110 + RANDBETWEEN(-1,1)),
   "Value not matched")))</f>
        <v>Value not matched</v>
      </c>
      <c r="R765" s="833" t="s">
        <v>213</v>
      </c>
      <c r="S765" s="834" t="str">
        <f ca="1">IF(G765&lt;0.6, "IS 14650 CPS 10748/GR2", "IS 14650 CPS 10748/GR3")</f>
        <v>IS 14650 CPS 10748/GR2</v>
      </c>
      <c r="T765" s="831" t="s">
        <v>769</v>
      </c>
      <c r="U765" s="825"/>
      <c r="V765" s="826"/>
      <c r="W765" s="206">
        <f>Prod.!B429</f>
        <v>0</v>
      </c>
      <c r="X765" s="469">
        <f>Prod.!C429</f>
        <v>0</v>
      </c>
      <c r="Y765" s="469">
        <f>Prod.!D429</f>
        <v>0</v>
      </c>
      <c r="Z765" s="469">
        <f>Prod.!E429</f>
        <v>0</v>
      </c>
      <c r="AA765" s="282">
        <f>Prod.!F429</f>
        <v>0</v>
      </c>
      <c r="AB765" s="282">
        <f>Prod.!G429</f>
        <v>0</v>
      </c>
      <c r="AC765" s="836">
        <f>Prod.!H429</f>
        <v>0</v>
      </c>
      <c r="AD765" s="282">
        <f>Prod.!AB429</f>
        <v>0</v>
      </c>
      <c r="AE765" s="282">
        <f>AD765-AF765</f>
        <v>0</v>
      </c>
      <c r="AF765" s="282">
        <f>Prod.!AA429</f>
        <v>0</v>
      </c>
    </row>
    <row r="766" spans="1:32" ht="15" customHeight="1">
      <c r="A766" s="1435"/>
      <c r="B766" s="818"/>
      <c r="C766" s="819"/>
      <c r="D766" s="822"/>
      <c r="E766" s="822"/>
      <c r="F766" s="821"/>
      <c r="G766" s="821"/>
      <c r="H766" s="840"/>
      <c r="I766" s="840"/>
      <c r="J766" s="821"/>
      <c r="K766" s="821"/>
      <c r="L766" s="822"/>
      <c r="M766" s="838"/>
      <c r="N766" s="821"/>
      <c r="O766" s="821"/>
      <c r="P766" s="821"/>
      <c r="Q766" s="821"/>
      <c r="R766" s="839"/>
      <c r="S766" s="841"/>
      <c r="T766" s="821"/>
      <c r="U766" s="825"/>
      <c r="V766" s="826"/>
    </row>
    <row r="767" spans="1:32" ht="15" customHeight="1">
      <c r="A767" s="1435"/>
      <c r="B767" s="827"/>
      <c r="C767" s="828"/>
      <c r="D767" s="842"/>
      <c r="E767" s="830"/>
      <c r="F767" s="831"/>
      <c r="G767" s="831"/>
      <c r="H767" s="843"/>
      <c r="I767" s="843"/>
      <c r="J767" s="831"/>
      <c r="K767" s="831"/>
      <c r="L767" s="830"/>
      <c r="M767" s="831"/>
      <c r="N767" s="831"/>
      <c r="O767" s="831"/>
      <c r="P767" s="831"/>
      <c r="Q767" s="831"/>
      <c r="R767" s="833"/>
      <c r="S767" s="834"/>
      <c r="T767" s="831"/>
      <c r="U767" s="825"/>
      <c r="V767" s="826"/>
    </row>
    <row r="768" spans="1:32" ht="15" customHeight="1">
      <c r="A768" s="180"/>
      <c r="B768" s="180"/>
      <c r="C768" s="180" t="s">
        <v>770</v>
      </c>
      <c r="D768" s="395"/>
      <c r="E768" s="844">
        <f>SUM(E742:E765)</f>
        <v>0</v>
      </c>
      <c r="F768" s="180"/>
      <c r="G768" s="180"/>
      <c r="H768" s="844"/>
      <c r="I768" s="180"/>
      <c r="J768" s="845"/>
      <c r="K768" s="845"/>
      <c r="L768" s="180"/>
      <c r="M768" s="845"/>
      <c r="N768" s="180"/>
      <c r="O768" s="180"/>
      <c r="P768" s="180"/>
      <c r="Q768" s="180"/>
      <c r="R768" s="263"/>
      <c r="S768" s="180"/>
      <c r="T768" s="180"/>
    </row>
    <row r="769" spans="1:32" ht="28.5" customHeight="1">
      <c r="A769" s="1436" t="s">
        <v>746</v>
      </c>
      <c r="B769" s="1436"/>
      <c r="C769" s="1436"/>
      <c r="D769" s="1436"/>
      <c r="E769" s="1436"/>
      <c r="F769" s="1436"/>
      <c r="G769" s="1436"/>
      <c r="H769" s="1436"/>
      <c r="I769" s="1436"/>
      <c r="J769" s="1436"/>
      <c r="K769" s="1436"/>
      <c r="L769" s="1436"/>
      <c r="M769" s="1436"/>
      <c r="N769" s="1436"/>
      <c r="O769" s="1436"/>
      <c r="P769" s="1436"/>
      <c r="Q769" s="1436"/>
      <c r="R769" s="1436"/>
      <c r="S769" s="1436"/>
      <c r="T769" s="1436"/>
      <c r="U769" s="515"/>
      <c r="V769" s="846"/>
    </row>
    <row r="770" spans="1:32" ht="15" customHeight="1">
      <c r="A770" s="1437" t="s">
        <v>747</v>
      </c>
      <c r="B770" s="1437"/>
      <c r="C770" s="1437"/>
      <c r="D770" s="1437"/>
      <c r="E770" s="1437"/>
      <c r="F770" s="1437"/>
      <c r="G770" s="1437"/>
      <c r="H770" s="1437"/>
      <c r="I770" s="1437"/>
      <c r="J770" s="1437"/>
      <c r="K770" s="1437"/>
      <c r="L770" s="1437"/>
      <c r="M770" s="1437"/>
      <c r="N770" s="1437"/>
      <c r="O770" s="1437"/>
      <c r="P770" s="1437"/>
      <c r="Q770" s="1437"/>
      <c r="R770" s="1437"/>
      <c r="S770" s="1437"/>
      <c r="T770" s="1437"/>
      <c r="U770" s="806"/>
      <c r="V770" s="807"/>
    </row>
    <row r="771" spans="1:32" ht="15" customHeight="1">
      <c r="A771" s="1438" t="str">
        <f>"DATE OF MANUFACTURING : " &amp; TEXT(V775, "DD-MM-YYYY")</f>
        <v>DATE OF MANUFACTURING : 00-01-1900</v>
      </c>
      <c r="B771" s="1438"/>
      <c r="C771" s="1438"/>
      <c r="D771" s="1438"/>
      <c r="E771" s="1438"/>
      <c r="F771" s="1438"/>
      <c r="G771" s="1438"/>
      <c r="H771" s="1438"/>
      <c r="I771" s="1438"/>
      <c r="J771" s="1438"/>
      <c r="K771" s="1438"/>
      <c r="L771" s="1438"/>
      <c r="M771" s="1438"/>
      <c r="N771" s="1437" t="s">
        <v>748</v>
      </c>
      <c r="O771" s="1437"/>
      <c r="P771" s="1437"/>
      <c r="Q771" s="1437"/>
      <c r="R771" s="1437"/>
      <c r="S771" s="1437"/>
      <c r="T771" s="1437"/>
      <c r="U771" s="808"/>
      <c r="V771" s="809"/>
    </row>
    <row r="772" spans="1:32" ht="29.25" customHeight="1">
      <c r="A772" s="1439" t="s">
        <v>749</v>
      </c>
      <c r="B772" s="1440" t="s">
        <v>750</v>
      </c>
      <c r="C772" s="1440"/>
      <c r="D772" s="1440" t="s">
        <v>751</v>
      </c>
      <c r="E772" s="1441" t="s">
        <v>752</v>
      </c>
      <c r="F772" s="1442" t="s">
        <v>753</v>
      </c>
      <c r="G772" s="1442"/>
      <c r="H772" s="1442"/>
      <c r="I772" s="1442"/>
      <c r="J772" s="1442"/>
      <c r="K772" s="1442"/>
      <c r="L772" s="1442"/>
      <c r="M772" s="1442"/>
      <c r="N772" s="1442" t="s">
        <v>754</v>
      </c>
      <c r="O772" s="1442"/>
      <c r="P772" s="1442"/>
      <c r="Q772" s="1442"/>
      <c r="R772" s="1444" t="s">
        <v>755</v>
      </c>
      <c r="S772" s="1441" t="s">
        <v>756</v>
      </c>
      <c r="T772" s="1440" t="s">
        <v>104</v>
      </c>
      <c r="U772" s="810"/>
      <c r="V772" s="811"/>
    </row>
    <row r="773" spans="1:32" ht="42.75" customHeight="1">
      <c r="A773" s="1439"/>
      <c r="B773" s="1440"/>
      <c r="C773" s="1440"/>
      <c r="D773" s="1440"/>
      <c r="E773" s="1440"/>
      <c r="F773" s="812" t="s">
        <v>40</v>
      </c>
      <c r="G773" s="812" t="s">
        <v>757</v>
      </c>
      <c r="H773" s="813" t="s">
        <v>758</v>
      </c>
      <c r="I773" s="812" t="s">
        <v>43</v>
      </c>
      <c r="J773" s="812" t="s">
        <v>42</v>
      </c>
      <c r="K773" s="812" t="s">
        <v>759</v>
      </c>
      <c r="L773" s="812" t="s">
        <v>760</v>
      </c>
      <c r="M773" s="812" t="s">
        <v>761</v>
      </c>
      <c r="N773" s="814" t="s">
        <v>762</v>
      </c>
      <c r="O773" s="815" t="s">
        <v>772</v>
      </c>
      <c r="P773" s="816" t="s">
        <v>773</v>
      </c>
      <c r="Q773" s="817" t="s">
        <v>764</v>
      </c>
      <c r="R773" s="1444"/>
      <c r="S773" s="1441"/>
      <c r="T773" s="1441"/>
      <c r="U773" s="810"/>
      <c r="V773" s="811"/>
    </row>
    <row r="774" spans="1:32" ht="15" customHeight="1">
      <c r="A774" s="1435">
        <v>1</v>
      </c>
      <c r="B774" s="818">
        <f>W775</f>
        <v>0</v>
      </c>
      <c r="C774" s="819" t="s">
        <v>765</v>
      </c>
      <c r="D774" s="820"/>
      <c r="E774" s="821"/>
      <c r="F774" s="821">
        <f ca="1">F775 + (RAND() * 0.02 - 0.01)</f>
        <v>8.2773450851244702E-3</v>
      </c>
      <c r="G774" s="821">
        <f ca="1">G775 + (RAND() * 0.06 - 0.03)</f>
        <v>0.61593018982636805</v>
      </c>
      <c r="H774" s="822">
        <f ca="1">H775 + (RAND() * 0.006 - 0.003)</f>
        <v>-1.6971818893869591E-3</v>
      </c>
      <c r="I774" s="822">
        <f ca="1">I775 + (RAND() * 0.006 - 0.003)</f>
        <v>-7.2905844389227481E-4</v>
      </c>
      <c r="J774" s="821">
        <f ca="1">J775 + (RAND() * 0.02 - 0.01)</f>
        <v>4.2465297076533012E-3</v>
      </c>
      <c r="K774" s="821"/>
      <c r="L774" s="822"/>
      <c r="M774" s="821"/>
      <c r="N774" s="823"/>
      <c r="O774" s="823"/>
      <c r="P774" s="823"/>
      <c r="Q774" s="823"/>
      <c r="R774" s="824"/>
      <c r="S774" s="821"/>
      <c r="T774" s="821"/>
      <c r="U774" s="825"/>
      <c r="V774" s="826"/>
      <c r="AE774" t="s">
        <v>767</v>
      </c>
    </row>
    <row r="775" spans="1:32" ht="15" customHeight="1">
      <c r="A775" s="1435"/>
      <c r="B775" s="827">
        <f>B774</f>
        <v>0</v>
      </c>
      <c r="C775" s="828" t="s">
        <v>768</v>
      </c>
      <c r="D775" s="829" t="str">
        <f>IF(AC775=130, "130 × 130", IF(AC775=160, "160 × 160", IF(AC775=110, "110 × 110", "Value not 130, 160, or 110")))</f>
        <v>Value not 130, 160, or 110</v>
      </c>
      <c r="E775" s="830">
        <f>AD775</f>
        <v>0</v>
      </c>
      <c r="F775" s="831">
        <f ca="1">IF(X775 &gt; 0.1, RAND() * (0.1 - 0.06) + 0.06, X775)</f>
        <v>0</v>
      </c>
      <c r="G775" s="831">
        <f ca="1">IF(Y775 &lt; 0.5, 0.5 + RAND() * 0.1, Y775)</f>
        <v>0.59798037120115577</v>
      </c>
      <c r="H775" s="830">
        <f ca="1">IF(AB775&gt;0.04, 0.029 + (0.039-0.029)*RAND(), AB775)</f>
        <v>0</v>
      </c>
      <c r="I775" s="830">
        <f ca="1">IF(AA775&gt;0.04, 0.029 + (0.039-0.029)*RAND(), AA775)</f>
        <v>0</v>
      </c>
      <c r="J775" s="831">
        <f ca="1">IF(Z775&gt;0.15, 0.11 + (0.15-0.11) * RAND(), Z775)</f>
        <v>0</v>
      </c>
      <c r="K775" s="830">
        <f ca="1">0.004 + (RAND() * (0.001 - 0.004))</f>
        <v>3.2475848814817639E-3</v>
      </c>
      <c r="L775" s="830">
        <f ca="1">H775+I775</f>
        <v>0</v>
      </c>
      <c r="M775" s="831">
        <f ca="1">(G775/6)+F775</f>
        <v>9.9663395200192628E-2</v>
      </c>
      <c r="N775" s="831">
        <f ca="1">2 + RAND()</f>
        <v>2.0137123801014911</v>
      </c>
      <c r="O775" s="831">
        <f ca="1">1 + RAND()</f>
        <v>1.5786469597266244</v>
      </c>
      <c r="P775" s="831">
        <f ca="1">2.98 + (RAND() * (3.03 - 2.98))</f>
        <v>3.0234914918689388</v>
      </c>
      <c r="Q775" s="832" t="str">
        <f ca="1">IF(D775="130 × 130", (130 + RANDBETWEEN(-1,1)) &amp; " × " &amp; (130 + RANDBETWEEN(-1,1)),
   IF(D775="160 × 160", (160 + RANDBETWEEN(-1,1)) &amp; " × " &amp; (160 + RANDBETWEEN(-1,1)),
   IF(D775="110 × 110", (110 + RANDBETWEEN(-1,1)) &amp; " × " &amp; (110 + RANDBETWEEN(-1,1)),
   "Value not matched")))</f>
        <v>Value not matched</v>
      </c>
      <c r="R775" s="833" t="s">
        <v>213</v>
      </c>
      <c r="S775" s="834" t="str">
        <f ca="1">IF(G775&lt;0.6, "IS 14650 CPS 10748/GR2", "IS 14650 CPS 10748/GR3")</f>
        <v>IS 14650 CPS 10748/GR2</v>
      </c>
      <c r="T775" s="831" t="s">
        <v>769</v>
      </c>
      <c r="U775" s="825"/>
      <c r="V775" s="835">
        <f>Prod.!A436</f>
        <v>0</v>
      </c>
      <c r="W775" s="206">
        <f>Prod.!B436</f>
        <v>0</v>
      </c>
      <c r="X775" s="469">
        <f>Prod.!C436</f>
        <v>0</v>
      </c>
      <c r="Y775" s="469">
        <f>Prod.!D436</f>
        <v>0</v>
      </c>
      <c r="Z775" s="469">
        <f>Prod.!E436</f>
        <v>0</v>
      </c>
      <c r="AA775" s="282">
        <f>Prod.!F436</f>
        <v>0</v>
      </c>
      <c r="AB775" s="282">
        <f>Prod.!G436</f>
        <v>0</v>
      </c>
      <c r="AC775" s="836">
        <f>Prod.!H436</f>
        <v>0</v>
      </c>
      <c r="AD775" s="282">
        <f>Prod.!AB436</f>
        <v>0</v>
      </c>
      <c r="AE775" s="282">
        <f>AD775-AF775</f>
        <v>0</v>
      </c>
      <c r="AF775" s="282">
        <f>Prod.!AA436</f>
        <v>0</v>
      </c>
    </row>
    <row r="776" spans="1:32" ht="15" customHeight="1">
      <c r="A776" s="1435">
        <v>2</v>
      </c>
      <c r="B776" s="818">
        <f>W777</f>
        <v>0</v>
      </c>
      <c r="C776" s="819" t="s">
        <v>765</v>
      </c>
      <c r="D776" s="822"/>
      <c r="E776" s="822"/>
      <c r="F776" s="821">
        <f ca="1">F777 + (RAND() * 0.02 - 0.01)</f>
        <v>7.7601820783839686E-3</v>
      </c>
      <c r="G776" s="821">
        <f ca="1">G777 + (RAND() * 0.06 - 0.03)</f>
        <v>0.56312928966835607</v>
      </c>
      <c r="H776" s="822">
        <f ca="1">H777 + (RAND() * 0.006 - 0.003)</f>
        <v>-7.5630750134940286E-4</v>
      </c>
      <c r="I776" s="822">
        <f ca="1">I777 + (RAND() * 0.006 - 0.003)</f>
        <v>-8.0792714269483073E-4</v>
      </c>
      <c r="J776" s="821">
        <f ca="1">J777 + (RAND() * 0.02 - 0.01)</f>
        <v>7.2563587401570009E-3</v>
      </c>
      <c r="K776" s="821"/>
      <c r="L776" s="822"/>
      <c r="M776" s="821"/>
      <c r="N776" s="823"/>
      <c r="O776" s="823"/>
      <c r="P776" s="823"/>
      <c r="Q776" s="823"/>
      <c r="R776" s="837"/>
      <c r="S776" s="821"/>
      <c r="T776" s="838"/>
      <c r="U776" s="825"/>
      <c r="V776" s="826"/>
    </row>
    <row r="777" spans="1:32" ht="15" customHeight="1">
      <c r="A777" s="1435"/>
      <c r="B777" s="827">
        <f>B776</f>
        <v>0</v>
      </c>
      <c r="C777" s="828" t="s">
        <v>768</v>
      </c>
      <c r="D777" s="829" t="str">
        <f>IF(AC777=130, "130 × 130", IF(AC777=160, "160 × 160", IF(AC777=110, "110 × 110", "Value not 130, 160, or 110")))</f>
        <v>Value not 130, 160, or 110</v>
      </c>
      <c r="E777" s="830">
        <f>AD777</f>
        <v>0</v>
      </c>
      <c r="F777" s="831">
        <f ca="1">IF(X777 &gt; 0.1, RAND() * (0.1 - 0.06) + 0.06, X777)</f>
        <v>0</v>
      </c>
      <c r="G777" s="831">
        <f ca="1">IF(Y777 &lt; 0.5, 0.5 + RAND() * 0.1, Y777)</f>
        <v>0.55374579320814876</v>
      </c>
      <c r="H777" s="830">
        <f ca="1">IF(AB777&gt;0.04, 0.029 + (0.039-0.029)*RAND(), AB777)</f>
        <v>0</v>
      </c>
      <c r="I777" s="830">
        <f ca="1">IF(AA777&gt;0.04, 0.029 + (0.039-0.029)*RAND(), AA777)</f>
        <v>0</v>
      </c>
      <c r="J777" s="831">
        <f ca="1">IF(Z777&gt;0.15, 0.11 + (0.15-0.11) * RAND(), Z777)</f>
        <v>0</v>
      </c>
      <c r="K777" s="830">
        <f ca="1">0.004 + (RAND() * (0.001 - 0.004))</f>
        <v>1.8771057742640444E-3</v>
      </c>
      <c r="L777" s="830">
        <f ca="1">H777+I777</f>
        <v>0</v>
      </c>
      <c r="M777" s="831">
        <f ca="1">(G777/6)+F777</f>
        <v>9.229096553469146E-2</v>
      </c>
      <c r="N777" s="831">
        <f ca="1">2 + RAND()</f>
        <v>2.6383181029881211</v>
      </c>
      <c r="O777" s="831">
        <f ca="1">1 + RAND()</f>
        <v>1.410837943679947</v>
      </c>
      <c r="P777" s="831">
        <f ca="1">2.98 + (RAND() * (3.03 - 2.98))</f>
        <v>2.9907797517653867</v>
      </c>
      <c r="Q777" s="832" t="str">
        <f ca="1">IF(D777="130 × 130", (130 + RANDBETWEEN(-1,1)) &amp; " × " &amp; (130 + RANDBETWEEN(-1,1)),
   IF(D777="160 × 160", (160 + RANDBETWEEN(-1,1)) &amp; " × " &amp; (160 + RANDBETWEEN(-1,1)),
   IF(D777="110 × 110", (110 + RANDBETWEEN(-1,1)) &amp; " × " &amp; (110 + RANDBETWEEN(-1,1)),
   "Value not matched")))</f>
        <v>Value not matched</v>
      </c>
      <c r="R777" s="833" t="s">
        <v>213</v>
      </c>
      <c r="S777" s="834" t="str">
        <f ca="1">IF(G777&lt;0.6, "IS 14650 CPS 10748/GR2", "IS 14650 CPS 10748/GR3")</f>
        <v>IS 14650 CPS 10748/GR2</v>
      </c>
      <c r="T777" s="831" t="s">
        <v>769</v>
      </c>
      <c r="U777" s="825"/>
      <c r="V777" s="826"/>
      <c r="W777" s="206">
        <f>Prod.!B437</f>
        <v>0</v>
      </c>
      <c r="X777" s="469">
        <f>Prod.!C437</f>
        <v>0</v>
      </c>
      <c r="Y777" s="469">
        <f>Prod.!D437</f>
        <v>0</v>
      </c>
      <c r="Z777" s="469">
        <f>Prod.!E437</f>
        <v>0</v>
      </c>
      <c r="AA777" s="282">
        <f>Prod.!F437</f>
        <v>0</v>
      </c>
      <c r="AB777" s="282">
        <f>Prod.!G437</f>
        <v>0</v>
      </c>
      <c r="AC777" s="836">
        <f>Prod.!H437</f>
        <v>0</v>
      </c>
      <c r="AD777" s="282">
        <f>Prod.!AB437</f>
        <v>0</v>
      </c>
      <c r="AE777" s="282">
        <f>AD777-AF777</f>
        <v>0</v>
      </c>
      <c r="AF777" s="282">
        <f>Prod.!AA437</f>
        <v>0</v>
      </c>
    </row>
    <row r="778" spans="1:32" ht="15" customHeight="1">
      <c r="A778" s="1435">
        <v>3</v>
      </c>
      <c r="B778" s="818">
        <f>W779</f>
        <v>0</v>
      </c>
      <c r="C778" s="819" t="s">
        <v>765</v>
      </c>
      <c r="D778" s="822"/>
      <c r="E778" s="822"/>
      <c r="F778" s="821">
        <f ca="1">F779 + (RAND() * 0.02 - 0.01)</f>
        <v>1.1324997604583008E-3</v>
      </c>
      <c r="G778" s="821">
        <f ca="1">G779 + (RAND() * 0.06 - 0.03)</f>
        <v>0.59372662220284755</v>
      </c>
      <c r="H778" s="822">
        <f ca="1">H779 + (RAND() * 0.006 - 0.003)</f>
        <v>-1.4148106321604248E-3</v>
      </c>
      <c r="I778" s="822">
        <f ca="1">I779 + (RAND() * 0.006 - 0.003)</f>
        <v>-4.9713043680376431E-5</v>
      </c>
      <c r="J778" s="821">
        <f ca="1">J779 + (RAND() * 0.02 - 0.01)</f>
        <v>3.2098511665830335E-3</v>
      </c>
      <c r="K778" s="821"/>
      <c r="L778" s="822"/>
      <c r="M778" s="821"/>
      <c r="N778" s="823"/>
      <c r="O778" s="823"/>
      <c r="P778" s="823"/>
      <c r="Q778" s="823"/>
      <c r="R778" s="839"/>
      <c r="S778" s="821"/>
      <c r="T778" s="821"/>
      <c r="U778" s="825"/>
      <c r="V778" s="826"/>
    </row>
    <row r="779" spans="1:32" ht="15" customHeight="1">
      <c r="A779" s="1435"/>
      <c r="B779" s="827">
        <f>B778</f>
        <v>0</v>
      </c>
      <c r="C779" s="828" t="s">
        <v>768</v>
      </c>
      <c r="D779" s="829" t="str">
        <f>IF(AC779=130, "130 × 130", IF(AC779=160, "160 × 160", IF(AC779=110, "110 × 110", "Value not 130, 160, or 110")))</f>
        <v>Value not 130, 160, or 110</v>
      </c>
      <c r="E779" s="830">
        <f>AD779</f>
        <v>0</v>
      </c>
      <c r="F779" s="831">
        <f ca="1">IF(X779 &gt; 0.1, RAND() * (0.1 - 0.06) + 0.06, X779)</f>
        <v>0</v>
      </c>
      <c r="G779" s="831">
        <f ca="1">IF(Y779 &lt; 0.5, 0.5 + RAND() * 0.1, Y779)</f>
        <v>0.59853473409076186</v>
      </c>
      <c r="H779" s="830">
        <f ca="1">IF(AB779&gt;0.04, 0.029 + (0.039-0.029)*RAND(), AB779)</f>
        <v>0</v>
      </c>
      <c r="I779" s="830">
        <f ca="1">IF(AA779&gt;0.04, 0.029 + (0.039-0.029)*RAND(), AA779)</f>
        <v>0</v>
      </c>
      <c r="J779" s="831">
        <f ca="1">IF(Z779&gt;0.15, 0.11 + (0.15-0.11) * RAND(), Z779)</f>
        <v>0</v>
      </c>
      <c r="K779" s="830">
        <f ca="1">0.004 + (RAND() * (0.001 - 0.004))</f>
        <v>3.2823062785265066E-3</v>
      </c>
      <c r="L779" s="830">
        <f ca="1">H779+I779</f>
        <v>0</v>
      </c>
      <c r="M779" s="831">
        <f ca="1">(G779/6)+F779</f>
        <v>9.975578901512698E-2</v>
      </c>
      <c r="N779" s="831">
        <f ca="1">2 + RAND()</f>
        <v>2.7537006899445338</v>
      </c>
      <c r="O779" s="831">
        <f ca="1">1 + RAND()</f>
        <v>1.3887081728492296</v>
      </c>
      <c r="P779" s="831">
        <f ca="1">2.98 + (RAND() * (3.03 - 2.98))</f>
        <v>3.0147977606665806</v>
      </c>
      <c r="Q779" s="832" t="str">
        <f ca="1">IF(D779="130 × 130", (130 + RANDBETWEEN(-1,1)) &amp; " × " &amp; (130 + RANDBETWEEN(-1,1)),
   IF(D779="160 × 160", (160 + RANDBETWEEN(-1,1)) &amp; " × " &amp; (160 + RANDBETWEEN(-1,1)),
   IF(D779="110 × 110", (110 + RANDBETWEEN(-1,1)) &amp; " × " &amp; (110 + RANDBETWEEN(-1,1)),
   "Value not matched")))</f>
        <v>Value not matched</v>
      </c>
      <c r="R779" s="833" t="s">
        <v>213</v>
      </c>
      <c r="S779" s="834" t="str">
        <f ca="1">IF(G779&lt;0.6, "IS 14650 CPS 10748/GR2", "IS 14650 CPS 10748/GR3")</f>
        <v>IS 14650 CPS 10748/GR2</v>
      </c>
      <c r="T779" s="831" t="s">
        <v>769</v>
      </c>
      <c r="U779" s="825"/>
      <c r="V779" s="826"/>
      <c r="W779" s="206">
        <f>Prod.!B438</f>
        <v>0</v>
      </c>
      <c r="X779" s="469">
        <f>Prod.!C438</f>
        <v>0</v>
      </c>
      <c r="Y779" s="469">
        <f>Prod.!D438</f>
        <v>0</v>
      </c>
      <c r="Z779" s="469">
        <f>Prod.!E438</f>
        <v>0</v>
      </c>
      <c r="AA779" s="282">
        <f>Prod.!F438</f>
        <v>0</v>
      </c>
      <c r="AB779" s="282">
        <f>Prod.!G438</f>
        <v>0</v>
      </c>
      <c r="AC779" s="836">
        <f>Prod.!H438</f>
        <v>0</v>
      </c>
      <c r="AD779" s="282">
        <f>Prod.!AB438</f>
        <v>0</v>
      </c>
      <c r="AE779" s="282">
        <f>AD779-AF779</f>
        <v>0</v>
      </c>
      <c r="AF779" s="282">
        <f>Prod.!AA438</f>
        <v>0</v>
      </c>
    </row>
    <row r="780" spans="1:32" ht="15" customHeight="1">
      <c r="A780" s="1435">
        <v>4</v>
      </c>
      <c r="B780" s="818">
        <f>W781</f>
        <v>0</v>
      </c>
      <c r="C780" s="819" t="s">
        <v>765</v>
      </c>
      <c r="D780" s="822"/>
      <c r="E780" s="822"/>
      <c r="F780" s="821">
        <f ca="1">F781 + (RAND() * 0.02 - 0.01)</f>
        <v>-8.0020004734030533E-3</v>
      </c>
      <c r="G780" s="821">
        <f ca="1">G781 + (RAND() * 0.06 - 0.03)</f>
        <v>0.60227738314307822</v>
      </c>
      <c r="H780" s="822">
        <f ca="1">H781 + (RAND() * 0.006 - 0.003)</f>
        <v>6.0296586538416885E-4</v>
      </c>
      <c r="I780" s="822">
        <f ca="1">I781 + (RAND() * 0.006 - 0.003)</f>
        <v>7.465333905525731E-4</v>
      </c>
      <c r="J780" s="821">
        <f ca="1">J781 + (RAND() * 0.02 - 0.01)</f>
        <v>8.6509542385242843E-3</v>
      </c>
      <c r="K780" s="821"/>
      <c r="L780" s="822"/>
      <c r="M780" s="821"/>
      <c r="N780" s="823"/>
      <c r="O780" s="823"/>
      <c r="P780" s="823"/>
      <c r="Q780" s="823"/>
      <c r="R780" s="839"/>
      <c r="S780" s="821"/>
      <c r="T780" s="821"/>
      <c r="U780" s="825"/>
      <c r="V780" s="826"/>
    </row>
    <row r="781" spans="1:32" ht="15" customHeight="1">
      <c r="A781" s="1435"/>
      <c r="B781" s="827">
        <f>B780</f>
        <v>0</v>
      </c>
      <c r="C781" s="828" t="s">
        <v>768</v>
      </c>
      <c r="D781" s="829" t="str">
        <f>IF(AC781=130, "130 × 130", IF(AC781=160, "160 × 160", IF(AC781=110, "110 × 110", "Value not 130, 160, or 110")))</f>
        <v>Value not 130, 160, or 110</v>
      </c>
      <c r="E781" s="830">
        <f>AD781</f>
        <v>0</v>
      </c>
      <c r="F781" s="831">
        <f ca="1">IF(X781 &gt; 0.1, RAND() * (0.1 - 0.06) + 0.06, X781)</f>
        <v>0</v>
      </c>
      <c r="G781" s="831">
        <f ca="1">IF(Y781 &lt; 0.5, 0.5 + RAND() * 0.1, Y781)</f>
        <v>0.59209992761839692</v>
      </c>
      <c r="H781" s="830">
        <f ca="1">IF(AB781&gt;0.04, 0.029 + (0.039-0.029)*RAND(), AB781)</f>
        <v>0</v>
      </c>
      <c r="I781" s="830">
        <f ca="1">IF(AA781&gt;0.04, 0.029 + (0.039-0.029)*RAND(), AA781)</f>
        <v>0</v>
      </c>
      <c r="J781" s="831">
        <f ca="1">IF(Z781&gt;0.15, 0.11 + (0.15-0.11) * RAND(), Z781)</f>
        <v>0</v>
      </c>
      <c r="K781" s="830">
        <f ca="1">0.004 + (RAND() * (0.001 - 0.004))</f>
        <v>1.671395750295904E-3</v>
      </c>
      <c r="L781" s="830">
        <f ca="1">H781+I781</f>
        <v>0</v>
      </c>
      <c r="M781" s="831">
        <f ca="1">(G781/6)+F781</f>
        <v>9.8683321269732824E-2</v>
      </c>
      <c r="N781" s="831">
        <f ca="1">2 + RAND()</f>
        <v>2.6919983015518074</v>
      </c>
      <c r="O781" s="831">
        <f ca="1">1 + RAND()</f>
        <v>1.1591710134437596</v>
      </c>
      <c r="P781" s="831">
        <f ca="1">2.98 + (RAND() * (3.03 - 2.98))</f>
        <v>2.9847870946504167</v>
      </c>
      <c r="Q781" s="832" t="str">
        <f ca="1">IF(D781="130 × 130", (130 + RANDBETWEEN(-1,1)) &amp; " × " &amp; (130 + RANDBETWEEN(-1,1)),
   IF(D781="160 × 160", (160 + RANDBETWEEN(-1,1)) &amp; " × " &amp; (160 + RANDBETWEEN(-1,1)),
   IF(D781="110 × 110", (110 + RANDBETWEEN(-1,1)) &amp; " × " &amp; (110 + RANDBETWEEN(-1,1)),
   "Value not matched")))</f>
        <v>Value not matched</v>
      </c>
      <c r="R781" s="833" t="s">
        <v>213</v>
      </c>
      <c r="S781" s="834" t="str">
        <f ca="1">IF(G781&lt;0.6, "IS 14650 CPS 10748/GR2", "IS 14650 CPS 10748/GR3")</f>
        <v>IS 14650 CPS 10748/GR2</v>
      </c>
      <c r="T781" s="831" t="s">
        <v>769</v>
      </c>
      <c r="U781" s="825"/>
      <c r="V781" s="826"/>
      <c r="W781" s="206">
        <f>Prod.!B439</f>
        <v>0</v>
      </c>
      <c r="X781" s="469">
        <f>Prod.!C439</f>
        <v>0</v>
      </c>
      <c r="Y781" s="469">
        <f>Prod.!D439</f>
        <v>0</v>
      </c>
      <c r="Z781" s="469">
        <f>Prod.!E439</f>
        <v>0</v>
      </c>
      <c r="AA781" s="282">
        <f>Prod.!F439</f>
        <v>0</v>
      </c>
      <c r="AB781" s="282">
        <f>Prod.!G439</f>
        <v>0</v>
      </c>
      <c r="AC781" s="836">
        <f>Prod.!H439</f>
        <v>0</v>
      </c>
      <c r="AD781" s="282">
        <f>Prod.!AB439</f>
        <v>0</v>
      </c>
      <c r="AE781" s="282">
        <f>AD781-AF781</f>
        <v>0</v>
      </c>
      <c r="AF781" s="282">
        <f>Prod.!AA439</f>
        <v>0</v>
      </c>
    </row>
    <row r="782" spans="1:32" ht="15" customHeight="1">
      <c r="A782" s="1435">
        <v>5</v>
      </c>
      <c r="B782" s="818">
        <f>W783</f>
        <v>0</v>
      </c>
      <c r="C782" s="819" t="s">
        <v>765</v>
      </c>
      <c r="D782" s="822"/>
      <c r="E782" s="822"/>
      <c r="F782" s="821">
        <f ca="1">F783 + (RAND() * 0.02 - 0.01)</f>
        <v>3.5220043821876761E-3</v>
      </c>
      <c r="G782" s="821">
        <f ca="1">G783 + (RAND() * 0.06 - 0.03)</f>
        <v>0.54305410349813421</v>
      </c>
      <c r="H782" s="822">
        <f ca="1">H783 + (RAND() * 0.006 - 0.003)</f>
        <v>5.3942456361940087E-4</v>
      </c>
      <c r="I782" s="822">
        <f ca="1">I783 + (RAND() * 0.006 - 0.003)</f>
        <v>2.7985172600078004E-3</v>
      </c>
      <c r="J782" s="821">
        <f ca="1">J783 + (RAND() * 0.02 - 0.01)</f>
        <v>-6.3075522525862723E-3</v>
      </c>
      <c r="K782" s="821"/>
      <c r="L782" s="822"/>
      <c r="M782" s="821"/>
      <c r="N782" s="823"/>
      <c r="O782" s="823"/>
      <c r="P782" s="823"/>
      <c r="Q782" s="823"/>
      <c r="R782" s="839"/>
      <c r="S782" s="821"/>
      <c r="T782" s="821"/>
      <c r="U782" s="825"/>
      <c r="V782" s="826"/>
    </row>
    <row r="783" spans="1:32" ht="15" customHeight="1">
      <c r="A783" s="1435"/>
      <c r="B783" s="827">
        <f>B782</f>
        <v>0</v>
      </c>
      <c r="C783" s="828" t="s">
        <v>768</v>
      </c>
      <c r="D783" s="829" t="str">
        <f>IF(AC783=130, "130 × 130", IF(AC783=160, "160 × 160", IF(AC783=110, "110 × 110", "Value not 130, 160, or 110")))</f>
        <v>Value not 130, 160, or 110</v>
      </c>
      <c r="E783" s="830">
        <f>AD783</f>
        <v>0</v>
      </c>
      <c r="F783" s="831">
        <f ca="1">IF(X783 &gt; 0.1, RAND() * (0.1 - 0.06) + 0.06, X783)</f>
        <v>0</v>
      </c>
      <c r="G783" s="831">
        <f ca="1">IF(Y783 &lt; 0.5, 0.5 + RAND() * 0.1, Y783)</f>
        <v>0.53076461517574092</v>
      </c>
      <c r="H783" s="830">
        <f ca="1">IF(AB783&gt;0.04, 0.029 + (0.039-0.029)*RAND(), AB783)</f>
        <v>0</v>
      </c>
      <c r="I783" s="830">
        <f ca="1">IF(AA783&gt;0.04, 0.029 + (0.039-0.029)*RAND(), AA783)</f>
        <v>0</v>
      </c>
      <c r="J783" s="831">
        <f ca="1">IF(Z783&gt;0.15, 0.11 + (0.15-0.11) * RAND(), Z783)</f>
        <v>0</v>
      </c>
      <c r="K783" s="830">
        <f ca="1">0.004 + (RAND() * (0.001 - 0.004))</f>
        <v>3.7954207474422508E-3</v>
      </c>
      <c r="L783" s="830">
        <f ca="1">H783+I783</f>
        <v>0</v>
      </c>
      <c r="M783" s="831">
        <f ca="1">(G783/6)+F783</f>
        <v>8.8460769195956815E-2</v>
      </c>
      <c r="N783" s="831">
        <f ca="1">2 + RAND()</f>
        <v>2.1359088921727731</v>
      </c>
      <c r="O783" s="831">
        <f ca="1">1 + RAND()</f>
        <v>1.4625041264993044</v>
      </c>
      <c r="P783" s="831">
        <f ca="1">2.98 + (RAND() * (3.03 - 2.98))</f>
        <v>2.9948204214148557</v>
      </c>
      <c r="Q783" s="832" t="str">
        <f ca="1">IF(D783="130 × 130", (130 + RANDBETWEEN(-1,1)) &amp; " × " &amp; (130 + RANDBETWEEN(-1,1)),
   IF(D783="160 × 160", (160 + RANDBETWEEN(-1,1)) &amp; " × " &amp; (160 + RANDBETWEEN(-1,1)),
   IF(D783="110 × 110", (110 + RANDBETWEEN(-1,1)) &amp; " × " &amp; (110 + RANDBETWEEN(-1,1)),
   "Value not matched")))</f>
        <v>Value not matched</v>
      </c>
      <c r="R783" s="833" t="s">
        <v>213</v>
      </c>
      <c r="S783" s="834" t="str">
        <f ca="1">IF(G783&lt;0.6, "IS 14650 CPS 10748/GR2", "IS 14650 CPS 10748/GR3")</f>
        <v>IS 14650 CPS 10748/GR2</v>
      </c>
      <c r="T783" s="831" t="s">
        <v>769</v>
      </c>
      <c r="U783" s="825"/>
      <c r="V783" s="826"/>
      <c r="W783" s="206">
        <f>Prod.!B440</f>
        <v>0</v>
      </c>
      <c r="X783" s="469">
        <f>Prod.!C440</f>
        <v>0</v>
      </c>
      <c r="Y783" s="469">
        <f>Prod.!D440</f>
        <v>0</v>
      </c>
      <c r="Z783" s="469">
        <f>Prod.!E440</f>
        <v>0</v>
      </c>
      <c r="AA783" s="282">
        <f>Prod.!F440</f>
        <v>0</v>
      </c>
      <c r="AB783" s="282">
        <f>Prod.!G440</f>
        <v>0</v>
      </c>
      <c r="AC783" s="836">
        <f>Prod.!H440</f>
        <v>0</v>
      </c>
      <c r="AD783" s="282">
        <f>Prod.!AB440</f>
        <v>0</v>
      </c>
      <c r="AE783" s="282">
        <f>AD783-AF783</f>
        <v>0</v>
      </c>
      <c r="AF783" s="282">
        <f>Prod.!AA440</f>
        <v>0</v>
      </c>
    </row>
    <row r="784" spans="1:32" ht="15" customHeight="1">
      <c r="A784" s="1435">
        <v>6</v>
      </c>
      <c r="B784" s="818">
        <f>W785</f>
        <v>0</v>
      </c>
      <c r="C784" s="819" t="s">
        <v>765</v>
      </c>
      <c r="D784" s="822"/>
      <c r="E784" s="822"/>
      <c r="F784" s="821">
        <f ca="1">F785 + (RAND() * 0.02 - 0.01)</f>
        <v>5.1242881603130869E-3</v>
      </c>
      <c r="G784" s="821">
        <f ca="1">G785 + (RAND() * 0.06 - 0.03)</f>
        <v>0.53690165818986135</v>
      </c>
      <c r="H784" s="822">
        <f ca="1">H785 + (RAND() * 0.006 - 0.003)</f>
        <v>2.1692554890254305E-3</v>
      </c>
      <c r="I784" s="822">
        <f ca="1">I785 + (RAND() * 0.006 - 0.003)</f>
        <v>-2.0253394959670137E-3</v>
      </c>
      <c r="J784" s="821">
        <f ca="1">J785 + (RAND() * 0.02 - 0.01)</f>
        <v>3.0210177578435405E-3</v>
      </c>
      <c r="K784" s="821"/>
      <c r="L784" s="822"/>
      <c r="M784" s="821"/>
      <c r="N784" s="823"/>
      <c r="O784" s="823"/>
      <c r="P784" s="823"/>
      <c r="Q784" s="823"/>
      <c r="R784" s="839"/>
      <c r="S784" s="821"/>
      <c r="T784" s="821"/>
      <c r="U784" s="825"/>
      <c r="V784" s="826"/>
    </row>
    <row r="785" spans="1:32" ht="15" customHeight="1">
      <c r="A785" s="1435"/>
      <c r="B785" s="827">
        <f>B784</f>
        <v>0</v>
      </c>
      <c r="C785" s="828" t="s">
        <v>768</v>
      </c>
      <c r="D785" s="829" t="str">
        <f>IF(AC785=130, "130 × 130", IF(AC785=160, "160 × 160", IF(AC785=110, "110 × 110", "Value not 130, 160, or 110")))</f>
        <v>Value not 130, 160, or 110</v>
      </c>
      <c r="E785" s="830">
        <f>AD785</f>
        <v>0</v>
      </c>
      <c r="F785" s="831">
        <f ca="1">IF(X785 &gt; 0.1, RAND() * (0.1 - 0.06) + 0.06, X785)</f>
        <v>0</v>
      </c>
      <c r="G785" s="831">
        <f ca="1">IF(Y785 &lt; 0.5, 0.5 + RAND() * 0.1, Y785)</f>
        <v>0.55949001194834991</v>
      </c>
      <c r="H785" s="830">
        <f ca="1">IF(AB785&gt;0.04, 0.029 + (0.039-0.029)*RAND(), AB785)</f>
        <v>0</v>
      </c>
      <c r="I785" s="830">
        <f ca="1">IF(AA785&gt;0.04, 0.029 + (0.039-0.029)*RAND(), AA785)</f>
        <v>0</v>
      </c>
      <c r="J785" s="831">
        <f ca="1">IF(Z785&gt;0.15, 0.11 + (0.15-0.11) * RAND(), Z785)</f>
        <v>0</v>
      </c>
      <c r="K785" s="830">
        <f ca="1">0.004 + (RAND() * (0.001 - 0.004))</f>
        <v>1.5410769589827462E-3</v>
      </c>
      <c r="L785" s="830">
        <f ca="1">H785+I785</f>
        <v>0</v>
      </c>
      <c r="M785" s="831">
        <f ca="1">(G785/6)+F785</f>
        <v>9.3248335324724985E-2</v>
      </c>
      <c r="N785" s="831">
        <f ca="1">2 + RAND()</f>
        <v>2.8392489572787607</v>
      </c>
      <c r="O785" s="831">
        <f ca="1">1 + RAND()</f>
        <v>1.9725301447987751</v>
      </c>
      <c r="P785" s="831">
        <f ca="1">2.98 + (RAND() * (3.03 - 2.98))</f>
        <v>2.9816175089903276</v>
      </c>
      <c r="Q785" s="832" t="str">
        <f ca="1">IF(D785="130 × 130", (130 + RANDBETWEEN(-1,1)) &amp; " × " &amp; (130 + RANDBETWEEN(-1,1)),
   IF(D785="160 × 160", (160 + RANDBETWEEN(-1,1)) &amp; " × " &amp; (160 + RANDBETWEEN(-1,1)),
   IF(D785="110 × 110", (110 + RANDBETWEEN(-1,1)) &amp; " × " &amp; (110 + RANDBETWEEN(-1,1)),
   "Value not matched")))</f>
        <v>Value not matched</v>
      </c>
      <c r="R785" s="833" t="s">
        <v>213</v>
      </c>
      <c r="S785" s="834" t="str">
        <f ca="1">IF(G785&lt;0.6, "IS 14650 CPS 10748/GR2", "IS 14650 CPS 10748/GR3")</f>
        <v>IS 14650 CPS 10748/GR2</v>
      </c>
      <c r="T785" s="831" t="s">
        <v>769</v>
      </c>
      <c r="U785" s="825"/>
      <c r="V785" s="826"/>
      <c r="W785" s="206">
        <f>Prod.!B441</f>
        <v>0</v>
      </c>
      <c r="X785" s="469">
        <f>Prod.!C441</f>
        <v>0</v>
      </c>
      <c r="Y785" s="469">
        <f>Prod.!D441</f>
        <v>0</v>
      </c>
      <c r="Z785" s="469">
        <f>Prod.!E441</f>
        <v>0</v>
      </c>
      <c r="AA785" s="282">
        <f>Prod.!F441</f>
        <v>0</v>
      </c>
      <c r="AB785" s="282">
        <f>Prod.!G441</f>
        <v>0</v>
      </c>
      <c r="AC785" s="836">
        <f>Prod.!H441</f>
        <v>0</v>
      </c>
      <c r="AD785" s="282">
        <f>Prod.!AB441</f>
        <v>0</v>
      </c>
      <c r="AE785" s="282">
        <f>AD785-AF785</f>
        <v>0</v>
      </c>
      <c r="AF785" s="282">
        <f>Prod.!AA441</f>
        <v>0</v>
      </c>
    </row>
    <row r="786" spans="1:32" ht="15" customHeight="1">
      <c r="A786" s="1435">
        <v>7</v>
      </c>
      <c r="B786" s="818">
        <f>W787</f>
        <v>0</v>
      </c>
      <c r="C786" s="819" t="s">
        <v>765</v>
      </c>
      <c r="D786" s="822"/>
      <c r="E786" s="822"/>
      <c r="F786" s="821">
        <f ca="1">F787 + (RAND() * 0.02 - 0.01)</f>
        <v>5.1272891086981964E-3</v>
      </c>
      <c r="G786" s="821">
        <f ca="1">G787 + (RAND() * 0.06 - 0.03)</f>
        <v>0.51445810075767529</v>
      </c>
      <c r="H786" s="822">
        <f ca="1">H787 + (RAND() * 0.006 - 0.003)</f>
        <v>-2.1496822431033309E-3</v>
      </c>
      <c r="I786" s="822">
        <f ca="1">I787 + (RAND() * 0.006 - 0.003)</f>
        <v>-7.0302873079638138E-4</v>
      </c>
      <c r="J786" s="821">
        <f ca="1">J787 + (RAND() * 0.02 - 0.01)</f>
        <v>2.9901167449250185E-3</v>
      </c>
      <c r="K786" s="821"/>
      <c r="L786" s="822"/>
      <c r="M786" s="821"/>
      <c r="N786" s="823"/>
      <c r="O786" s="823"/>
      <c r="P786" s="823"/>
      <c r="Q786" s="823"/>
      <c r="R786" s="839"/>
      <c r="S786" s="821"/>
      <c r="T786" s="821"/>
      <c r="U786" s="825"/>
      <c r="V786" s="826"/>
    </row>
    <row r="787" spans="1:32" ht="15" customHeight="1">
      <c r="A787" s="1435"/>
      <c r="B787" s="827">
        <f>B786</f>
        <v>0</v>
      </c>
      <c r="C787" s="828" t="s">
        <v>768</v>
      </c>
      <c r="D787" s="829" t="str">
        <f>IF(AC787=130, "130 × 130", IF(AC787=160, "160 × 160", IF(AC787=110, "110 × 110", "Value not 130, 160, or 110")))</f>
        <v>Value not 130, 160, or 110</v>
      </c>
      <c r="E787" s="830">
        <f>AD787</f>
        <v>0</v>
      </c>
      <c r="F787" s="831">
        <f ca="1">IF(X787 &gt; 0.1, RAND() * (0.1 - 0.06) + 0.06, X787)</f>
        <v>0</v>
      </c>
      <c r="G787" s="831">
        <f ca="1">IF(Y787 &lt; 0.5, 0.5 + RAND() * 0.1, Y787)</f>
        <v>0.5352354791390993</v>
      </c>
      <c r="H787" s="830">
        <f ca="1">IF(AB787&gt;0.04, 0.029 + (0.039-0.029)*RAND(), AB787)</f>
        <v>0</v>
      </c>
      <c r="I787" s="830">
        <f ca="1">IF(AA787&gt;0.04, 0.029 + (0.039-0.029)*RAND(), AA787)</f>
        <v>0</v>
      </c>
      <c r="J787" s="831">
        <f ca="1">IF(Z787&gt;0.15, 0.11 + (0.15-0.11) * RAND(), Z787)</f>
        <v>0</v>
      </c>
      <c r="K787" s="830">
        <f ca="1">0.004 + (RAND() * (0.001 - 0.004))</f>
        <v>1.2228511845753655E-3</v>
      </c>
      <c r="L787" s="830">
        <f ca="1">H787+I787</f>
        <v>0</v>
      </c>
      <c r="M787" s="831">
        <f ca="1">(G787/6)+F787</f>
        <v>8.9205913189849884E-2</v>
      </c>
      <c r="N787" s="831">
        <f ca="1">2 + RAND()</f>
        <v>2.9011932799294264</v>
      </c>
      <c r="O787" s="831">
        <f ca="1">1 + RAND()</f>
        <v>1.4928490782798232</v>
      </c>
      <c r="P787" s="831">
        <f ca="1">2.98 + (RAND() * (3.03 - 2.98))</f>
        <v>3.0075910857454367</v>
      </c>
      <c r="Q787" s="832" t="str">
        <f ca="1">IF(D787="130 × 130", (130 + RANDBETWEEN(-1,1)) &amp; " × " &amp; (130 + RANDBETWEEN(-1,1)),
   IF(D787="160 × 160", (160 + RANDBETWEEN(-1,1)) &amp; " × " &amp; (160 + RANDBETWEEN(-1,1)),
   IF(D787="110 × 110", (110 + RANDBETWEEN(-1,1)) &amp; " × " &amp; (110 + RANDBETWEEN(-1,1)),
   "Value not matched")))</f>
        <v>Value not matched</v>
      </c>
      <c r="R787" s="833" t="s">
        <v>213</v>
      </c>
      <c r="S787" s="834" t="str">
        <f ca="1">IF(G787&lt;0.6, "IS 14650 CPS 10748/GR2", "IS 14650 CPS 10748/GR3")</f>
        <v>IS 14650 CPS 10748/GR2</v>
      </c>
      <c r="T787" s="831" t="s">
        <v>769</v>
      </c>
      <c r="U787" s="825"/>
      <c r="V787" s="826"/>
      <c r="W787" s="206">
        <f>Prod.!B442</f>
        <v>0</v>
      </c>
      <c r="X787" s="469">
        <f>Prod.!C442</f>
        <v>0</v>
      </c>
      <c r="Y787" s="469">
        <f>Prod.!D442</f>
        <v>0</v>
      </c>
      <c r="Z787" s="469">
        <f>Prod.!E442</f>
        <v>0</v>
      </c>
      <c r="AA787" s="282">
        <f>Prod.!F442</f>
        <v>0</v>
      </c>
      <c r="AB787" s="282">
        <f>Prod.!G442</f>
        <v>0</v>
      </c>
      <c r="AC787" s="836">
        <f>Prod.!H442</f>
        <v>0</v>
      </c>
      <c r="AD787" s="282">
        <f>Prod.!AB442</f>
        <v>0</v>
      </c>
      <c r="AE787" s="282">
        <f>AD787-AF787</f>
        <v>0</v>
      </c>
      <c r="AF787" s="282">
        <f>Prod.!AA442</f>
        <v>0</v>
      </c>
    </row>
    <row r="788" spans="1:32" ht="15" customHeight="1">
      <c r="A788" s="1435">
        <v>8</v>
      </c>
      <c r="B788" s="818">
        <f>W789</f>
        <v>0</v>
      </c>
      <c r="C788" s="819" t="s">
        <v>765</v>
      </c>
      <c r="D788" s="822"/>
      <c r="E788" s="822"/>
      <c r="F788" s="821">
        <f ca="1">F789 + (RAND() * 0.02 - 0.01)</f>
        <v>3.8601685089598176E-3</v>
      </c>
      <c r="G788" s="821">
        <f ca="1">G789 + (RAND() * 0.06 - 0.03)</f>
        <v>0.48983639327800582</v>
      </c>
      <c r="H788" s="822">
        <f ca="1">H789 + (RAND() * 0.006 - 0.003)</f>
        <v>2.1996275093880968E-3</v>
      </c>
      <c r="I788" s="822">
        <f ca="1">I789 + (RAND() * 0.006 - 0.003)</f>
        <v>1.5430929584367842E-3</v>
      </c>
      <c r="J788" s="821">
        <f ca="1">J789 + (RAND() * 0.02 - 0.01)</f>
        <v>-2.5642356419429534E-3</v>
      </c>
      <c r="K788" s="821"/>
      <c r="L788" s="822"/>
      <c r="M788" s="821"/>
      <c r="N788" s="823"/>
      <c r="O788" s="823"/>
      <c r="P788" s="823"/>
      <c r="Q788" s="823"/>
      <c r="R788" s="839"/>
      <c r="S788" s="821"/>
      <c r="T788" s="821"/>
      <c r="U788" s="825"/>
      <c r="V788" s="826"/>
    </row>
    <row r="789" spans="1:32" ht="15" customHeight="1">
      <c r="A789" s="1435"/>
      <c r="B789" s="827">
        <f>B788</f>
        <v>0</v>
      </c>
      <c r="C789" s="828" t="s">
        <v>768</v>
      </c>
      <c r="D789" s="829" t="str">
        <f>IF(AC789=130, "130 × 130", IF(AC789=160, "160 × 160", IF(AC789=110, "110 × 110", "Value not 130, 160, or 110")))</f>
        <v>Value not 130, 160, or 110</v>
      </c>
      <c r="E789" s="830">
        <f>AD789</f>
        <v>0</v>
      </c>
      <c r="F789" s="831">
        <f ca="1">IF(X789 &gt; 0.1, RAND() * (0.1 - 0.06) + 0.06, X789)</f>
        <v>0</v>
      </c>
      <c r="G789" s="831">
        <f ca="1">IF(Y789 &lt; 0.5, 0.5 + RAND() * 0.1, Y789)</f>
        <v>0.50085832899149929</v>
      </c>
      <c r="H789" s="830">
        <f ca="1">IF(AB789&gt;0.04, 0.029 + (0.039-0.029)*RAND(), AB789)</f>
        <v>0</v>
      </c>
      <c r="I789" s="830">
        <f ca="1">IF(AA789&gt;0.04, 0.029 + (0.039-0.029)*RAND(), AA789)</f>
        <v>0</v>
      </c>
      <c r="J789" s="831">
        <f ca="1">IF(Z789&gt;0.15, 0.11 + (0.15-0.11) * RAND(), Z789)</f>
        <v>0</v>
      </c>
      <c r="K789" s="830">
        <f ca="1">0.004 + (RAND() * (0.001 - 0.004))</f>
        <v>1.3334155471572489E-3</v>
      </c>
      <c r="L789" s="830">
        <f ca="1">H789+I789</f>
        <v>0</v>
      </c>
      <c r="M789" s="831">
        <f ca="1">(G789/6)+F789</f>
        <v>8.3476388165249882E-2</v>
      </c>
      <c r="N789" s="831">
        <f ca="1">2 + RAND()</f>
        <v>2.4995681368563547</v>
      </c>
      <c r="O789" s="831">
        <f ca="1">1 + RAND()</f>
        <v>1.5900896272671594</v>
      </c>
      <c r="P789" s="831">
        <f ca="1">2.98 + (RAND() * (3.03 - 2.98))</f>
        <v>3.0269570602204303</v>
      </c>
      <c r="Q789" s="832" t="str">
        <f ca="1">IF(D789="130 × 130", (130 + RANDBETWEEN(-1,1)) &amp; " × " &amp; (130 + RANDBETWEEN(-1,1)),
   IF(D789="160 × 160", (160 + RANDBETWEEN(-1,1)) &amp; " × " &amp; (160 + RANDBETWEEN(-1,1)),
   IF(D789="110 × 110", (110 + RANDBETWEEN(-1,1)) &amp; " × " &amp; (110 + RANDBETWEEN(-1,1)),
   "Value not matched")))</f>
        <v>Value not matched</v>
      </c>
      <c r="R789" s="833" t="s">
        <v>213</v>
      </c>
      <c r="S789" s="834" t="str">
        <f ca="1">IF(G789&lt;0.6, "IS 14650 CPS 10748/GR2", "IS 14650 CPS 10748/GR3")</f>
        <v>IS 14650 CPS 10748/GR2</v>
      </c>
      <c r="T789" s="831" t="s">
        <v>769</v>
      </c>
      <c r="U789" s="825"/>
      <c r="V789" s="826"/>
      <c r="W789" s="206">
        <f>Prod.!B443</f>
        <v>0</v>
      </c>
      <c r="X789" s="469">
        <f>Prod.!C443</f>
        <v>0</v>
      </c>
      <c r="Y789" s="469">
        <f>Prod.!D443</f>
        <v>0</v>
      </c>
      <c r="Z789" s="469">
        <f>Prod.!E443</f>
        <v>0</v>
      </c>
      <c r="AA789" s="282">
        <f>Prod.!F443</f>
        <v>0</v>
      </c>
      <c r="AB789" s="282">
        <f>Prod.!G443</f>
        <v>0</v>
      </c>
      <c r="AC789" s="836">
        <f>Prod.!H443</f>
        <v>0</v>
      </c>
      <c r="AD789" s="282">
        <f>Prod.!AB443</f>
        <v>0</v>
      </c>
      <c r="AE789" s="282">
        <f>AD789-AF789</f>
        <v>0</v>
      </c>
      <c r="AF789" s="282">
        <f>Prod.!AA443</f>
        <v>0</v>
      </c>
    </row>
    <row r="790" spans="1:32" ht="15" customHeight="1">
      <c r="A790" s="1435">
        <v>9</v>
      </c>
      <c r="B790" s="818">
        <f>W791</f>
        <v>0</v>
      </c>
      <c r="C790" s="819" t="s">
        <v>765</v>
      </c>
      <c r="D790" s="822"/>
      <c r="E790" s="822"/>
      <c r="F790" s="821">
        <f ca="1">F791 + (RAND() * 0.02 - 0.01)</f>
        <v>9.8232332059157278E-3</v>
      </c>
      <c r="G790" s="821">
        <f ca="1">G791 + (RAND() * 0.06 - 0.03)</f>
        <v>0.56269385115543358</v>
      </c>
      <c r="H790" s="822">
        <f ca="1">H791 + (RAND() * 0.006 - 0.003)</f>
        <v>-2.4952431882558747E-3</v>
      </c>
      <c r="I790" s="822">
        <f ca="1">I791 + (RAND() * 0.006 - 0.003)</f>
        <v>9.1249977205341316E-4</v>
      </c>
      <c r="J790" s="821">
        <f ca="1">J791 + (RAND() * 0.02 - 0.01)</f>
        <v>-4.3855466480156868E-4</v>
      </c>
      <c r="K790" s="821"/>
      <c r="L790" s="822"/>
      <c r="M790" s="821"/>
      <c r="N790" s="823"/>
      <c r="O790" s="823"/>
      <c r="P790" s="823"/>
      <c r="Q790" s="823"/>
      <c r="R790" s="839"/>
      <c r="S790" s="821"/>
      <c r="T790" s="821"/>
      <c r="U790" s="825"/>
      <c r="V790" s="826"/>
    </row>
    <row r="791" spans="1:32" ht="15" customHeight="1">
      <c r="A791" s="1435"/>
      <c r="B791" s="827">
        <f>B790</f>
        <v>0</v>
      </c>
      <c r="C791" s="828" t="s">
        <v>768</v>
      </c>
      <c r="D791" s="829" t="str">
        <f>IF(AC791=130, "130 × 130", IF(AC791=160, "160 × 160", IF(AC791=110, "110 × 110", "Value not 130, 160, or 110")))</f>
        <v>Value not 130, 160, or 110</v>
      </c>
      <c r="E791" s="830">
        <f>AD791</f>
        <v>0</v>
      </c>
      <c r="F791" s="831">
        <f ca="1">IF(X791 &gt; 0.1, RAND() * (0.1 - 0.06) + 0.06, X791)</f>
        <v>0</v>
      </c>
      <c r="G791" s="831">
        <f ca="1">IF(Y791 &lt; 0.5, 0.5 + RAND() * 0.1, Y791)</f>
        <v>0.55080250713119527</v>
      </c>
      <c r="H791" s="830">
        <f ca="1">IF(AB791&gt;0.04, 0.029 + (0.039-0.029)*RAND(), AB791)</f>
        <v>0</v>
      </c>
      <c r="I791" s="830">
        <f ca="1">IF(AA791&gt;0.04, 0.029 + (0.039-0.029)*RAND(), AA791)</f>
        <v>0</v>
      </c>
      <c r="J791" s="831">
        <f ca="1">IF(Z791&gt;0.15, 0.11 + (0.15-0.11) * RAND(), Z791)</f>
        <v>0</v>
      </c>
      <c r="K791" s="830">
        <f ca="1">0.004 + (RAND() * (0.001 - 0.004))</f>
        <v>3.0129224423329267E-3</v>
      </c>
      <c r="L791" s="830">
        <f ca="1">H791+I791</f>
        <v>0</v>
      </c>
      <c r="M791" s="831">
        <f ca="1">(G791/6)+F791</f>
        <v>9.1800417855199212E-2</v>
      </c>
      <c r="N791" s="831">
        <f ca="1">2 + RAND()</f>
        <v>2.0595101872426791</v>
      </c>
      <c r="O791" s="831">
        <f ca="1">1 + RAND()</f>
        <v>1.1581099887188129</v>
      </c>
      <c r="P791" s="831">
        <f ca="1">2.98 + (RAND() * (3.03 - 2.98))</f>
        <v>3.0058955162405976</v>
      </c>
      <c r="Q791" s="832" t="str">
        <f ca="1">IF(D791="130 × 130", (130 + RANDBETWEEN(-1,1)) &amp; " × " &amp; (130 + RANDBETWEEN(-1,1)),
   IF(D791="160 × 160", (160 + RANDBETWEEN(-1,1)) &amp; " × " &amp; (160 + RANDBETWEEN(-1,1)),
   IF(D791="110 × 110", (110 + RANDBETWEEN(-1,1)) &amp; " × " &amp; (110 + RANDBETWEEN(-1,1)),
   "Value not matched")))</f>
        <v>Value not matched</v>
      </c>
      <c r="R791" s="833" t="s">
        <v>213</v>
      </c>
      <c r="S791" s="834" t="str">
        <f ca="1">IF(G791&lt;0.6, "IS 14650 CPS 10748/GR2", "IS 14650 CPS 10748/GR3")</f>
        <v>IS 14650 CPS 10748/GR2</v>
      </c>
      <c r="T791" s="831" t="s">
        <v>769</v>
      </c>
      <c r="U791" s="825"/>
      <c r="V791" s="826"/>
      <c r="W791" s="206">
        <f>Prod.!B444</f>
        <v>0</v>
      </c>
      <c r="X791" s="469">
        <f>Prod.!C444</f>
        <v>0</v>
      </c>
      <c r="Y791" s="469">
        <f>Prod.!D444</f>
        <v>0</v>
      </c>
      <c r="Z791" s="469">
        <f>Prod.!E444</f>
        <v>0</v>
      </c>
      <c r="AA791" s="282">
        <f>Prod.!F444</f>
        <v>0</v>
      </c>
      <c r="AB791" s="282">
        <f>Prod.!G444</f>
        <v>0</v>
      </c>
      <c r="AC791" s="836">
        <f>Prod.!H444</f>
        <v>0</v>
      </c>
      <c r="AD791" s="282">
        <f>Prod.!AB444</f>
        <v>0</v>
      </c>
      <c r="AE791" s="282">
        <f>AD791-AF791</f>
        <v>0</v>
      </c>
      <c r="AF791" s="282">
        <f>Prod.!AA444</f>
        <v>0</v>
      </c>
    </row>
    <row r="792" spans="1:32" ht="15" customHeight="1">
      <c r="A792" s="1435">
        <v>10</v>
      </c>
      <c r="B792" s="818">
        <f>W793</f>
        <v>0</v>
      </c>
      <c r="C792" s="819" t="s">
        <v>765</v>
      </c>
      <c r="D792" s="822"/>
      <c r="E792" s="822"/>
      <c r="F792" s="821">
        <f ca="1">F793 + (RAND() * 0.02 - 0.01)</f>
        <v>8.4858463722137911E-3</v>
      </c>
      <c r="G792" s="821">
        <f ca="1">G793 + (RAND() * 0.06 - 0.03)</f>
        <v>0.57388797854859652</v>
      </c>
      <c r="H792" s="822">
        <f ca="1">H793 + (RAND() * 0.006 - 0.003)</f>
        <v>2.7642874725035769E-3</v>
      </c>
      <c r="I792" s="822">
        <f ca="1">I793 + (RAND() * 0.006 - 0.003)</f>
        <v>2.7784833929835207E-3</v>
      </c>
      <c r="J792" s="821">
        <f ca="1">J793 + (RAND() * 0.02 - 0.01)</f>
        <v>1.1281503331006752E-3</v>
      </c>
      <c r="K792" s="821"/>
      <c r="L792" s="822"/>
      <c r="M792" s="821"/>
      <c r="N792" s="823"/>
      <c r="O792" s="823"/>
      <c r="P792" s="823"/>
      <c r="Q792" s="823"/>
      <c r="R792" s="839"/>
      <c r="S792" s="821"/>
      <c r="T792" s="821"/>
      <c r="U792" s="825"/>
      <c r="V792" s="826"/>
    </row>
    <row r="793" spans="1:32" ht="15" customHeight="1">
      <c r="A793" s="1435"/>
      <c r="B793" s="827">
        <f>B792</f>
        <v>0</v>
      </c>
      <c r="C793" s="828" t="s">
        <v>768</v>
      </c>
      <c r="D793" s="829" t="str">
        <f>IF(AC793=130, "130 × 130", IF(AC793=160, "160 × 160", IF(AC793=110, "110 × 110", "Value not 130, 160, or 110")))</f>
        <v>Value not 130, 160, or 110</v>
      </c>
      <c r="E793" s="830">
        <f>AD793</f>
        <v>0</v>
      </c>
      <c r="F793" s="831">
        <f ca="1">IF(X793 &gt; 0.1, RAND() * (0.1 - 0.06) + 0.06, X793)</f>
        <v>0</v>
      </c>
      <c r="G793" s="831">
        <f ca="1">IF(Y793 &lt; 0.5, 0.5 + RAND() * 0.1, Y793)</f>
        <v>0.58841144230974129</v>
      </c>
      <c r="H793" s="830">
        <f ca="1">IF(AB793&gt;0.04, 0.029 + (0.039-0.029)*RAND(), AB793)</f>
        <v>0</v>
      </c>
      <c r="I793" s="830">
        <f ca="1">IF(AA793&gt;0.04, 0.029 + (0.039-0.029)*RAND(), AA793)</f>
        <v>0</v>
      </c>
      <c r="J793" s="831">
        <f ca="1">IF(Z793&gt;0.15, 0.11 + (0.15-0.11) * RAND(), Z793)</f>
        <v>0</v>
      </c>
      <c r="K793" s="830">
        <f ca="1">0.004 + (RAND() * (0.001 - 0.004))</f>
        <v>3.6578305262369099E-3</v>
      </c>
      <c r="L793" s="830">
        <f ca="1">H793+I793</f>
        <v>0</v>
      </c>
      <c r="M793" s="831">
        <f ca="1">(G793/6)+F793</f>
        <v>9.8068573718290211E-2</v>
      </c>
      <c r="N793" s="831">
        <f ca="1">2 + RAND()</f>
        <v>2.1970391447213888</v>
      </c>
      <c r="O793" s="831">
        <f ca="1">1 + RAND()</f>
        <v>1.5774753162827193</v>
      </c>
      <c r="P793" s="831">
        <f ca="1">2.98 + (RAND() * (3.03 - 2.98))</f>
        <v>3.0169807362578092</v>
      </c>
      <c r="Q793" s="832" t="str">
        <f ca="1">IF(D793="130 × 130", (130 + RANDBETWEEN(-1,1)) &amp; " × " &amp; (130 + RANDBETWEEN(-1,1)),
   IF(D793="160 × 160", (160 + RANDBETWEEN(-1,1)) &amp; " × " &amp; (160 + RANDBETWEEN(-1,1)),
   IF(D793="110 × 110", (110 + RANDBETWEEN(-1,1)) &amp; " × " &amp; (110 + RANDBETWEEN(-1,1)),
   "Value not matched")))</f>
        <v>Value not matched</v>
      </c>
      <c r="R793" s="833" t="s">
        <v>213</v>
      </c>
      <c r="S793" s="834" t="str">
        <f ca="1">IF(G793&lt;0.6, "IS 14650 CPS 10748/GR2", "IS 14650 CPS 10748/GR3")</f>
        <v>IS 14650 CPS 10748/GR2</v>
      </c>
      <c r="T793" s="831" t="s">
        <v>769</v>
      </c>
      <c r="U793" s="825"/>
      <c r="V793" s="826"/>
      <c r="W793" s="206">
        <f>Prod.!B445</f>
        <v>0</v>
      </c>
      <c r="X793" s="469">
        <f>Prod.!C445</f>
        <v>0</v>
      </c>
      <c r="Y793" s="469">
        <f>Prod.!D445</f>
        <v>0</v>
      </c>
      <c r="Z793" s="469">
        <f>Prod.!E445</f>
        <v>0</v>
      </c>
      <c r="AA793" s="282">
        <f>Prod.!F445</f>
        <v>0</v>
      </c>
      <c r="AB793" s="282">
        <f>Prod.!G445</f>
        <v>0</v>
      </c>
      <c r="AC793" s="836">
        <f>Prod.!H445</f>
        <v>0</v>
      </c>
      <c r="AD793" s="282">
        <f>Prod.!AB445</f>
        <v>0</v>
      </c>
      <c r="AE793" s="282">
        <f>AD793-AF793</f>
        <v>0</v>
      </c>
      <c r="AF793" s="282">
        <f>Prod.!AA445</f>
        <v>0</v>
      </c>
    </row>
    <row r="794" spans="1:32" ht="15" customHeight="1">
      <c r="A794" s="1435">
        <v>11</v>
      </c>
      <c r="B794" s="818">
        <f>W795</f>
        <v>0</v>
      </c>
      <c r="C794" s="819" t="s">
        <v>765</v>
      </c>
      <c r="D794" s="822"/>
      <c r="E794" s="822"/>
      <c r="F794" s="821">
        <f ca="1">F795 + (RAND() * 0.02 - 0.01)</f>
        <v>1.1345258993418032E-3</v>
      </c>
      <c r="G794" s="821">
        <f ca="1">G795 + (RAND() * 0.06 - 0.03)</f>
        <v>0.50750148307741261</v>
      </c>
      <c r="H794" s="822">
        <f ca="1">H795 + (RAND() * 0.006 - 0.003)</f>
        <v>-2.6556482146494909E-3</v>
      </c>
      <c r="I794" s="822">
        <f ca="1">I795 + (RAND() * 0.006 - 0.003)</f>
        <v>5.2380207139782501E-4</v>
      </c>
      <c r="J794" s="821">
        <f ca="1">J795 + (RAND() * 0.02 - 0.01)</f>
        <v>-1.5617595268207548E-3</v>
      </c>
      <c r="K794" s="821"/>
      <c r="L794" s="822"/>
      <c r="M794" s="821"/>
      <c r="N794" s="823"/>
      <c r="O794" s="823"/>
      <c r="P794" s="823"/>
      <c r="Q794" s="823"/>
      <c r="R794" s="839"/>
      <c r="S794" s="821"/>
      <c r="T794" s="821"/>
      <c r="U794" s="825"/>
      <c r="V794" s="826"/>
    </row>
    <row r="795" spans="1:32" ht="15" customHeight="1">
      <c r="A795" s="1435"/>
      <c r="B795" s="827">
        <f>B794</f>
        <v>0</v>
      </c>
      <c r="C795" s="828" t="s">
        <v>768</v>
      </c>
      <c r="D795" s="829" t="str">
        <f>IF(AC795=130, "130 × 130", IF(AC795=160, "160 × 160", IF(AC795=110, "110 × 110", "Value not 130, 160, or 110")))</f>
        <v>Value not 130, 160, or 110</v>
      </c>
      <c r="E795" s="830">
        <f>AD795</f>
        <v>0</v>
      </c>
      <c r="F795" s="831">
        <f ca="1">IF(X795 &gt; 0.1, RAND() * (0.1 - 0.06) + 0.06, X795)</f>
        <v>0</v>
      </c>
      <c r="G795" s="831">
        <f ca="1">IF(Y795 &lt; 0.5, 0.5 + RAND() * 0.1, Y795)</f>
        <v>0.50938982925015386</v>
      </c>
      <c r="H795" s="830">
        <f ca="1">IF(AB795&gt;0.04, 0.029 + (0.039-0.029)*RAND(), AB795)</f>
        <v>0</v>
      </c>
      <c r="I795" s="830">
        <f ca="1">IF(AA795&gt;0.04, 0.029 + (0.039-0.029)*RAND(), AA795)</f>
        <v>0</v>
      </c>
      <c r="J795" s="831">
        <f ca="1">IF(Z795&gt;0.15, 0.11 + (0.15-0.11) * RAND(), Z795)</f>
        <v>0</v>
      </c>
      <c r="K795" s="830">
        <f ca="1">0.004 + (RAND() * (0.001 - 0.004))</f>
        <v>3.3948902874465416E-3</v>
      </c>
      <c r="L795" s="830">
        <f ca="1">H795+I795</f>
        <v>0</v>
      </c>
      <c r="M795" s="831">
        <f ca="1">(G795/6)+F795</f>
        <v>8.4898304875025643E-2</v>
      </c>
      <c r="N795" s="831">
        <f ca="1">2 + RAND()</f>
        <v>2.0578486546999066</v>
      </c>
      <c r="O795" s="831">
        <f ca="1">1 + RAND()</f>
        <v>1.4722610283240503</v>
      </c>
      <c r="P795" s="831">
        <f ca="1">2.98 + (RAND() * (3.03 - 2.98))</f>
        <v>3.0060099057704943</v>
      </c>
      <c r="Q795" s="832" t="str">
        <f ca="1">IF(D795="130 × 130", (130 + RANDBETWEEN(-1,1)) &amp; " × " &amp; (130 + RANDBETWEEN(-1,1)),
   IF(D795="160 × 160", (160 + RANDBETWEEN(-1,1)) &amp; " × " &amp; (160 + RANDBETWEEN(-1,1)),
   IF(D795="110 × 110", (110 + RANDBETWEEN(-1,1)) &amp; " × " &amp; (110 + RANDBETWEEN(-1,1)),
   "Value not matched")))</f>
        <v>Value not matched</v>
      </c>
      <c r="R795" s="833" t="s">
        <v>213</v>
      </c>
      <c r="S795" s="834" t="str">
        <f ca="1">IF(G795&lt;0.6, "IS 14650 CPS 10748/GR2", "IS 14650 CPS 10748/GR3")</f>
        <v>IS 14650 CPS 10748/GR2</v>
      </c>
      <c r="T795" s="831" t="s">
        <v>769</v>
      </c>
      <c r="U795" s="825"/>
      <c r="V795" s="826"/>
      <c r="W795" s="206">
        <f>Prod.!B446</f>
        <v>0</v>
      </c>
      <c r="X795" s="469">
        <f>Prod.!C446</f>
        <v>0</v>
      </c>
      <c r="Y795" s="469">
        <f>Prod.!D446</f>
        <v>0</v>
      </c>
      <c r="Z795" s="469">
        <f>Prod.!E446</f>
        <v>0</v>
      </c>
      <c r="AA795" s="282">
        <f>Prod.!F446</f>
        <v>0</v>
      </c>
      <c r="AB795" s="282">
        <f>Prod.!G446</f>
        <v>0</v>
      </c>
      <c r="AC795" s="836">
        <f>Prod.!H446</f>
        <v>0</v>
      </c>
      <c r="AD795" s="282">
        <f>Prod.!AB446</f>
        <v>0</v>
      </c>
      <c r="AE795" s="282">
        <f>AD795-AF795</f>
        <v>0</v>
      </c>
      <c r="AF795" s="282">
        <f>Prod.!AA446</f>
        <v>0</v>
      </c>
    </row>
    <row r="796" spans="1:32" ht="15" customHeight="1">
      <c r="A796" s="1435">
        <v>12</v>
      </c>
      <c r="B796" s="818">
        <f>W797</f>
        <v>0</v>
      </c>
      <c r="C796" s="819" t="s">
        <v>765</v>
      </c>
      <c r="D796" s="822"/>
      <c r="E796" s="822"/>
      <c r="F796" s="821">
        <f ca="1">F797 + (RAND() * 0.02 - 0.01)</f>
        <v>7.0480021722361258E-5</v>
      </c>
      <c r="G796" s="821">
        <f ca="1">G797 + (RAND() * 0.06 - 0.03)</f>
        <v>0.5384352058377937</v>
      </c>
      <c r="H796" s="822">
        <f ca="1">H797 + (RAND() * 0.006 - 0.003)</f>
        <v>1.3989060603198239E-3</v>
      </c>
      <c r="I796" s="822">
        <f ca="1">I797 + (RAND() * 0.006 - 0.003)</f>
        <v>1.3654067723228884E-3</v>
      </c>
      <c r="J796" s="821">
        <f ca="1">J797 + (RAND() * 0.02 - 0.01)</f>
        <v>7.9952678092324644E-3</v>
      </c>
      <c r="K796" s="821"/>
      <c r="L796" s="822"/>
      <c r="M796" s="821"/>
      <c r="N796" s="823"/>
      <c r="O796" s="823"/>
      <c r="P796" s="823"/>
      <c r="Q796" s="823"/>
      <c r="R796" s="839"/>
      <c r="S796" s="821"/>
      <c r="T796" s="821"/>
      <c r="U796" s="825"/>
      <c r="V796" s="826"/>
    </row>
    <row r="797" spans="1:32" ht="15" customHeight="1">
      <c r="A797" s="1435"/>
      <c r="B797" s="827">
        <f>B796</f>
        <v>0</v>
      </c>
      <c r="C797" s="828" t="s">
        <v>768</v>
      </c>
      <c r="D797" s="829" t="str">
        <f>IF(AC797=130, "130 × 130", IF(AC797=160, "160 × 160", IF(AC797=110, "110 × 110", "Value not 130, 160, or 110")))</f>
        <v>Value not 130, 160, or 110</v>
      </c>
      <c r="E797" s="830">
        <f>AD797</f>
        <v>0</v>
      </c>
      <c r="F797" s="831">
        <f ca="1">IF(X797 &gt; 0.1, RAND() * (0.1 - 0.06) + 0.06, X797)</f>
        <v>0</v>
      </c>
      <c r="G797" s="831">
        <f ca="1">IF(Y797 &lt; 0.5, 0.5 + RAND() * 0.1, Y797)</f>
        <v>0.51633616087073786</v>
      </c>
      <c r="H797" s="830">
        <f ca="1">IF(AB797&gt;0.04, 0.029 + (0.039-0.029)*RAND(), AB797)</f>
        <v>0</v>
      </c>
      <c r="I797" s="830">
        <f ca="1">IF(AA797&gt;0.04, 0.029 + (0.039-0.029)*RAND(), AA797)</f>
        <v>0</v>
      </c>
      <c r="J797" s="831">
        <f ca="1">IF(Z797&gt;0.15, 0.11 + (0.15-0.11) * RAND(), Z797)</f>
        <v>0</v>
      </c>
      <c r="K797" s="830">
        <f ca="1">0.004 + (RAND() * (0.001 - 0.004))</f>
        <v>2.0410039862464808E-3</v>
      </c>
      <c r="L797" s="830">
        <f ca="1">H797+I797</f>
        <v>0</v>
      </c>
      <c r="M797" s="831">
        <f ca="1">(G797/6)+F797</f>
        <v>8.6056026811789643E-2</v>
      </c>
      <c r="N797" s="831">
        <f ca="1">2 + RAND()</f>
        <v>2.4428908435023708</v>
      </c>
      <c r="O797" s="831">
        <f ca="1">1 + RAND()</f>
        <v>1.2210871639861662</v>
      </c>
      <c r="P797" s="831">
        <f ca="1">2.98 + (RAND() * (3.03 - 2.98))</f>
        <v>3.0191523648547478</v>
      </c>
      <c r="Q797" s="832" t="str">
        <f ca="1">IF(D797="130 × 130", (130 + RANDBETWEEN(-1,1)) &amp; " × " &amp; (130 + RANDBETWEEN(-1,1)),
   IF(D797="160 × 160", (160 + RANDBETWEEN(-1,1)) &amp; " × " &amp; (160 + RANDBETWEEN(-1,1)),
   IF(D797="110 × 110", (110 + RANDBETWEEN(-1,1)) &amp; " × " &amp; (110 + RANDBETWEEN(-1,1)),
   "Value not matched")))</f>
        <v>Value not matched</v>
      </c>
      <c r="R797" s="833" t="s">
        <v>213</v>
      </c>
      <c r="S797" s="834" t="str">
        <f ca="1">IF(G797&lt;0.6, "IS 14650 CPS 10748/GR2", "IS 14650 CPS 10748/GR3")</f>
        <v>IS 14650 CPS 10748/GR2</v>
      </c>
      <c r="T797" s="831" t="s">
        <v>769</v>
      </c>
      <c r="U797" s="825"/>
      <c r="V797" s="826"/>
      <c r="W797" s="206">
        <f>Prod.!B447</f>
        <v>0</v>
      </c>
      <c r="X797" s="469">
        <f>Prod.!C447</f>
        <v>0</v>
      </c>
      <c r="Y797" s="469">
        <f>Prod.!D447</f>
        <v>0</v>
      </c>
      <c r="Z797" s="469">
        <f>Prod.!E447</f>
        <v>0</v>
      </c>
      <c r="AA797" s="282">
        <f>Prod.!F447</f>
        <v>0</v>
      </c>
      <c r="AB797" s="282">
        <f>Prod.!G447</f>
        <v>0</v>
      </c>
      <c r="AC797" s="836">
        <f>Prod.!H447</f>
        <v>0</v>
      </c>
      <c r="AD797" s="282">
        <f>Prod.!AB447</f>
        <v>0</v>
      </c>
      <c r="AE797" s="282">
        <f>AD797-AF797</f>
        <v>0</v>
      </c>
      <c r="AF797" s="282">
        <f>Prod.!AA447</f>
        <v>0</v>
      </c>
    </row>
    <row r="798" spans="1:32" ht="15" customHeight="1">
      <c r="A798" s="1435"/>
      <c r="B798" s="818"/>
      <c r="C798" s="819"/>
      <c r="D798" s="822"/>
      <c r="E798" s="822"/>
      <c r="F798" s="821"/>
      <c r="G798" s="821"/>
      <c r="H798" s="840"/>
      <c r="I798" s="840"/>
      <c r="J798" s="821"/>
      <c r="K798" s="821"/>
      <c r="L798" s="822"/>
      <c r="M798" s="838"/>
      <c r="N798" s="821"/>
      <c r="O798" s="821"/>
      <c r="P798" s="821"/>
      <c r="Q798" s="821"/>
      <c r="R798" s="839"/>
      <c r="S798" s="841"/>
      <c r="T798" s="821"/>
      <c r="U798" s="825"/>
      <c r="V798" s="826"/>
    </row>
    <row r="799" spans="1:32" ht="15" customHeight="1">
      <c r="A799" s="1435"/>
      <c r="B799" s="827"/>
      <c r="C799" s="828"/>
      <c r="D799" s="842"/>
      <c r="E799" s="830"/>
      <c r="F799" s="831"/>
      <c r="G799" s="831"/>
      <c r="H799" s="843"/>
      <c r="I799" s="843"/>
      <c r="J799" s="831"/>
      <c r="K799" s="831"/>
      <c r="L799" s="830"/>
      <c r="M799" s="831"/>
      <c r="N799" s="831"/>
      <c r="O799" s="831"/>
      <c r="P799" s="831"/>
      <c r="Q799" s="831"/>
      <c r="R799" s="833"/>
      <c r="S799" s="834"/>
      <c r="T799" s="831"/>
      <c r="U799" s="825"/>
      <c r="V799" s="826"/>
    </row>
    <row r="800" spans="1:32" ht="15" customHeight="1">
      <c r="A800" s="180"/>
      <c r="B800" s="180"/>
      <c r="C800" s="180" t="s">
        <v>770</v>
      </c>
      <c r="D800" s="395"/>
      <c r="E800" s="844">
        <f>SUM(E774:E797)</f>
        <v>0</v>
      </c>
      <c r="F800" s="180"/>
      <c r="G800" s="180"/>
      <c r="H800" s="844"/>
      <c r="I800" s="180"/>
      <c r="J800" s="845"/>
      <c r="K800" s="845"/>
      <c r="L800" s="180"/>
      <c r="M800" s="845"/>
      <c r="N800" s="180"/>
      <c r="O800" s="180"/>
      <c r="P800" s="180"/>
      <c r="Q800" s="180"/>
      <c r="R800" s="263"/>
      <c r="S800" s="180"/>
      <c r="T800" s="180"/>
    </row>
    <row r="801" spans="1:32" ht="28.5" customHeight="1">
      <c r="A801" s="1436" t="s">
        <v>746</v>
      </c>
      <c r="B801" s="1436"/>
      <c r="C801" s="1436"/>
      <c r="D801" s="1436"/>
      <c r="E801" s="1436"/>
      <c r="F801" s="1436"/>
      <c r="G801" s="1436"/>
      <c r="H801" s="1436"/>
      <c r="I801" s="1436"/>
      <c r="J801" s="1436"/>
      <c r="K801" s="1436"/>
      <c r="L801" s="1436"/>
      <c r="M801" s="1436"/>
      <c r="N801" s="1436"/>
      <c r="O801" s="1436"/>
      <c r="P801" s="1436"/>
      <c r="Q801" s="1436"/>
      <c r="R801" s="1436"/>
      <c r="S801" s="1436"/>
      <c r="T801" s="1436"/>
      <c r="U801" s="515"/>
      <c r="V801" s="846"/>
    </row>
    <row r="802" spans="1:32" ht="15" customHeight="1">
      <c r="A802" s="1437" t="s">
        <v>747</v>
      </c>
      <c r="B802" s="1437"/>
      <c r="C802" s="1437"/>
      <c r="D802" s="1437"/>
      <c r="E802" s="1437"/>
      <c r="F802" s="1437"/>
      <c r="G802" s="1437"/>
      <c r="H802" s="1437"/>
      <c r="I802" s="1437"/>
      <c r="J802" s="1437"/>
      <c r="K802" s="1437"/>
      <c r="L802" s="1437"/>
      <c r="M802" s="1437"/>
      <c r="N802" s="1437"/>
      <c r="O802" s="1437"/>
      <c r="P802" s="1437"/>
      <c r="Q802" s="1437"/>
      <c r="R802" s="1437"/>
      <c r="S802" s="1437"/>
      <c r="T802" s="1437"/>
      <c r="U802" s="806"/>
      <c r="V802" s="807"/>
    </row>
    <row r="803" spans="1:32" ht="15" customHeight="1">
      <c r="A803" s="1438" t="str">
        <f>"DATE OF MANUFACTURING : " &amp; TEXT(V807, "DD-MM-YYYY")</f>
        <v>DATE OF MANUFACTURING : 00-01-1900</v>
      </c>
      <c r="B803" s="1438"/>
      <c r="C803" s="1438"/>
      <c r="D803" s="1438"/>
      <c r="E803" s="1438"/>
      <c r="F803" s="1438"/>
      <c r="G803" s="1438"/>
      <c r="H803" s="1438"/>
      <c r="I803" s="1438"/>
      <c r="J803" s="1438"/>
      <c r="K803" s="1438"/>
      <c r="L803" s="1438"/>
      <c r="M803" s="1438"/>
      <c r="N803" s="1437" t="s">
        <v>748</v>
      </c>
      <c r="O803" s="1437"/>
      <c r="P803" s="1437"/>
      <c r="Q803" s="1437"/>
      <c r="R803" s="1437"/>
      <c r="S803" s="1437"/>
      <c r="T803" s="1437"/>
      <c r="U803" s="808"/>
      <c r="V803" s="809"/>
    </row>
    <row r="804" spans="1:32" ht="29.25" customHeight="1">
      <c r="A804" s="1439" t="s">
        <v>749</v>
      </c>
      <c r="B804" s="1440" t="s">
        <v>750</v>
      </c>
      <c r="C804" s="1440"/>
      <c r="D804" s="1440" t="s">
        <v>751</v>
      </c>
      <c r="E804" s="1441" t="s">
        <v>752</v>
      </c>
      <c r="F804" s="1442" t="s">
        <v>753</v>
      </c>
      <c r="G804" s="1442"/>
      <c r="H804" s="1442"/>
      <c r="I804" s="1442"/>
      <c r="J804" s="1442"/>
      <c r="K804" s="1442"/>
      <c r="L804" s="1442"/>
      <c r="M804" s="1442"/>
      <c r="N804" s="1442" t="s">
        <v>754</v>
      </c>
      <c r="O804" s="1442"/>
      <c r="P804" s="1442"/>
      <c r="Q804" s="1442"/>
      <c r="R804" s="1443" t="s">
        <v>771</v>
      </c>
      <c r="S804" s="1441" t="s">
        <v>756</v>
      </c>
      <c r="T804" s="1440" t="s">
        <v>104</v>
      </c>
      <c r="U804" s="810"/>
      <c r="V804" s="811"/>
    </row>
    <row r="805" spans="1:32" ht="42.75" customHeight="1">
      <c r="A805" s="1439"/>
      <c r="B805" s="1440"/>
      <c r="C805" s="1440"/>
      <c r="D805" s="1440"/>
      <c r="E805" s="1440"/>
      <c r="F805" s="812" t="s">
        <v>40</v>
      </c>
      <c r="G805" s="812" t="s">
        <v>757</v>
      </c>
      <c r="H805" s="813" t="s">
        <v>758</v>
      </c>
      <c r="I805" s="812" t="s">
        <v>43</v>
      </c>
      <c r="J805" s="812" t="s">
        <v>42</v>
      </c>
      <c r="K805" s="812" t="s">
        <v>759</v>
      </c>
      <c r="L805" s="812" t="s">
        <v>760</v>
      </c>
      <c r="M805" s="812" t="s">
        <v>761</v>
      </c>
      <c r="N805" s="814" t="s">
        <v>762</v>
      </c>
      <c r="O805" s="815" t="s">
        <v>772</v>
      </c>
      <c r="P805" s="816" t="s">
        <v>773</v>
      </c>
      <c r="Q805" s="817" t="s">
        <v>764</v>
      </c>
      <c r="R805" s="1443"/>
      <c r="S805" s="1443"/>
      <c r="T805" s="1443"/>
      <c r="U805" s="810"/>
      <c r="V805" s="811"/>
    </row>
    <row r="806" spans="1:32" ht="15" customHeight="1">
      <c r="A806" s="1435">
        <v>1</v>
      </c>
      <c r="B806" s="818">
        <f>W807</f>
        <v>0</v>
      </c>
      <c r="C806" s="819" t="s">
        <v>765</v>
      </c>
      <c r="D806" s="820"/>
      <c r="E806" s="821"/>
      <c r="F806" s="821">
        <f ca="1">F807 + (RAND() * 0.02 - 0.01)</f>
        <v>6.908142127712678E-3</v>
      </c>
      <c r="G806" s="821">
        <f ca="1">G807 + (RAND() * 0.06 - 0.03)</f>
        <v>0.58898427934429809</v>
      </c>
      <c r="H806" s="822">
        <f ca="1">H807 + (RAND() * 0.006 - 0.003)</f>
        <v>9.4805511662325852E-4</v>
      </c>
      <c r="I806" s="822">
        <f ca="1">I807 + (RAND() * 0.006 - 0.003)</f>
        <v>-9.9136987790079565E-4</v>
      </c>
      <c r="J806" s="821">
        <f ca="1">J807 + (RAND() * 0.02 - 0.01)</f>
        <v>-8.5314767453172034E-3</v>
      </c>
      <c r="K806" s="821"/>
      <c r="L806" s="822"/>
      <c r="M806" s="821"/>
      <c r="N806" s="823"/>
      <c r="O806" s="823"/>
      <c r="P806" s="823"/>
      <c r="Q806" s="823"/>
      <c r="R806" s="824"/>
      <c r="S806" s="821"/>
      <c r="T806" s="821"/>
      <c r="U806" s="825"/>
      <c r="V806" s="826"/>
      <c r="AE806" t="s">
        <v>767</v>
      </c>
    </row>
    <row r="807" spans="1:32" ht="15" customHeight="1">
      <c r="A807" s="1435"/>
      <c r="B807" s="827">
        <f>B806</f>
        <v>0</v>
      </c>
      <c r="C807" s="828" t="s">
        <v>768</v>
      </c>
      <c r="D807" s="829" t="str">
        <f>IF(AC807=130, "130 × 130", IF(AC807=160, "160 × 160", IF(AC807=110, "110 × 110", "Value not 130, 160, or 110")))</f>
        <v>Value not 130, 160, or 110</v>
      </c>
      <c r="E807" s="830">
        <f>AD807</f>
        <v>0</v>
      </c>
      <c r="F807" s="831">
        <f ca="1">IF(X807 &gt; 0.1, RAND() * (0.1 - 0.06) + 0.06, X807)</f>
        <v>0</v>
      </c>
      <c r="G807" s="831">
        <f ca="1">IF(Y807 &lt; 0.5, 0.5 + RAND() * 0.1, Y807)</f>
        <v>0.59189337800730824</v>
      </c>
      <c r="H807" s="830">
        <f ca="1">IF(AB807&gt;0.04, 0.029 + (0.039-0.029)*RAND(), AB807)</f>
        <v>0</v>
      </c>
      <c r="I807" s="830">
        <f ca="1">IF(AA807&gt;0.04, 0.029 + (0.039-0.029)*RAND(), AA807)</f>
        <v>0</v>
      </c>
      <c r="J807" s="831">
        <f ca="1">IF(Z807&gt;0.15, 0.11 + (0.15-0.11) * RAND(), Z807)</f>
        <v>0</v>
      </c>
      <c r="K807" s="830">
        <f ca="1">0.004 + (RAND() * (0.001 - 0.004))</f>
        <v>1.9209986338896063E-3</v>
      </c>
      <c r="L807" s="830">
        <f ca="1">H807+I807</f>
        <v>0</v>
      </c>
      <c r="M807" s="831">
        <f ca="1">(G807/6)+F807</f>
        <v>9.8648896334551373E-2</v>
      </c>
      <c r="N807" s="831">
        <f ca="1">2 + RAND()</f>
        <v>2.707887222014715</v>
      </c>
      <c r="O807" s="831">
        <f ca="1">1 + RAND()</f>
        <v>1.7521253872327316</v>
      </c>
      <c r="P807" s="831">
        <f ca="1">2.98 + (RAND() * (3.03 - 2.98))</f>
        <v>2.9811390164197302</v>
      </c>
      <c r="Q807" s="832" t="str">
        <f ca="1">IF(D807="130 × 130", (130 + RANDBETWEEN(-1,1)) &amp; " × " &amp; (130 + RANDBETWEEN(-1,1)),
   IF(D807="160 × 160", (160 + RANDBETWEEN(-1,1)) &amp; " × " &amp; (160 + RANDBETWEEN(-1,1)),
   IF(D807="110 × 110", (110 + RANDBETWEEN(-1,1)) &amp; " × " &amp; (110 + RANDBETWEEN(-1,1)),
   "Value not matched")))</f>
        <v>Value not matched</v>
      </c>
      <c r="R807" s="833" t="s">
        <v>213</v>
      </c>
      <c r="S807" s="834" t="str">
        <f ca="1">IF(G807&lt;0.6, "IS 14650 CPS 10748/GR2", "IS 14650 CPS 10748/GR3")</f>
        <v>IS 14650 CPS 10748/GR2</v>
      </c>
      <c r="T807" s="831" t="s">
        <v>769</v>
      </c>
      <c r="U807" s="825"/>
      <c r="V807" s="835">
        <f>Prod.!A454</f>
        <v>0</v>
      </c>
      <c r="W807" s="206">
        <f>Prod.!B454</f>
        <v>0</v>
      </c>
      <c r="X807" s="469">
        <f>Prod.!C454</f>
        <v>0</v>
      </c>
      <c r="Y807" s="469">
        <f>Prod.!D454</f>
        <v>0</v>
      </c>
      <c r="Z807" s="469">
        <f>Prod.!E454</f>
        <v>0</v>
      </c>
      <c r="AA807" s="282">
        <f>Prod.!F454</f>
        <v>0</v>
      </c>
      <c r="AB807" s="282">
        <f>Prod.!G454</f>
        <v>0</v>
      </c>
      <c r="AC807" s="836">
        <f>Prod.!H454</f>
        <v>0</v>
      </c>
      <c r="AD807" s="282">
        <f>Prod.!AB454</f>
        <v>0</v>
      </c>
      <c r="AE807" s="282">
        <f>AD807-AF807</f>
        <v>0</v>
      </c>
      <c r="AF807" s="282">
        <f>Prod.!AA454</f>
        <v>0</v>
      </c>
    </row>
    <row r="808" spans="1:32" ht="15" customHeight="1">
      <c r="A808" s="1435">
        <v>2</v>
      </c>
      <c r="B808" s="818">
        <f>W809</f>
        <v>0</v>
      </c>
      <c r="C808" s="819" t="s">
        <v>765</v>
      </c>
      <c r="D808" s="822"/>
      <c r="E808" s="822"/>
      <c r="F808" s="821">
        <f ca="1">F809 + (RAND() * 0.02 - 0.01)</f>
        <v>-5.180537061522523E-3</v>
      </c>
      <c r="G808" s="821">
        <f ca="1">G809 + (RAND() * 0.06 - 0.03)</f>
        <v>0.52034924279294037</v>
      </c>
      <c r="H808" s="822">
        <f ca="1">H809 + (RAND() * 0.006 - 0.003)</f>
        <v>-1.2926461358765027E-3</v>
      </c>
      <c r="I808" s="822">
        <f ca="1">I809 + (RAND() * 0.006 - 0.003)</f>
        <v>-5.4027652001351241E-5</v>
      </c>
      <c r="J808" s="821">
        <f ca="1">J809 + (RAND() * 0.02 - 0.01)</f>
        <v>-7.4459358329279747E-3</v>
      </c>
      <c r="K808" s="821"/>
      <c r="L808" s="822"/>
      <c r="M808" s="821"/>
      <c r="N808" s="823"/>
      <c r="O808" s="823"/>
      <c r="P808" s="823"/>
      <c r="Q808" s="823"/>
      <c r="R808" s="837"/>
      <c r="S808" s="821"/>
      <c r="T808" s="838"/>
      <c r="U808" s="825"/>
      <c r="V808" s="826"/>
    </row>
    <row r="809" spans="1:32" ht="15" customHeight="1">
      <c r="A809" s="1435"/>
      <c r="B809" s="827">
        <f>B808</f>
        <v>0</v>
      </c>
      <c r="C809" s="828" t="s">
        <v>768</v>
      </c>
      <c r="D809" s="829" t="str">
        <f>IF(AC809=130, "130 × 130", IF(AC809=160, "160 × 160", IF(AC809=110, "110 × 110", "Value not 130, 160, or 110")))</f>
        <v>Value not 130, 160, or 110</v>
      </c>
      <c r="E809" s="830">
        <f>AD809</f>
        <v>0</v>
      </c>
      <c r="F809" s="831">
        <f ca="1">IF(X809 &gt; 0.1, RAND() * (0.1 - 0.06) + 0.06, X809)</f>
        <v>0</v>
      </c>
      <c r="G809" s="831">
        <f ca="1">IF(Y809 &lt; 0.5, 0.5 + RAND() * 0.1, Y809)</f>
        <v>0.52961409739491538</v>
      </c>
      <c r="H809" s="830">
        <f ca="1">IF(AB809&gt;0.04, 0.029 + (0.039-0.029)*RAND(), AB809)</f>
        <v>0</v>
      </c>
      <c r="I809" s="830">
        <f ca="1">IF(AA809&gt;0.04, 0.029 + (0.039-0.029)*RAND(), AA809)</f>
        <v>0</v>
      </c>
      <c r="J809" s="831">
        <f ca="1">IF(Z809&gt;0.15, 0.11 + (0.15-0.11) * RAND(), Z809)</f>
        <v>0</v>
      </c>
      <c r="K809" s="830">
        <f ca="1">0.004 + (RAND() * (0.001 - 0.004))</f>
        <v>1.214215279792989E-3</v>
      </c>
      <c r="L809" s="830">
        <f ca="1">H809+I809</f>
        <v>0</v>
      </c>
      <c r="M809" s="831">
        <f ca="1">(G809/6)+F809</f>
        <v>8.8269016232485897E-2</v>
      </c>
      <c r="N809" s="831">
        <f ca="1">2 + RAND()</f>
        <v>2.4189910117882052</v>
      </c>
      <c r="O809" s="831">
        <f ca="1">1 + RAND()</f>
        <v>1.4469577492485612</v>
      </c>
      <c r="P809" s="831">
        <f ca="1">2.98 + (RAND() * (3.03 - 2.98))</f>
        <v>3.0154381572954128</v>
      </c>
      <c r="Q809" s="832" t="str">
        <f ca="1">IF(D809="130 × 130", (130 + RANDBETWEEN(-1,1)) &amp; " × " &amp; (130 + RANDBETWEEN(-1,1)),
   IF(D809="160 × 160", (160 + RANDBETWEEN(-1,1)) &amp; " × " &amp; (160 + RANDBETWEEN(-1,1)),
   IF(D809="110 × 110", (110 + RANDBETWEEN(-1,1)) &amp; " × " &amp; (110 + RANDBETWEEN(-1,1)),
   "Value not matched")))</f>
        <v>Value not matched</v>
      </c>
      <c r="R809" s="833" t="s">
        <v>213</v>
      </c>
      <c r="S809" s="834" t="str">
        <f ca="1">IF(G809&lt;0.6, "IS 14650 CPS 10748/GR2", "IS 14650 CPS 10748/GR3")</f>
        <v>IS 14650 CPS 10748/GR2</v>
      </c>
      <c r="T809" s="831" t="s">
        <v>769</v>
      </c>
      <c r="U809" s="825"/>
      <c r="V809" s="826"/>
      <c r="W809" s="206">
        <f>Prod.!B455</f>
        <v>0</v>
      </c>
      <c r="X809" s="469">
        <f>Prod.!C455</f>
        <v>0</v>
      </c>
      <c r="Y809" s="469">
        <f>Prod.!D455</f>
        <v>0</v>
      </c>
      <c r="Z809" s="469">
        <f>Prod.!E455</f>
        <v>0</v>
      </c>
      <c r="AA809" s="282">
        <f>Prod.!F455</f>
        <v>0</v>
      </c>
      <c r="AB809" s="282">
        <f>Prod.!G455</f>
        <v>0</v>
      </c>
      <c r="AC809" s="836">
        <f>Prod.!H455</f>
        <v>0</v>
      </c>
      <c r="AD809" s="282">
        <f>Prod.!AB455</f>
        <v>0</v>
      </c>
      <c r="AE809" s="282">
        <f>AD809-AF809</f>
        <v>0</v>
      </c>
      <c r="AF809" s="282">
        <f>Prod.!AA455</f>
        <v>0</v>
      </c>
    </row>
    <row r="810" spans="1:32" ht="15" customHeight="1">
      <c r="A810" s="1435">
        <v>3</v>
      </c>
      <c r="B810" s="818">
        <f>W811</f>
        <v>0</v>
      </c>
      <c r="C810" s="819" t="s">
        <v>765</v>
      </c>
      <c r="D810" s="822"/>
      <c r="E810" s="822"/>
      <c r="F810" s="821">
        <f ca="1">F811 + (RAND() * 0.02 - 0.01)</f>
        <v>1.2010558317510737E-3</v>
      </c>
      <c r="G810" s="821">
        <f ca="1">G811 + (RAND() * 0.06 - 0.03)</f>
        <v>0.58623441394614095</v>
      </c>
      <c r="H810" s="822">
        <f ca="1">H811 + (RAND() * 0.006 - 0.003)</f>
        <v>9.5696882107596404E-4</v>
      </c>
      <c r="I810" s="822">
        <f ca="1">I811 + (RAND() * 0.006 - 0.003)</f>
        <v>-5.160319977679682E-4</v>
      </c>
      <c r="J810" s="821">
        <f ca="1">J811 + (RAND() * 0.02 - 0.01)</f>
        <v>5.2341488481922223E-3</v>
      </c>
      <c r="K810" s="821"/>
      <c r="L810" s="822"/>
      <c r="M810" s="821"/>
      <c r="N810" s="823"/>
      <c r="O810" s="823"/>
      <c r="P810" s="823"/>
      <c r="Q810" s="823"/>
      <c r="R810" s="839"/>
      <c r="S810" s="821"/>
      <c r="T810" s="821"/>
      <c r="U810" s="825"/>
      <c r="V810" s="826"/>
    </row>
    <row r="811" spans="1:32" ht="15" customHeight="1">
      <c r="A811" s="1435"/>
      <c r="B811" s="827">
        <f>B810</f>
        <v>0</v>
      </c>
      <c r="C811" s="828" t="s">
        <v>768</v>
      </c>
      <c r="D811" s="829" t="str">
        <f>IF(AC811=130, "130 × 130", IF(AC811=160, "160 × 160", IF(AC811=110, "110 × 110", "Value not 130, 160, or 110")))</f>
        <v>Value not 130, 160, or 110</v>
      </c>
      <c r="E811" s="830">
        <f>AD811</f>
        <v>0</v>
      </c>
      <c r="F811" s="831">
        <f ca="1">IF(X811 &gt; 0.1, RAND() * (0.1 - 0.06) + 0.06, X811)</f>
        <v>0</v>
      </c>
      <c r="G811" s="831">
        <f ca="1">IF(Y811 &lt; 0.5, 0.5 + RAND() * 0.1, Y811)</f>
        <v>0.58842903249554945</v>
      </c>
      <c r="H811" s="830">
        <f ca="1">IF(AB811&gt;0.04, 0.029 + (0.039-0.029)*RAND(), AB811)</f>
        <v>0</v>
      </c>
      <c r="I811" s="830">
        <f ca="1">IF(AA811&gt;0.04, 0.029 + (0.039-0.029)*RAND(), AA811)</f>
        <v>0</v>
      </c>
      <c r="J811" s="831">
        <f ca="1">IF(Z811&gt;0.15, 0.11 + (0.15-0.11) * RAND(), Z811)</f>
        <v>0</v>
      </c>
      <c r="K811" s="830">
        <f ca="1">0.004 + (RAND() * (0.001 - 0.004))</f>
        <v>3.9653080608403491E-3</v>
      </c>
      <c r="L811" s="830">
        <f ca="1">H811+I811</f>
        <v>0</v>
      </c>
      <c r="M811" s="831">
        <f ca="1">(G811/6)+F811</f>
        <v>9.8071505415924909E-2</v>
      </c>
      <c r="N811" s="831">
        <f ca="1">2 + RAND()</f>
        <v>2.4840281843429435</v>
      </c>
      <c r="O811" s="831">
        <f ca="1">1 + RAND()</f>
        <v>1.833720199178883</v>
      </c>
      <c r="P811" s="831">
        <f ca="1">2.98 + (RAND() * (3.03 - 2.98))</f>
        <v>3.0162728781584129</v>
      </c>
      <c r="Q811" s="832" t="str">
        <f ca="1">IF(D811="130 × 130", (130 + RANDBETWEEN(-1,1)) &amp; " × " &amp; (130 + RANDBETWEEN(-1,1)),
   IF(D811="160 × 160", (160 + RANDBETWEEN(-1,1)) &amp; " × " &amp; (160 + RANDBETWEEN(-1,1)),
   IF(D811="110 × 110", (110 + RANDBETWEEN(-1,1)) &amp; " × " &amp; (110 + RANDBETWEEN(-1,1)),
   "Value not matched")))</f>
        <v>Value not matched</v>
      </c>
      <c r="R811" s="833" t="s">
        <v>213</v>
      </c>
      <c r="S811" s="834" t="str">
        <f ca="1">IF(G811&lt;0.6, "IS 14650 CPS 10748/GR2", "IS 14650 CPS 10748/GR3")</f>
        <v>IS 14650 CPS 10748/GR2</v>
      </c>
      <c r="T811" s="831" t="s">
        <v>769</v>
      </c>
      <c r="U811" s="825"/>
      <c r="V811" s="826"/>
      <c r="W811" s="206">
        <f>Prod.!B456</f>
        <v>0</v>
      </c>
      <c r="X811" s="469">
        <f>Prod.!C456</f>
        <v>0</v>
      </c>
      <c r="Y811" s="469">
        <f>Prod.!D456</f>
        <v>0</v>
      </c>
      <c r="Z811" s="469">
        <f>Prod.!E456</f>
        <v>0</v>
      </c>
      <c r="AA811" s="282">
        <f>Prod.!F456</f>
        <v>0</v>
      </c>
      <c r="AB811" s="282">
        <f>Prod.!G456</f>
        <v>0</v>
      </c>
      <c r="AC811" s="836">
        <f>Prod.!H456</f>
        <v>0</v>
      </c>
      <c r="AD811" s="282">
        <f>Prod.!AB456</f>
        <v>0</v>
      </c>
      <c r="AE811" s="282">
        <f>AD811-AF811</f>
        <v>0</v>
      </c>
      <c r="AF811" s="282">
        <f>Prod.!AA456</f>
        <v>0</v>
      </c>
    </row>
    <row r="812" spans="1:32" ht="15" customHeight="1">
      <c r="A812" s="1435">
        <v>4</v>
      </c>
      <c r="B812" s="818">
        <f>W813</f>
        <v>0</v>
      </c>
      <c r="C812" s="819" t="s">
        <v>765</v>
      </c>
      <c r="D812" s="822"/>
      <c r="E812" s="822"/>
      <c r="F812" s="821">
        <f ca="1">F813 + (RAND() * 0.02 - 0.01)</f>
        <v>-2.4876994370258811E-3</v>
      </c>
      <c r="G812" s="821">
        <f ca="1">G813 + (RAND() * 0.06 - 0.03)</f>
        <v>0.58176145397433776</v>
      </c>
      <c r="H812" s="822">
        <f ca="1">H813 + (RAND() * 0.006 - 0.003)</f>
        <v>-2.3529619610679273E-3</v>
      </c>
      <c r="I812" s="822">
        <f ca="1">I813 + (RAND() * 0.006 - 0.003)</f>
        <v>-1.2582513681670432E-3</v>
      </c>
      <c r="J812" s="821">
        <f ca="1">J813 + (RAND() * 0.02 - 0.01)</f>
        <v>6.8218558314506132E-3</v>
      </c>
      <c r="K812" s="821"/>
      <c r="L812" s="822"/>
      <c r="M812" s="821"/>
      <c r="N812" s="823"/>
      <c r="O812" s="823"/>
      <c r="P812" s="823"/>
      <c r="Q812" s="823"/>
      <c r="R812" s="839"/>
      <c r="S812" s="821"/>
      <c r="T812" s="821"/>
      <c r="U812" s="825"/>
      <c r="V812" s="826"/>
    </row>
    <row r="813" spans="1:32" ht="15" customHeight="1">
      <c r="A813" s="1435"/>
      <c r="B813" s="827">
        <f>B812</f>
        <v>0</v>
      </c>
      <c r="C813" s="828" t="s">
        <v>768</v>
      </c>
      <c r="D813" s="829" t="str">
        <f>IF(AC813=130, "130 × 130", IF(AC813=160, "160 × 160", IF(AC813=110, "110 × 110", "Value not 130, 160, or 110")))</f>
        <v>Value not 130, 160, or 110</v>
      </c>
      <c r="E813" s="830">
        <f>AD813</f>
        <v>0</v>
      </c>
      <c r="F813" s="831">
        <f ca="1">IF(X813 &gt; 0.1, RAND() * (0.1 - 0.06) + 0.06, X813)</f>
        <v>0</v>
      </c>
      <c r="G813" s="831">
        <f ca="1">IF(Y813 &lt; 0.5, 0.5 + RAND() * 0.1, Y813)</f>
        <v>0.58041806770747628</v>
      </c>
      <c r="H813" s="830">
        <f ca="1">IF(AB813&gt;0.04, 0.029 + (0.039-0.029)*RAND(), AB813)</f>
        <v>0</v>
      </c>
      <c r="I813" s="830">
        <f ca="1">IF(AA813&gt;0.04, 0.029 + (0.039-0.029)*RAND(), AA813)</f>
        <v>0</v>
      </c>
      <c r="J813" s="831">
        <f ca="1">IF(Z813&gt;0.15, 0.11 + (0.15-0.11) * RAND(), Z813)</f>
        <v>0</v>
      </c>
      <c r="K813" s="830">
        <f ca="1">0.004 + (RAND() * (0.001 - 0.004))</f>
        <v>3.1398504289059026E-3</v>
      </c>
      <c r="L813" s="830">
        <f ca="1">H813+I813</f>
        <v>0</v>
      </c>
      <c r="M813" s="831">
        <f ca="1">(G813/6)+F813</f>
        <v>9.6736344617912709E-2</v>
      </c>
      <c r="N813" s="831">
        <f ca="1">2 + RAND()</f>
        <v>2.6429982389358928</v>
      </c>
      <c r="O813" s="831">
        <f ca="1">1 + RAND()</f>
        <v>1.719529947178887</v>
      </c>
      <c r="P813" s="831">
        <f ca="1">2.98 + (RAND() * (3.03 - 2.98))</f>
        <v>3.0284477427038619</v>
      </c>
      <c r="Q813" s="832" t="str">
        <f ca="1">IF(D813="130 × 130", (130 + RANDBETWEEN(-1,1)) &amp; " × " &amp; (130 + RANDBETWEEN(-1,1)),
   IF(D813="160 × 160", (160 + RANDBETWEEN(-1,1)) &amp; " × " &amp; (160 + RANDBETWEEN(-1,1)),
   IF(D813="110 × 110", (110 + RANDBETWEEN(-1,1)) &amp; " × " &amp; (110 + RANDBETWEEN(-1,1)),
   "Value not matched")))</f>
        <v>Value not matched</v>
      </c>
      <c r="R813" s="833" t="s">
        <v>213</v>
      </c>
      <c r="S813" s="834" t="str">
        <f ca="1">IF(G813&lt;0.6, "IS 14650 CPS 10748/GR2", "IS 14650 CPS 10748/GR3")</f>
        <v>IS 14650 CPS 10748/GR2</v>
      </c>
      <c r="T813" s="831" t="s">
        <v>769</v>
      </c>
      <c r="U813" s="825"/>
      <c r="V813" s="826"/>
      <c r="W813" s="206">
        <f>Prod.!B457</f>
        <v>0</v>
      </c>
      <c r="X813" s="469">
        <f>Prod.!C457</f>
        <v>0</v>
      </c>
      <c r="Y813" s="469">
        <f>Prod.!D457</f>
        <v>0</v>
      </c>
      <c r="Z813" s="469">
        <f>Prod.!E457</f>
        <v>0</v>
      </c>
      <c r="AA813" s="282">
        <f>Prod.!F457</f>
        <v>0</v>
      </c>
      <c r="AB813" s="282">
        <f>Prod.!G457</f>
        <v>0</v>
      </c>
      <c r="AC813" s="836">
        <f>Prod.!H457</f>
        <v>0</v>
      </c>
      <c r="AD813" s="282">
        <f>Prod.!AB457</f>
        <v>0</v>
      </c>
      <c r="AE813" s="282">
        <f>AD813-AF813</f>
        <v>0</v>
      </c>
      <c r="AF813" s="282">
        <f>Prod.!AA457</f>
        <v>0</v>
      </c>
    </row>
    <row r="814" spans="1:32" ht="15" customHeight="1">
      <c r="A814" s="1435">
        <v>5</v>
      </c>
      <c r="B814" s="818">
        <f>W815</f>
        <v>0</v>
      </c>
      <c r="C814" s="819" t="s">
        <v>765</v>
      </c>
      <c r="D814" s="822"/>
      <c r="E814" s="822"/>
      <c r="F814" s="821">
        <f ca="1">F815 + (RAND() * 0.02 - 0.01)</f>
        <v>3.8071558361274047E-3</v>
      </c>
      <c r="G814" s="821">
        <f ca="1">G815 + (RAND() * 0.06 - 0.03)</f>
        <v>0.60723177610760937</v>
      </c>
      <c r="H814" s="822">
        <f ca="1">H815 + (RAND() * 0.006 - 0.003)</f>
        <v>-7.1694577142041157E-4</v>
      </c>
      <c r="I814" s="822">
        <f ca="1">I815 + (RAND() * 0.006 - 0.003)</f>
        <v>1.535842453378935E-3</v>
      </c>
      <c r="J814" s="821">
        <f ca="1">J815 + (RAND() * 0.02 - 0.01)</f>
        <v>-9.1107033050402998E-3</v>
      </c>
      <c r="K814" s="821"/>
      <c r="L814" s="822"/>
      <c r="M814" s="821"/>
      <c r="N814" s="823"/>
      <c r="O814" s="823"/>
      <c r="P814" s="823"/>
      <c r="Q814" s="823"/>
      <c r="R814" s="839"/>
      <c r="S814" s="821"/>
      <c r="T814" s="821"/>
      <c r="U814" s="825"/>
      <c r="V814" s="826"/>
    </row>
    <row r="815" spans="1:32" ht="15" customHeight="1">
      <c r="A815" s="1435"/>
      <c r="B815" s="827">
        <f>B814</f>
        <v>0</v>
      </c>
      <c r="C815" s="828" t="s">
        <v>768</v>
      </c>
      <c r="D815" s="829" t="str">
        <f>IF(AC815=130, "130 × 130", IF(AC815=160, "160 × 160", IF(AC815=110, "110 × 110", "Value not 130, 160, or 110")))</f>
        <v>Value not 130, 160, or 110</v>
      </c>
      <c r="E815" s="830">
        <f>AD815</f>
        <v>0</v>
      </c>
      <c r="F815" s="831">
        <f ca="1">IF(X815 &gt; 0.1, RAND() * (0.1 - 0.06) + 0.06, X815)</f>
        <v>0</v>
      </c>
      <c r="G815" s="831">
        <f ca="1">IF(Y815 &lt; 0.5, 0.5 + RAND() * 0.1, Y815)</f>
        <v>0.58142428275796254</v>
      </c>
      <c r="H815" s="830">
        <f ca="1">IF(AB815&gt;0.04, 0.029 + (0.039-0.029)*RAND(), AB815)</f>
        <v>0</v>
      </c>
      <c r="I815" s="830">
        <f ca="1">IF(AA815&gt;0.04, 0.029 + (0.039-0.029)*RAND(), AA815)</f>
        <v>0</v>
      </c>
      <c r="J815" s="831">
        <f ca="1">IF(Z815&gt;0.15, 0.11 + (0.15-0.11) * RAND(), Z815)</f>
        <v>0</v>
      </c>
      <c r="K815" s="830">
        <f ca="1">0.004 + (RAND() * (0.001 - 0.004))</f>
        <v>1.0713915024992849E-3</v>
      </c>
      <c r="L815" s="830">
        <f ca="1">H815+I815</f>
        <v>0</v>
      </c>
      <c r="M815" s="831">
        <f ca="1">(G815/6)+F815</f>
        <v>9.6904047126327095E-2</v>
      </c>
      <c r="N815" s="831">
        <f ca="1">2 + RAND()</f>
        <v>2.9379635020384454</v>
      </c>
      <c r="O815" s="831">
        <f ca="1">1 + RAND()</f>
        <v>1.1796824802035402</v>
      </c>
      <c r="P815" s="831">
        <f ca="1">2.98 + (RAND() * (3.03 - 2.98))</f>
        <v>3.0057859653008925</v>
      </c>
      <c r="Q815" s="832" t="str">
        <f ca="1">IF(D815="130 × 130", (130 + RANDBETWEEN(-1,1)) &amp; " × " &amp; (130 + RANDBETWEEN(-1,1)),
   IF(D815="160 × 160", (160 + RANDBETWEEN(-1,1)) &amp; " × " &amp; (160 + RANDBETWEEN(-1,1)),
   IF(D815="110 × 110", (110 + RANDBETWEEN(-1,1)) &amp; " × " &amp; (110 + RANDBETWEEN(-1,1)),
   "Value not matched")))</f>
        <v>Value not matched</v>
      </c>
      <c r="R815" s="833" t="s">
        <v>213</v>
      </c>
      <c r="S815" s="834" t="str">
        <f ca="1">IF(G815&lt;0.6, "IS 14650 CPS 10748/GR2", "IS 14650 CPS 10748/GR3")</f>
        <v>IS 14650 CPS 10748/GR2</v>
      </c>
      <c r="T815" s="831" t="s">
        <v>769</v>
      </c>
      <c r="U815" s="825"/>
      <c r="V815" s="826"/>
      <c r="W815" s="206">
        <f>Prod.!B458</f>
        <v>0</v>
      </c>
      <c r="X815" s="469">
        <f>Prod.!C458</f>
        <v>0</v>
      </c>
      <c r="Y815" s="469">
        <f>Prod.!D458</f>
        <v>0</v>
      </c>
      <c r="Z815" s="469">
        <f>Prod.!E458</f>
        <v>0</v>
      </c>
      <c r="AA815" s="282">
        <f>Prod.!F458</f>
        <v>0</v>
      </c>
      <c r="AB815" s="282">
        <f>Prod.!G458</f>
        <v>0</v>
      </c>
      <c r="AC815" s="836">
        <f>Prod.!H458</f>
        <v>0</v>
      </c>
      <c r="AD815" s="282">
        <f>Prod.!AB458</f>
        <v>0</v>
      </c>
      <c r="AE815" s="282">
        <f>AD815-AF815</f>
        <v>0</v>
      </c>
      <c r="AF815" s="282">
        <f>Prod.!AA458</f>
        <v>0</v>
      </c>
    </row>
    <row r="816" spans="1:32" ht="15" customHeight="1">
      <c r="A816" s="1435">
        <v>6</v>
      </c>
      <c r="B816" s="818">
        <f>W817</f>
        <v>0</v>
      </c>
      <c r="C816" s="819" t="s">
        <v>765</v>
      </c>
      <c r="D816" s="822"/>
      <c r="E816" s="822"/>
      <c r="F816" s="821">
        <f ca="1">F817 + (RAND() * 0.02 - 0.01)</f>
        <v>-1.3800242530143583E-3</v>
      </c>
      <c r="G816" s="821">
        <f ca="1">G817 + (RAND() * 0.06 - 0.03)</f>
        <v>0.476680678635792</v>
      </c>
      <c r="H816" s="822">
        <f ca="1">H817 + (RAND() * 0.006 - 0.003)</f>
        <v>1.6746199832261329E-3</v>
      </c>
      <c r="I816" s="822">
        <f ca="1">I817 + (RAND() * 0.006 - 0.003)</f>
        <v>2.0766861310797307E-4</v>
      </c>
      <c r="J816" s="821">
        <f ca="1">J817 + (RAND() * 0.02 - 0.01)</f>
        <v>-3.2317928050760829E-4</v>
      </c>
      <c r="K816" s="821"/>
      <c r="L816" s="822"/>
      <c r="M816" s="821"/>
      <c r="N816" s="823"/>
      <c r="O816" s="823"/>
      <c r="P816" s="823"/>
      <c r="Q816" s="823"/>
      <c r="R816" s="839"/>
      <c r="S816" s="821"/>
      <c r="T816" s="821"/>
      <c r="U816" s="825"/>
      <c r="V816" s="826"/>
    </row>
    <row r="817" spans="1:32" ht="15" customHeight="1">
      <c r="A817" s="1435"/>
      <c r="B817" s="827">
        <f>B816</f>
        <v>0</v>
      </c>
      <c r="C817" s="828" t="s">
        <v>768</v>
      </c>
      <c r="D817" s="829" t="str">
        <f>IF(AC817=130, "130 × 130", IF(AC817=160, "160 × 160", IF(AC817=110, "110 × 110", "Value not 130, 160, or 110")))</f>
        <v>Value not 130, 160, or 110</v>
      </c>
      <c r="E817" s="830">
        <f>AD817</f>
        <v>0</v>
      </c>
      <c r="F817" s="831">
        <f ca="1">IF(X817 &gt; 0.1, RAND() * (0.1 - 0.06) + 0.06, X817)</f>
        <v>0</v>
      </c>
      <c r="G817" s="831">
        <f ca="1">IF(Y817 &lt; 0.5, 0.5 + RAND() * 0.1, Y817)</f>
        <v>0.50462112476677201</v>
      </c>
      <c r="H817" s="830">
        <f ca="1">IF(AB817&gt;0.04, 0.029 + (0.039-0.029)*RAND(), AB817)</f>
        <v>0</v>
      </c>
      <c r="I817" s="830">
        <f ca="1">IF(AA817&gt;0.04, 0.029 + (0.039-0.029)*RAND(), AA817)</f>
        <v>0</v>
      </c>
      <c r="J817" s="831">
        <f ca="1">IF(Z817&gt;0.15, 0.11 + (0.15-0.11) * RAND(), Z817)</f>
        <v>0</v>
      </c>
      <c r="K817" s="830">
        <f ca="1">0.004 + (RAND() * (0.001 - 0.004))</f>
        <v>3.2696994856811004E-3</v>
      </c>
      <c r="L817" s="830">
        <f ca="1">H817+I817</f>
        <v>0</v>
      </c>
      <c r="M817" s="831">
        <f ca="1">(G817/6)+F817</f>
        <v>8.4103520794461997E-2</v>
      </c>
      <c r="N817" s="831">
        <f ca="1">2 + RAND()</f>
        <v>2.8041130776153804</v>
      </c>
      <c r="O817" s="831">
        <f ca="1">1 + RAND()</f>
        <v>1.1507243126561342</v>
      </c>
      <c r="P817" s="831">
        <f ca="1">2.98 + (RAND() * (3.03 - 2.98))</f>
        <v>3.0052573383962935</v>
      </c>
      <c r="Q817" s="832" t="str">
        <f ca="1">IF(D817="130 × 130", (130 + RANDBETWEEN(-1,1)) &amp; " × " &amp; (130 + RANDBETWEEN(-1,1)),
   IF(D817="160 × 160", (160 + RANDBETWEEN(-1,1)) &amp; " × " &amp; (160 + RANDBETWEEN(-1,1)),
   IF(D817="110 × 110", (110 + RANDBETWEEN(-1,1)) &amp; " × " &amp; (110 + RANDBETWEEN(-1,1)),
   "Value not matched")))</f>
        <v>Value not matched</v>
      </c>
      <c r="R817" s="833" t="s">
        <v>213</v>
      </c>
      <c r="S817" s="834" t="str">
        <f ca="1">IF(G817&lt;0.6, "IS 14650 CPS 10748/GR2", "IS 14650 CPS 10748/GR3")</f>
        <v>IS 14650 CPS 10748/GR2</v>
      </c>
      <c r="T817" s="831" t="s">
        <v>769</v>
      </c>
      <c r="U817" s="825"/>
      <c r="V817" s="826"/>
      <c r="W817" s="206">
        <f>Prod.!B459</f>
        <v>0</v>
      </c>
      <c r="X817" s="469">
        <f>Prod.!C459</f>
        <v>0</v>
      </c>
      <c r="Y817" s="469">
        <f>Prod.!D459</f>
        <v>0</v>
      </c>
      <c r="Z817" s="469">
        <f>Prod.!E459</f>
        <v>0</v>
      </c>
      <c r="AA817" s="282">
        <f>Prod.!F459</f>
        <v>0</v>
      </c>
      <c r="AB817" s="282">
        <f>Prod.!G459</f>
        <v>0</v>
      </c>
      <c r="AC817" s="836">
        <f>Prod.!H459</f>
        <v>0</v>
      </c>
      <c r="AD817" s="282">
        <f>Prod.!AB459</f>
        <v>0</v>
      </c>
      <c r="AE817" s="282">
        <f>AD817-AF817</f>
        <v>0</v>
      </c>
      <c r="AF817" s="282">
        <f>Prod.!AA459</f>
        <v>0</v>
      </c>
    </row>
    <row r="818" spans="1:32" ht="15" customHeight="1">
      <c r="A818" s="1435">
        <v>7</v>
      </c>
      <c r="B818" s="818">
        <f>W819</f>
        <v>0</v>
      </c>
      <c r="C818" s="819" t="s">
        <v>765</v>
      </c>
      <c r="D818" s="822"/>
      <c r="E818" s="822"/>
      <c r="F818" s="821">
        <f ca="1">F819 + (RAND() * 0.02 - 0.01)</f>
        <v>-3.3818908360356663E-3</v>
      </c>
      <c r="G818" s="821">
        <f ca="1">G819 + (RAND() * 0.06 - 0.03)</f>
        <v>0.5611071270790966</v>
      </c>
      <c r="H818" s="822">
        <f ca="1">H819 + (RAND() * 0.006 - 0.003)</f>
        <v>-2.9956476523611214E-3</v>
      </c>
      <c r="I818" s="822">
        <f ca="1">I819 + (RAND() * 0.006 - 0.003)</f>
        <v>1.8182476248222853E-3</v>
      </c>
      <c r="J818" s="821">
        <f ca="1">J819 + (RAND() * 0.02 - 0.01)</f>
        <v>8.5019072790782028E-3</v>
      </c>
      <c r="K818" s="821"/>
      <c r="L818" s="822"/>
      <c r="M818" s="821"/>
      <c r="N818" s="823"/>
      <c r="O818" s="823"/>
      <c r="P818" s="823"/>
      <c r="Q818" s="823"/>
      <c r="R818" s="839"/>
      <c r="S818" s="821"/>
      <c r="T818" s="821"/>
      <c r="U818" s="825"/>
      <c r="V818" s="826"/>
    </row>
    <row r="819" spans="1:32" ht="15" customHeight="1">
      <c r="A819" s="1435"/>
      <c r="B819" s="827">
        <f>B818</f>
        <v>0</v>
      </c>
      <c r="C819" s="828" t="s">
        <v>768</v>
      </c>
      <c r="D819" s="829" t="str">
        <f>IF(AC819=130, "130 × 130", IF(AC819=160, "160 × 160", IF(AC819=110, "110 × 110", "Value not 130, 160, or 110")))</f>
        <v>Value not 130, 160, or 110</v>
      </c>
      <c r="E819" s="830">
        <f>AD819</f>
        <v>0</v>
      </c>
      <c r="F819" s="831">
        <f ca="1">IF(X819 &gt; 0.1, RAND() * (0.1 - 0.06) + 0.06, X819)</f>
        <v>0</v>
      </c>
      <c r="G819" s="831">
        <f ca="1">IF(Y819 &lt; 0.5, 0.5 + RAND() * 0.1, Y819)</f>
        <v>0.58842985350499355</v>
      </c>
      <c r="H819" s="830">
        <f ca="1">IF(AB819&gt;0.04, 0.029 + (0.039-0.029)*RAND(), AB819)</f>
        <v>0</v>
      </c>
      <c r="I819" s="830">
        <f ca="1">IF(AA819&gt;0.04, 0.029 + (0.039-0.029)*RAND(), AA819)</f>
        <v>0</v>
      </c>
      <c r="J819" s="831">
        <f ca="1">IF(Z819&gt;0.15, 0.11 + (0.15-0.11) * RAND(), Z819)</f>
        <v>0</v>
      </c>
      <c r="K819" s="830">
        <f ca="1">0.004 + (RAND() * (0.001 - 0.004))</f>
        <v>2.4980660384487144E-3</v>
      </c>
      <c r="L819" s="830">
        <f ca="1">H819+I819</f>
        <v>0</v>
      </c>
      <c r="M819" s="831">
        <f ca="1">(G819/6)+F819</f>
        <v>9.8071642250832258E-2</v>
      </c>
      <c r="N819" s="831">
        <f ca="1">2 + RAND()</f>
        <v>2.0601846245122095</v>
      </c>
      <c r="O819" s="831">
        <f ca="1">1 + RAND()</f>
        <v>1.7484286074731581</v>
      </c>
      <c r="P819" s="831">
        <f ca="1">2.98 + (RAND() * (3.03 - 2.98))</f>
        <v>3.0236321161352269</v>
      </c>
      <c r="Q819" s="832" t="str">
        <f ca="1">IF(D819="130 × 130", (130 + RANDBETWEEN(-1,1)) &amp; " × " &amp; (130 + RANDBETWEEN(-1,1)),
   IF(D819="160 × 160", (160 + RANDBETWEEN(-1,1)) &amp; " × " &amp; (160 + RANDBETWEEN(-1,1)),
   IF(D819="110 × 110", (110 + RANDBETWEEN(-1,1)) &amp; " × " &amp; (110 + RANDBETWEEN(-1,1)),
   "Value not matched")))</f>
        <v>Value not matched</v>
      </c>
      <c r="R819" s="833" t="s">
        <v>213</v>
      </c>
      <c r="S819" s="834" t="str">
        <f ca="1">IF(G819&lt;0.6, "IS 14650 CPS 10748/GR2", "IS 14650 CPS 10748/GR3")</f>
        <v>IS 14650 CPS 10748/GR2</v>
      </c>
      <c r="T819" s="831" t="s">
        <v>769</v>
      </c>
      <c r="U819" s="825"/>
      <c r="V819" s="826"/>
      <c r="W819" s="206">
        <f>Prod.!B460</f>
        <v>0</v>
      </c>
      <c r="X819" s="469">
        <f>Prod.!C460</f>
        <v>0</v>
      </c>
      <c r="Y819" s="469">
        <f>Prod.!D460</f>
        <v>0</v>
      </c>
      <c r="Z819" s="469">
        <f>Prod.!E460</f>
        <v>0</v>
      </c>
      <c r="AA819" s="282">
        <f>Prod.!F460</f>
        <v>0</v>
      </c>
      <c r="AB819" s="282">
        <f>Prod.!G460</f>
        <v>0</v>
      </c>
      <c r="AC819" s="836">
        <f>Prod.!H460</f>
        <v>0</v>
      </c>
      <c r="AD819" s="282">
        <f>Prod.!AB460</f>
        <v>0</v>
      </c>
      <c r="AE819" s="282">
        <f>AD819-AF819</f>
        <v>0</v>
      </c>
      <c r="AF819" s="282">
        <f>Prod.!AA460</f>
        <v>0</v>
      </c>
    </row>
    <row r="820" spans="1:32" ht="15" customHeight="1">
      <c r="A820" s="1435">
        <v>8</v>
      </c>
      <c r="B820" s="818">
        <f>W821</f>
        <v>0</v>
      </c>
      <c r="C820" s="819" t="s">
        <v>765</v>
      </c>
      <c r="D820" s="822"/>
      <c r="E820" s="822"/>
      <c r="F820" s="821">
        <f ca="1">F821 + (RAND() * 0.02 - 0.01)</f>
        <v>2.7293857787250783E-3</v>
      </c>
      <c r="G820" s="821">
        <f ca="1">G821 + (RAND() * 0.06 - 0.03)</f>
        <v>0.61335096057740612</v>
      </c>
      <c r="H820" s="822">
        <f ca="1">H821 + (RAND() * 0.006 - 0.003)</f>
        <v>3.7342755536118235E-4</v>
      </c>
      <c r="I820" s="822">
        <f ca="1">I821 + (RAND() * 0.006 - 0.003)</f>
        <v>3.3229442785235458E-4</v>
      </c>
      <c r="J820" s="821">
        <f ca="1">J821 + (RAND() * 0.02 - 0.01)</f>
        <v>6.3336924612607138E-3</v>
      </c>
      <c r="K820" s="821"/>
      <c r="L820" s="822"/>
      <c r="M820" s="821"/>
      <c r="N820" s="823"/>
      <c r="O820" s="823"/>
      <c r="P820" s="823"/>
      <c r="Q820" s="823"/>
      <c r="R820" s="839"/>
      <c r="S820" s="821"/>
      <c r="T820" s="821"/>
      <c r="U820" s="825"/>
      <c r="V820" s="826"/>
    </row>
    <row r="821" spans="1:32" ht="15" customHeight="1">
      <c r="A821" s="1435"/>
      <c r="B821" s="827">
        <f>B820</f>
        <v>0</v>
      </c>
      <c r="C821" s="828" t="s">
        <v>768</v>
      </c>
      <c r="D821" s="829" t="str">
        <f>IF(AC821=130, "130 × 130", IF(AC821=160, "160 × 160", IF(AC821=110, "110 × 110", "Value not 130, 160, or 110")))</f>
        <v>Value not 130, 160, or 110</v>
      </c>
      <c r="E821" s="830">
        <f>AD821</f>
        <v>0</v>
      </c>
      <c r="F821" s="831">
        <f ca="1">IF(X821 &gt; 0.1, RAND() * (0.1 - 0.06) + 0.06, X821)</f>
        <v>0</v>
      </c>
      <c r="G821" s="831">
        <f ca="1">IF(Y821 &lt; 0.5, 0.5 + RAND() * 0.1, Y821)</f>
        <v>0.58966816062953598</v>
      </c>
      <c r="H821" s="830">
        <f ca="1">IF(AB821&gt;0.04, 0.029 + (0.039-0.029)*RAND(), AB821)</f>
        <v>0</v>
      </c>
      <c r="I821" s="830">
        <f ca="1">IF(AA821&gt;0.04, 0.029 + (0.039-0.029)*RAND(), AA821)</f>
        <v>0</v>
      </c>
      <c r="J821" s="831">
        <f ca="1">IF(Z821&gt;0.15, 0.11 + (0.15-0.11) * RAND(), Z821)</f>
        <v>0</v>
      </c>
      <c r="K821" s="830">
        <f ca="1">0.004 + (RAND() * (0.001 - 0.004))</f>
        <v>1.3271997095480191E-3</v>
      </c>
      <c r="L821" s="830">
        <f ca="1">H821+I821</f>
        <v>0</v>
      </c>
      <c r="M821" s="831">
        <f ca="1">(G821/6)+F821</f>
        <v>9.8278026771589325E-2</v>
      </c>
      <c r="N821" s="831">
        <f ca="1">2 + RAND()</f>
        <v>2.0912905077953341</v>
      </c>
      <c r="O821" s="831">
        <f ca="1">1 + RAND()</f>
        <v>1.5357977066174215</v>
      </c>
      <c r="P821" s="831">
        <f ca="1">2.98 + (RAND() * (3.03 - 2.98))</f>
        <v>3.0029469041590433</v>
      </c>
      <c r="Q821" s="832" t="str">
        <f ca="1">IF(D821="130 × 130", (130 + RANDBETWEEN(-1,1)) &amp; " × " &amp; (130 + RANDBETWEEN(-1,1)),
   IF(D821="160 × 160", (160 + RANDBETWEEN(-1,1)) &amp; " × " &amp; (160 + RANDBETWEEN(-1,1)),
   IF(D821="110 × 110", (110 + RANDBETWEEN(-1,1)) &amp; " × " &amp; (110 + RANDBETWEEN(-1,1)),
   "Value not matched")))</f>
        <v>Value not matched</v>
      </c>
      <c r="R821" s="833" t="s">
        <v>213</v>
      </c>
      <c r="S821" s="834" t="str">
        <f ca="1">IF(G821&lt;0.6, "IS 14650 CPS 10748/GR2", "IS 14650 CPS 10748/GR3")</f>
        <v>IS 14650 CPS 10748/GR2</v>
      </c>
      <c r="T821" s="831" t="s">
        <v>769</v>
      </c>
      <c r="U821" s="825"/>
      <c r="V821" s="826"/>
      <c r="W821" s="206">
        <f>Prod.!B461</f>
        <v>0</v>
      </c>
      <c r="X821" s="469">
        <f>Prod.!C461</f>
        <v>0</v>
      </c>
      <c r="Y821" s="469">
        <f>Prod.!D461</f>
        <v>0</v>
      </c>
      <c r="Z821" s="469">
        <f>Prod.!E461</f>
        <v>0</v>
      </c>
      <c r="AA821" s="282">
        <f>Prod.!F461</f>
        <v>0</v>
      </c>
      <c r="AB821" s="282">
        <f>Prod.!G461</f>
        <v>0</v>
      </c>
      <c r="AC821" s="836">
        <f>Prod.!H461</f>
        <v>0</v>
      </c>
      <c r="AD821" s="282">
        <f>Prod.!AB461</f>
        <v>0</v>
      </c>
      <c r="AE821" s="282">
        <f>AD821-AF821</f>
        <v>0</v>
      </c>
      <c r="AF821" s="282">
        <f>Prod.!AA461</f>
        <v>0</v>
      </c>
    </row>
    <row r="822" spans="1:32" ht="15" customHeight="1">
      <c r="A822" s="1435">
        <v>9</v>
      </c>
      <c r="B822" s="818">
        <f>W823</f>
        <v>0</v>
      </c>
      <c r="C822" s="819" t="s">
        <v>765</v>
      </c>
      <c r="D822" s="822"/>
      <c r="E822" s="822"/>
      <c r="F822" s="821">
        <f ca="1">F823 + (RAND() * 0.02 - 0.01)</f>
        <v>4.1731446281533854E-3</v>
      </c>
      <c r="G822" s="821">
        <f ca="1">G823 + (RAND() * 0.06 - 0.03)</f>
        <v>0.56614679044929606</v>
      </c>
      <c r="H822" s="822">
        <f ca="1">H823 + (RAND() * 0.006 - 0.003)</f>
        <v>1.7661778966268603E-3</v>
      </c>
      <c r="I822" s="822">
        <f ca="1">I823 + (RAND() * 0.006 - 0.003)</f>
        <v>3.2755784620589184E-4</v>
      </c>
      <c r="J822" s="821">
        <f ca="1">J823 + (RAND() * 0.02 - 0.01)</f>
        <v>6.9551337067653516E-3</v>
      </c>
      <c r="K822" s="821"/>
      <c r="L822" s="822"/>
      <c r="M822" s="821"/>
      <c r="N822" s="823"/>
      <c r="O822" s="823"/>
      <c r="P822" s="823"/>
      <c r="Q822" s="823"/>
      <c r="R822" s="839"/>
      <c r="S822" s="821"/>
      <c r="T822" s="821"/>
      <c r="U822" s="825"/>
      <c r="V822" s="826"/>
    </row>
    <row r="823" spans="1:32" ht="15" customHeight="1">
      <c r="A823" s="1435"/>
      <c r="B823" s="827">
        <f>B822</f>
        <v>0</v>
      </c>
      <c r="C823" s="828" t="s">
        <v>768</v>
      </c>
      <c r="D823" s="829" t="str">
        <f>IF(AC823=130, "130 × 130", IF(AC823=160, "160 × 160", IF(AC823=110, "110 × 110", "Value not 130, 160, or 110")))</f>
        <v>Value not 130, 160, or 110</v>
      </c>
      <c r="E823" s="830">
        <f>AD823</f>
        <v>0</v>
      </c>
      <c r="F823" s="831">
        <f ca="1">IF(X823 &gt; 0.1, RAND() * (0.1 - 0.06) + 0.06, X823)</f>
        <v>0</v>
      </c>
      <c r="G823" s="831">
        <f ca="1">IF(Y823 &lt; 0.5, 0.5 + RAND() * 0.1, Y823)</f>
        <v>0.58860902897708556</v>
      </c>
      <c r="H823" s="830">
        <f ca="1">IF(AB823&gt;0.04, 0.029 + (0.039-0.029)*RAND(), AB823)</f>
        <v>0</v>
      </c>
      <c r="I823" s="830">
        <f ca="1">IF(AA823&gt;0.04, 0.029 + (0.039-0.029)*RAND(), AA823)</f>
        <v>0</v>
      </c>
      <c r="J823" s="831">
        <f ca="1">IF(Z823&gt;0.15, 0.11 + (0.15-0.11) * RAND(), Z823)</f>
        <v>0</v>
      </c>
      <c r="K823" s="830">
        <f ca="1">0.004 + (RAND() * (0.001 - 0.004))</f>
        <v>2.818329373901066E-3</v>
      </c>
      <c r="L823" s="830">
        <f ca="1">H823+I823</f>
        <v>0</v>
      </c>
      <c r="M823" s="831">
        <f ca="1">(G823/6)+F823</f>
        <v>9.8101504829514255E-2</v>
      </c>
      <c r="N823" s="831">
        <f ca="1">2 + RAND()</f>
        <v>2.8340371378702516</v>
      </c>
      <c r="O823" s="831">
        <f ca="1">1 + RAND()</f>
        <v>1.1505781891964548</v>
      </c>
      <c r="P823" s="831">
        <f ca="1">2.98 + (RAND() * (3.03 - 2.98))</f>
        <v>3.0034130143328124</v>
      </c>
      <c r="Q823" s="832" t="str">
        <f ca="1">IF(D823="130 × 130", (130 + RANDBETWEEN(-1,1)) &amp; " × " &amp; (130 + RANDBETWEEN(-1,1)),
   IF(D823="160 × 160", (160 + RANDBETWEEN(-1,1)) &amp; " × " &amp; (160 + RANDBETWEEN(-1,1)),
   IF(D823="110 × 110", (110 + RANDBETWEEN(-1,1)) &amp; " × " &amp; (110 + RANDBETWEEN(-1,1)),
   "Value not matched")))</f>
        <v>Value not matched</v>
      </c>
      <c r="R823" s="833" t="s">
        <v>213</v>
      </c>
      <c r="S823" s="834" t="str">
        <f ca="1">IF(G823&lt;0.6, "IS 14650 CPS 10748/GR2", "IS 14650 CPS 10748/GR3")</f>
        <v>IS 14650 CPS 10748/GR2</v>
      </c>
      <c r="T823" s="831" t="s">
        <v>769</v>
      </c>
      <c r="U823" s="825"/>
      <c r="V823" s="826"/>
      <c r="W823" s="206">
        <f>Prod.!B462</f>
        <v>0</v>
      </c>
      <c r="X823" s="469">
        <f>Prod.!C462</f>
        <v>0</v>
      </c>
      <c r="Y823" s="469">
        <f>Prod.!D462</f>
        <v>0</v>
      </c>
      <c r="Z823" s="469">
        <f>Prod.!E462</f>
        <v>0</v>
      </c>
      <c r="AA823" s="282">
        <f>Prod.!F462</f>
        <v>0</v>
      </c>
      <c r="AB823" s="282">
        <f>Prod.!G462</f>
        <v>0</v>
      </c>
      <c r="AC823" s="836">
        <f>Prod.!H462</f>
        <v>0</v>
      </c>
      <c r="AD823" s="282">
        <f>Prod.!AB462</f>
        <v>0</v>
      </c>
      <c r="AE823" s="282">
        <f>AD823-AF823</f>
        <v>0</v>
      </c>
      <c r="AF823" s="282">
        <f>Prod.!AA462</f>
        <v>0</v>
      </c>
    </row>
    <row r="824" spans="1:32" ht="15" customHeight="1">
      <c r="A824" s="1435">
        <v>10</v>
      </c>
      <c r="B824" s="818">
        <f>W825</f>
        <v>0</v>
      </c>
      <c r="C824" s="819" t="s">
        <v>765</v>
      </c>
      <c r="D824" s="822"/>
      <c r="E824" s="822"/>
      <c r="F824" s="821">
        <f ca="1">F825 + (RAND() * 0.02 - 0.01)</f>
        <v>4.6257000398418017E-3</v>
      </c>
      <c r="G824" s="821">
        <f ca="1">G825 + (RAND() * 0.06 - 0.03)</f>
        <v>0.53990518420562794</v>
      </c>
      <c r="H824" s="822">
        <f ca="1">H825 + (RAND() * 0.006 - 0.003)</f>
        <v>1.1551531908298458E-3</v>
      </c>
      <c r="I824" s="822">
        <f ca="1">I825 + (RAND() * 0.006 - 0.003)</f>
        <v>2.1985323555084521E-3</v>
      </c>
      <c r="J824" s="821">
        <f ca="1">J825 + (RAND() * 0.02 - 0.01)</f>
        <v>-4.4079626277103139E-3</v>
      </c>
      <c r="K824" s="821"/>
      <c r="L824" s="822"/>
      <c r="M824" s="821"/>
      <c r="N824" s="823"/>
      <c r="O824" s="823"/>
      <c r="P824" s="823"/>
      <c r="Q824" s="823"/>
      <c r="R824" s="839"/>
      <c r="S824" s="821"/>
      <c r="T824" s="821"/>
      <c r="U824" s="825"/>
      <c r="V824" s="826"/>
    </row>
    <row r="825" spans="1:32" ht="15" customHeight="1">
      <c r="A825" s="1435"/>
      <c r="B825" s="827">
        <f>B824</f>
        <v>0</v>
      </c>
      <c r="C825" s="828" t="s">
        <v>768</v>
      </c>
      <c r="D825" s="829" t="str">
        <f>IF(AC825=130, "130 × 130", IF(AC825=160, "160 × 160", IF(AC825=110, "110 × 110", "Value not 130, 160, or 110")))</f>
        <v>Value not 130, 160, or 110</v>
      </c>
      <c r="E825" s="830">
        <f>AD825</f>
        <v>0</v>
      </c>
      <c r="F825" s="831">
        <f ca="1">IF(X825 &gt; 0.1, RAND() * (0.1 - 0.06) + 0.06, X825)</f>
        <v>0</v>
      </c>
      <c r="G825" s="831">
        <f ca="1">IF(Y825 &lt; 0.5, 0.5 + RAND() * 0.1, Y825)</f>
        <v>0.54358308990366644</v>
      </c>
      <c r="H825" s="830">
        <f ca="1">IF(AB825&gt;0.04, 0.029 + (0.039-0.029)*RAND(), AB825)</f>
        <v>0</v>
      </c>
      <c r="I825" s="830">
        <f ca="1">IF(AA825&gt;0.04, 0.029 + (0.039-0.029)*RAND(), AA825)</f>
        <v>0</v>
      </c>
      <c r="J825" s="831">
        <f ca="1">IF(Z825&gt;0.15, 0.11 + (0.15-0.11) * RAND(), Z825)</f>
        <v>0</v>
      </c>
      <c r="K825" s="830">
        <f ca="1">0.004 + (RAND() * (0.001 - 0.004))</f>
        <v>3.587823608741326E-3</v>
      </c>
      <c r="L825" s="830">
        <f ca="1">H825+I825</f>
        <v>0</v>
      </c>
      <c r="M825" s="831">
        <f ca="1">(G825/6)+F825</f>
        <v>9.0597181650611078E-2</v>
      </c>
      <c r="N825" s="831">
        <f ca="1">2 + RAND()</f>
        <v>2.5269928780868645</v>
      </c>
      <c r="O825" s="831">
        <f ca="1">1 + RAND()</f>
        <v>1.9550025474327319</v>
      </c>
      <c r="P825" s="831">
        <f ca="1">2.98 + (RAND() * (3.03 - 2.98))</f>
        <v>2.9902031921301795</v>
      </c>
      <c r="Q825" s="832" t="str">
        <f ca="1">IF(D825="130 × 130", (130 + RANDBETWEEN(-1,1)) &amp; " × " &amp; (130 + RANDBETWEEN(-1,1)),
   IF(D825="160 × 160", (160 + RANDBETWEEN(-1,1)) &amp; " × " &amp; (160 + RANDBETWEEN(-1,1)),
   IF(D825="110 × 110", (110 + RANDBETWEEN(-1,1)) &amp; " × " &amp; (110 + RANDBETWEEN(-1,1)),
   "Value not matched")))</f>
        <v>Value not matched</v>
      </c>
      <c r="R825" s="833" t="s">
        <v>213</v>
      </c>
      <c r="S825" s="834" t="str">
        <f ca="1">IF(G825&lt;0.6, "IS 14650 CPS 10748/GR2", "IS 14650 CPS 10748/GR3")</f>
        <v>IS 14650 CPS 10748/GR2</v>
      </c>
      <c r="T825" s="831" t="s">
        <v>769</v>
      </c>
      <c r="U825" s="825"/>
      <c r="V825" s="826"/>
      <c r="W825" s="206">
        <f>Prod.!B463</f>
        <v>0</v>
      </c>
      <c r="X825" s="469">
        <f>Prod.!C463</f>
        <v>0</v>
      </c>
      <c r="Y825" s="469">
        <f>Prod.!D463</f>
        <v>0</v>
      </c>
      <c r="Z825" s="469">
        <f>Prod.!E463</f>
        <v>0</v>
      </c>
      <c r="AA825" s="282">
        <f>Prod.!F463</f>
        <v>0</v>
      </c>
      <c r="AB825" s="282">
        <f>Prod.!G463</f>
        <v>0</v>
      </c>
      <c r="AC825" s="836">
        <f>Prod.!H463</f>
        <v>0</v>
      </c>
      <c r="AD825" s="282">
        <f>Prod.!AB463</f>
        <v>0</v>
      </c>
      <c r="AE825" s="282">
        <f>AD825-AF825</f>
        <v>0</v>
      </c>
      <c r="AF825" s="282">
        <f>Prod.!AA463</f>
        <v>0</v>
      </c>
    </row>
    <row r="826" spans="1:32" ht="15" customHeight="1">
      <c r="A826" s="1435">
        <v>11</v>
      </c>
      <c r="B826" s="818">
        <f>W827</f>
        <v>0</v>
      </c>
      <c r="C826" s="819" t="s">
        <v>765</v>
      </c>
      <c r="D826" s="822"/>
      <c r="E826" s="822"/>
      <c r="F826" s="821">
        <f ca="1">F827 + (RAND() * 0.02 - 0.01)</f>
        <v>-4.6312138087525965E-3</v>
      </c>
      <c r="G826" s="821">
        <f ca="1">G827 + (RAND() * 0.06 - 0.03)</f>
        <v>0.55059739517942174</v>
      </c>
      <c r="H826" s="822">
        <f ca="1">H827 + (RAND() * 0.006 - 0.003)</f>
        <v>1.0807165924847355E-3</v>
      </c>
      <c r="I826" s="822">
        <f ca="1">I827 + (RAND() * 0.006 - 0.003)</f>
        <v>-2.6047401990227613E-3</v>
      </c>
      <c r="J826" s="821">
        <f ca="1">J827 + (RAND() * 0.02 - 0.01)</f>
        <v>-7.2261778208237357E-3</v>
      </c>
      <c r="K826" s="821"/>
      <c r="L826" s="822"/>
      <c r="M826" s="821"/>
      <c r="N826" s="823"/>
      <c r="O826" s="823"/>
      <c r="P826" s="823"/>
      <c r="Q826" s="823"/>
      <c r="R826" s="839"/>
      <c r="S826" s="821"/>
      <c r="T826" s="821"/>
      <c r="U826" s="825"/>
      <c r="V826" s="826"/>
    </row>
    <row r="827" spans="1:32" ht="15" customHeight="1">
      <c r="A827" s="1435"/>
      <c r="B827" s="827">
        <f>B826</f>
        <v>0</v>
      </c>
      <c r="C827" s="828" t="s">
        <v>768</v>
      </c>
      <c r="D827" s="829" t="str">
        <f>IF(AC827=130, "130 × 130", IF(AC827=160, "160 × 160", IF(AC827=110, "110 × 110", "Value not 130, 160, or 110")))</f>
        <v>Value not 130, 160, or 110</v>
      </c>
      <c r="E827" s="830">
        <f>AD827</f>
        <v>0</v>
      </c>
      <c r="F827" s="831">
        <f ca="1">IF(X827 &gt; 0.1, RAND() * (0.1 - 0.06) + 0.06, X827)</f>
        <v>0</v>
      </c>
      <c r="G827" s="831">
        <f ca="1">IF(Y827 &lt; 0.5, 0.5 + RAND() * 0.1, Y827)</f>
        <v>0.52903448895907135</v>
      </c>
      <c r="H827" s="830">
        <f ca="1">IF(AB827&gt;0.04, 0.029 + (0.039-0.029)*RAND(), AB827)</f>
        <v>0</v>
      </c>
      <c r="I827" s="830">
        <f ca="1">IF(AA827&gt;0.04, 0.029 + (0.039-0.029)*RAND(), AA827)</f>
        <v>0</v>
      </c>
      <c r="J827" s="831">
        <f ca="1">IF(Z827&gt;0.15, 0.11 + (0.15-0.11) * RAND(), Z827)</f>
        <v>0</v>
      </c>
      <c r="K827" s="830">
        <f ca="1">0.004 + (RAND() * (0.001 - 0.004))</f>
        <v>3.7520270647737673E-3</v>
      </c>
      <c r="L827" s="830">
        <f ca="1">H827+I827</f>
        <v>0</v>
      </c>
      <c r="M827" s="831">
        <f ca="1">(G827/6)+F827</f>
        <v>8.8172414826511891E-2</v>
      </c>
      <c r="N827" s="831">
        <f ca="1">2 + RAND()</f>
        <v>2.127205653147894</v>
      </c>
      <c r="O827" s="831">
        <f ca="1">1 + RAND()</f>
        <v>1.4721816746299337</v>
      </c>
      <c r="P827" s="831">
        <f ca="1">2.98 + (RAND() * (3.03 - 2.98))</f>
        <v>3.026865260312245</v>
      </c>
      <c r="Q827" s="832" t="str">
        <f ca="1">IF(D827="130 × 130", (130 + RANDBETWEEN(-1,1)) &amp; " × " &amp; (130 + RANDBETWEEN(-1,1)),
   IF(D827="160 × 160", (160 + RANDBETWEEN(-1,1)) &amp; " × " &amp; (160 + RANDBETWEEN(-1,1)),
   IF(D827="110 × 110", (110 + RANDBETWEEN(-1,1)) &amp; " × " &amp; (110 + RANDBETWEEN(-1,1)),
   "Value not matched")))</f>
        <v>Value not matched</v>
      </c>
      <c r="R827" s="833" t="s">
        <v>213</v>
      </c>
      <c r="S827" s="834" t="str">
        <f ca="1">IF(G827&lt;0.6, "IS 14650 CPS 10748/GR2", "IS 14650 CPS 10748/GR3")</f>
        <v>IS 14650 CPS 10748/GR2</v>
      </c>
      <c r="T827" s="831" t="s">
        <v>769</v>
      </c>
      <c r="U827" s="825"/>
      <c r="V827" s="826"/>
      <c r="W827" s="206">
        <f>Prod.!B464</f>
        <v>0</v>
      </c>
      <c r="X827" s="469">
        <f>Prod.!C464</f>
        <v>0</v>
      </c>
      <c r="Y827" s="469">
        <f>Prod.!D464</f>
        <v>0</v>
      </c>
      <c r="Z827" s="469">
        <f>Prod.!E464</f>
        <v>0</v>
      </c>
      <c r="AA827" s="282">
        <f>Prod.!F464</f>
        <v>0</v>
      </c>
      <c r="AB827" s="282">
        <f>Prod.!G464</f>
        <v>0</v>
      </c>
      <c r="AC827" s="836">
        <f>Prod.!H464</f>
        <v>0</v>
      </c>
      <c r="AD827" s="282">
        <f>Prod.!AB464</f>
        <v>0</v>
      </c>
      <c r="AE827" s="282">
        <f>AD827-AF827</f>
        <v>0</v>
      </c>
      <c r="AF827" s="282">
        <f>Prod.!AA464</f>
        <v>0</v>
      </c>
    </row>
    <row r="828" spans="1:32" ht="15" customHeight="1">
      <c r="A828" s="1435">
        <v>12</v>
      </c>
      <c r="B828" s="818">
        <f>W829</f>
        <v>0</v>
      </c>
      <c r="C828" s="819" t="s">
        <v>765</v>
      </c>
      <c r="D828" s="822"/>
      <c r="E828" s="822"/>
      <c r="F828" s="821">
        <f ca="1">F829 + (RAND() * 0.02 - 0.01)</f>
        <v>1.8144224774367529E-3</v>
      </c>
      <c r="G828" s="821">
        <f ca="1">G829 + (RAND() * 0.06 - 0.03)</f>
        <v>0.56176250487927237</v>
      </c>
      <c r="H828" s="822">
        <f ca="1">H829 + (RAND() * 0.006 - 0.003)</f>
        <v>-8.2902937752472611E-5</v>
      </c>
      <c r="I828" s="822">
        <f ca="1">I829 + (RAND() * 0.006 - 0.003)</f>
        <v>2.5699895429696796E-3</v>
      </c>
      <c r="J828" s="821">
        <f ca="1">J829 + (RAND() * 0.02 - 0.01)</f>
        <v>3.8128214657024238E-3</v>
      </c>
      <c r="K828" s="821"/>
      <c r="L828" s="822"/>
      <c r="M828" s="821"/>
      <c r="N828" s="823"/>
      <c r="O828" s="823"/>
      <c r="P828" s="823"/>
      <c r="Q828" s="823"/>
      <c r="R828" s="839"/>
      <c r="S828" s="821"/>
      <c r="T828" s="821"/>
      <c r="U828" s="825"/>
      <c r="V828" s="826"/>
    </row>
    <row r="829" spans="1:32" ht="15" customHeight="1">
      <c r="A829" s="1435"/>
      <c r="B829" s="827">
        <f>B828</f>
        <v>0</v>
      </c>
      <c r="C829" s="828" t="s">
        <v>768</v>
      </c>
      <c r="D829" s="829" t="str">
        <f>IF(AC829=130, "130 × 130", IF(AC829=160, "160 × 160", IF(AC829=110, "110 × 110", "Value not 130, 160, or 110")))</f>
        <v>Value not 130, 160, or 110</v>
      </c>
      <c r="E829" s="830">
        <f>AD829</f>
        <v>0</v>
      </c>
      <c r="F829" s="831">
        <f ca="1">IF(X829 &gt; 0.1, RAND() * (0.1 - 0.06) + 0.06, X829)</f>
        <v>0</v>
      </c>
      <c r="G829" s="831">
        <f ca="1">IF(Y829 &lt; 0.5, 0.5 + RAND() * 0.1, Y829)</f>
        <v>0.56499340917512686</v>
      </c>
      <c r="H829" s="830">
        <f ca="1">IF(AB829&gt;0.04, 0.029 + (0.039-0.029)*RAND(), AB829)</f>
        <v>0</v>
      </c>
      <c r="I829" s="830">
        <f ca="1">IF(AA829&gt;0.04, 0.029 + (0.039-0.029)*RAND(), AA829)</f>
        <v>0</v>
      </c>
      <c r="J829" s="831">
        <f ca="1">IF(Z829&gt;0.15, 0.11 + (0.15-0.11) * RAND(), Z829)</f>
        <v>0</v>
      </c>
      <c r="K829" s="830">
        <f ca="1">0.004 + (RAND() * (0.001 - 0.004))</f>
        <v>2.5721188548330299E-3</v>
      </c>
      <c r="L829" s="830">
        <f ca="1">H829+I829</f>
        <v>0</v>
      </c>
      <c r="M829" s="831">
        <f ca="1">(G829/6)+F829</f>
        <v>9.4165568195854477E-2</v>
      </c>
      <c r="N829" s="831">
        <f ca="1">2 + RAND()</f>
        <v>2.9205535956308424</v>
      </c>
      <c r="O829" s="831">
        <f ca="1">1 + RAND()</f>
        <v>1.8947681511758785</v>
      </c>
      <c r="P829" s="831">
        <f ca="1">2.98 + (RAND() * (3.03 - 2.98))</f>
        <v>3.0273530100932291</v>
      </c>
      <c r="Q829" s="832" t="str">
        <f ca="1">IF(D829="130 × 130", (130 + RANDBETWEEN(-1,1)) &amp; " × " &amp; (130 + RANDBETWEEN(-1,1)),
   IF(D829="160 × 160", (160 + RANDBETWEEN(-1,1)) &amp; " × " &amp; (160 + RANDBETWEEN(-1,1)),
   IF(D829="110 × 110", (110 + RANDBETWEEN(-1,1)) &amp; " × " &amp; (110 + RANDBETWEEN(-1,1)),
   "Value not matched")))</f>
        <v>Value not matched</v>
      </c>
      <c r="R829" s="833" t="s">
        <v>213</v>
      </c>
      <c r="S829" s="834" t="str">
        <f ca="1">IF(G829&lt;0.6, "IS 14650 CPS 10748/GR2", "IS 14650 CPS 10748/GR3")</f>
        <v>IS 14650 CPS 10748/GR2</v>
      </c>
      <c r="T829" s="831" t="s">
        <v>769</v>
      </c>
      <c r="U829" s="825"/>
      <c r="V829" s="826"/>
      <c r="W829" s="206">
        <f>Prod.!B465</f>
        <v>0</v>
      </c>
      <c r="X829" s="469">
        <f>Prod.!C465</f>
        <v>0</v>
      </c>
      <c r="Y829" s="469">
        <f>Prod.!D465</f>
        <v>0</v>
      </c>
      <c r="Z829" s="469">
        <f>Prod.!E465</f>
        <v>0</v>
      </c>
      <c r="AA829" s="282">
        <f>Prod.!F465</f>
        <v>0</v>
      </c>
      <c r="AB829" s="282">
        <f>Prod.!G465</f>
        <v>0</v>
      </c>
      <c r="AC829" s="836">
        <f>Prod.!H465</f>
        <v>0</v>
      </c>
      <c r="AD829" s="282">
        <f>Prod.!AB465</f>
        <v>0</v>
      </c>
      <c r="AE829" s="282">
        <f>AD829-AF829</f>
        <v>0</v>
      </c>
      <c r="AF829" s="282">
        <f>Prod.!AA465</f>
        <v>0</v>
      </c>
    </row>
    <row r="830" spans="1:32" ht="15" customHeight="1">
      <c r="A830" s="1435"/>
      <c r="B830" s="818"/>
      <c r="C830" s="819"/>
      <c r="D830" s="822"/>
      <c r="E830" s="822"/>
      <c r="F830" s="821"/>
      <c r="G830" s="821"/>
      <c r="H830" s="840"/>
      <c r="I830" s="840"/>
      <c r="J830" s="821"/>
      <c r="K830" s="821"/>
      <c r="L830" s="822"/>
      <c r="M830" s="838"/>
      <c r="N830" s="821"/>
      <c r="O830" s="821"/>
      <c r="P830" s="821"/>
      <c r="Q830" s="821"/>
      <c r="R830" s="839"/>
      <c r="S830" s="841"/>
      <c r="T830" s="821"/>
      <c r="U830" s="825"/>
      <c r="V830" s="826"/>
    </row>
    <row r="831" spans="1:32" ht="15" customHeight="1">
      <c r="A831" s="1435"/>
      <c r="B831" s="827"/>
      <c r="C831" s="828"/>
      <c r="D831" s="842"/>
      <c r="E831" s="830"/>
      <c r="F831" s="831"/>
      <c r="G831" s="831"/>
      <c r="H831" s="843"/>
      <c r="I831" s="843"/>
      <c r="J831" s="831"/>
      <c r="K831" s="831"/>
      <c r="L831" s="830"/>
      <c r="M831" s="831"/>
      <c r="N831" s="831"/>
      <c r="O831" s="831"/>
      <c r="P831" s="831"/>
      <c r="Q831" s="831"/>
      <c r="R831" s="833"/>
      <c r="S831" s="834"/>
      <c r="T831" s="831"/>
      <c r="U831" s="825"/>
      <c r="V831" s="826"/>
    </row>
    <row r="832" spans="1:32" ht="15" customHeight="1">
      <c r="A832" s="180"/>
      <c r="B832" s="180"/>
      <c r="C832" s="180" t="s">
        <v>770</v>
      </c>
      <c r="D832" s="395"/>
      <c r="E832" s="844">
        <f>SUM(E806:E829)</f>
        <v>0</v>
      </c>
      <c r="F832" s="180"/>
      <c r="G832" s="180"/>
      <c r="H832" s="844"/>
      <c r="I832" s="180"/>
      <c r="J832" s="845"/>
      <c r="K832" s="845"/>
      <c r="L832" s="180"/>
      <c r="M832" s="845"/>
      <c r="N832" s="180"/>
      <c r="O832" s="180"/>
      <c r="P832" s="180"/>
      <c r="Q832" s="180"/>
      <c r="R832" s="263"/>
      <c r="S832" s="180"/>
      <c r="T832" s="180"/>
    </row>
    <row r="833" spans="1:32" ht="28.5" customHeight="1">
      <c r="A833" s="1436" t="s">
        <v>746</v>
      </c>
      <c r="B833" s="1436"/>
      <c r="C833" s="1436"/>
      <c r="D833" s="1436"/>
      <c r="E833" s="1436"/>
      <c r="F833" s="1436"/>
      <c r="G833" s="1436"/>
      <c r="H833" s="1436"/>
      <c r="I833" s="1436"/>
      <c r="J833" s="1436"/>
      <c r="K833" s="1436"/>
      <c r="L833" s="1436"/>
      <c r="M833" s="1436"/>
      <c r="N833" s="1436"/>
      <c r="O833" s="1436"/>
      <c r="P833" s="1436"/>
      <c r="Q833" s="1436"/>
      <c r="R833" s="1436"/>
      <c r="S833" s="1436"/>
      <c r="T833" s="1436"/>
      <c r="U833" s="515"/>
      <c r="V833" s="846"/>
    </row>
    <row r="834" spans="1:32" ht="15" customHeight="1">
      <c r="A834" s="1437" t="s">
        <v>747</v>
      </c>
      <c r="B834" s="1437"/>
      <c r="C834" s="1437"/>
      <c r="D834" s="1437"/>
      <c r="E834" s="1437"/>
      <c r="F834" s="1437"/>
      <c r="G834" s="1437"/>
      <c r="H834" s="1437"/>
      <c r="I834" s="1437"/>
      <c r="J834" s="1437"/>
      <c r="K834" s="1437"/>
      <c r="L834" s="1437"/>
      <c r="M834" s="1437"/>
      <c r="N834" s="1437"/>
      <c r="O834" s="1437"/>
      <c r="P834" s="1437"/>
      <c r="Q834" s="1437"/>
      <c r="R834" s="1437"/>
      <c r="S834" s="1437"/>
      <c r="T834" s="1437"/>
      <c r="U834" s="806"/>
      <c r="V834" s="807"/>
    </row>
    <row r="835" spans="1:32" ht="15" customHeight="1">
      <c r="A835" s="1438" t="str">
        <f>"DATE OF MANUFACTURING : " &amp; TEXT(V839, "DD-MM-YYYY")</f>
        <v>DATE OF MANUFACTURING : 00-01-1900</v>
      </c>
      <c r="B835" s="1438"/>
      <c r="C835" s="1438"/>
      <c r="D835" s="1438"/>
      <c r="E835" s="1438"/>
      <c r="F835" s="1438"/>
      <c r="G835" s="1438"/>
      <c r="H835" s="1438"/>
      <c r="I835" s="1438"/>
      <c r="J835" s="1438"/>
      <c r="K835" s="1438"/>
      <c r="L835" s="1438"/>
      <c r="M835" s="1438"/>
      <c r="N835" s="1437" t="s">
        <v>748</v>
      </c>
      <c r="O835" s="1437"/>
      <c r="P835" s="1437"/>
      <c r="Q835" s="1437"/>
      <c r="R835" s="1437"/>
      <c r="S835" s="1437"/>
      <c r="T835" s="1437"/>
      <c r="U835" s="808"/>
      <c r="V835" s="809"/>
    </row>
    <row r="836" spans="1:32" ht="29.25" customHeight="1">
      <c r="A836" s="1439" t="s">
        <v>749</v>
      </c>
      <c r="B836" s="1440" t="s">
        <v>750</v>
      </c>
      <c r="C836" s="1440"/>
      <c r="D836" s="1440" t="s">
        <v>751</v>
      </c>
      <c r="E836" s="1441" t="s">
        <v>752</v>
      </c>
      <c r="F836" s="1442" t="s">
        <v>753</v>
      </c>
      <c r="G836" s="1442"/>
      <c r="H836" s="1442"/>
      <c r="I836" s="1442"/>
      <c r="J836" s="1442"/>
      <c r="K836" s="1442"/>
      <c r="L836" s="1442"/>
      <c r="M836" s="1442"/>
      <c r="N836" s="1442" t="s">
        <v>754</v>
      </c>
      <c r="O836" s="1442"/>
      <c r="P836" s="1442"/>
      <c r="Q836" s="1442"/>
      <c r="R836" s="1443" t="s">
        <v>771</v>
      </c>
      <c r="S836" s="1441" t="s">
        <v>756</v>
      </c>
      <c r="T836" s="1440" t="s">
        <v>104</v>
      </c>
      <c r="U836" s="810"/>
      <c r="V836" s="811"/>
    </row>
    <row r="837" spans="1:32" ht="42.75" customHeight="1">
      <c r="A837" s="1439"/>
      <c r="B837" s="1440"/>
      <c r="C837" s="1440"/>
      <c r="D837" s="1440"/>
      <c r="E837" s="1440"/>
      <c r="F837" s="812" t="s">
        <v>40</v>
      </c>
      <c r="G837" s="812" t="s">
        <v>757</v>
      </c>
      <c r="H837" s="813" t="s">
        <v>758</v>
      </c>
      <c r="I837" s="812" t="s">
        <v>43</v>
      </c>
      <c r="J837" s="812" t="s">
        <v>42</v>
      </c>
      <c r="K837" s="812" t="s">
        <v>759</v>
      </c>
      <c r="L837" s="812" t="s">
        <v>760</v>
      </c>
      <c r="M837" s="812" t="s">
        <v>761</v>
      </c>
      <c r="N837" s="814" t="s">
        <v>762</v>
      </c>
      <c r="O837" s="815" t="s">
        <v>772</v>
      </c>
      <c r="P837" s="816" t="s">
        <v>773</v>
      </c>
      <c r="Q837" s="817" t="s">
        <v>764</v>
      </c>
      <c r="R837" s="1443"/>
      <c r="S837" s="1443"/>
      <c r="T837" s="1443"/>
      <c r="U837" s="810"/>
      <c r="V837" s="811"/>
    </row>
    <row r="838" spans="1:32" ht="15" customHeight="1">
      <c r="A838" s="1435">
        <v>1</v>
      </c>
      <c r="B838" s="818">
        <f>W839</f>
        <v>0</v>
      </c>
      <c r="C838" s="819" t="s">
        <v>765</v>
      </c>
      <c r="D838" s="820"/>
      <c r="E838" s="821"/>
      <c r="F838" s="821">
        <f ca="1">F839 + (RAND() * 0.02 - 0.01)</f>
        <v>1.2777944951141967E-3</v>
      </c>
      <c r="G838" s="821">
        <f ca="1">G839 + (RAND() * 0.06 - 0.03)</f>
        <v>0.62053279120285321</v>
      </c>
      <c r="H838" s="822">
        <f ca="1">H839 + (RAND() * 0.006 - 0.003)</f>
        <v>2.0191016367475459E-3</v>
      </c>
      <c r="I838" s="822">
        <f ca="1">I839 + (RAND() * 0.006 - 0.003)</f>
        <v>-1.4736179482487629E-3</v>
      </c>
      <c r="J838" s="821">
        <f ca="1">J839 + (RAND() * 0.02 - 0.01)</f>
        <v>-6.7586213043236316E-3</v>
      </c>
      <c r="K838" s="821"/>
      <c r="L838" s="822"/>
      <c r="M838" s="821"/>
      <c r="N838" s="823"/>
      <c r="O838" s="823"/>
      <c r="P838" s="823"/>
      <c r="Q838" s="823"/>
      <c r="R838" s="824"/>
      <c r="S838" s="821"/>
      <c r="T838" s="821"/>
      <c r="U838" s="825"/>
      <c r="V838" s="826"/>
      <c r="AE838" t="s">
        <v>767</v>
      </c>
    </row>
    <row r="839" spans="1:32" ht="15" customHeight="1">
      <c r="A839" s="1435"/>
      <c r="B839" s="827">
        <f>B838</f>
        <v>0</v>
      </c>
      <c r="C839" s="828" t="s">
        <v>768</v>
      </c>
      <c r="D839" s="829" t="str">
        <f>IF(AC839=130, "130 × 130", IF(AC839=160, "160 × 160", IF(AC839=110, "110 × 110", "Value not 130, 160, or 110")))</f>
        <v>Value not 130, 160, or 110</v>
      </c>
      <c r="E839" s="830">
        <f>AD839</f>
        <v>0</v>
      </c>
      <c r="F839" s="831">
        <f ca="1">IF(X839 &gt; 0.1, RAND() * (0.1 - 0.06) + 0.06, X839)</f>
        <v>0</v>
      </c>
      <c r="G839" s="831">
        <f ca="1">IF(Y839 &lt; 0.5, 0.5 + RAND() * 0.1, Y839)</f>
        <v>0.59492880000822146</v>
      </c>
      <c r="H839" s="830">
        <f ca="1">IF(AB839&gt;0.04, 0.029 + (0.039-0.029)*RAND(), AB839)</f>
        <v>0</v>
      </c>
      <c r="I839" s="830">
        <f ca="1">IF(AA839&gt;0.04, 0.029 + (0.039-0.029)*RAND(), AA839)</f>
        <v>0</v>
      </c>
      <c r="J839" s="831">
        <f ca="1">IF(Z839&gt;0.15, 0.11 + (0.15-0.11) * RAND(), Z839)</f>
        <v>0</v>
      </c>
      <c r="K839" s="830">
        <f ca="1">0.004 + (RAND() * (0.001 - 0.004))</f>
        <v>3.3494392650556697E-3</v>
      </c>
      <c r="L839" s="830">
        <f ca="1">H839+I839</f>
        <v>0</v>
      </c>
      <c r="M839" s="831">
        <f ca="1">(G839/6)+F839</f>
        <v>9.9154800001370239E-2</v>
      </c>
      <c r="N839" s="831">
        <f ca="1">2 + RAND()</f>
        <v>2.8696297686383523</v>
      </c>
      <c r="O839" s="831">
        <f ca="1">1 + RAND()</f>
        <v>1.8861356194165988</v>
      </c>
      <c r="P839" s="831">
        <f ca="1">2.98 + (RAND() * (3.03 - 2.98))</f>
        <v>3.0202950806063731</v>
      </c>
      <c r="Q839" s="832" t="str">
        <f ca="1">IF(D839="130 × 130", (130 + RANDBETWEEN(-1,1)) &amp; " × " &amp; (130 + RANDBETWEEN(-1,1)),
   IF(D839="160 × 160", (160 + RANDBETWEEN(-1,1)) &amp; " × " &amp; (160 + RANDBETWEEN(-1,1)),
   IF(D839="110 × 110", (110 + RANDBETWEEN(-1,1)) &amp; " × " &amp; (110 + RANDBETWEEN(-1,1)),
   "Value not matched")))</f>
        <v>Value not matched</v>
      </c>
      <c r="R839" s="833" t="s">
        <v>213</v>
      </c>
      <c r="S839" s="834" t="str">
        <f ca="1">IF(G839&lt;0.6, "IS 14650 CPS 10748/GR2", "IS 14650 CPS 10748/GR3")</f>
        <v>IS 14650 CPS 10748/GR2</v>
      </c>
      <c r="T839" s="831" t="s">
        <v>769</v>
      </c>
      <c r="U839" s="825"/>
      <c r="V839" s="835">
        <f>Prod.!A472</f>
        <v>0</v>
      </c>
      <c r="W839" s="206">
        <f>Prod.!B472</f>
        <v>0</v>
      </c>
      <c r="X839" s="469">
        <f>Prod.!C472</f>
        <v>0</v>
      </c>
      <c r="Y839" s="469">
        <f>Prod.!D472</f>
        <v>0</v>
      </c>
      <c r="Z839" s="469">
        <f>Prod.!E472</f>
        <v>0</v>
      </c>
      <c r="AA839" s="282">
        <f>Prod.!F472</f>
        <v>0</v>
      </c>
      <c r="AB839" s="282">
        <f>Prod.!G472</f>
        <v>0</v>
      </c>
      <c r="AC839" s="836">
        <f>Prod.!H472</f>
        <v>0</v>
      </c>
      <c r="AD839" s="282">
        <f>Prod.!AB472</f>
        <v>0</v>
      </c>
      <c r="AE839" s="282">
        <f>AD839-AF839</f>
        <v>0</v>
      </c>
      <c r="AF839" s="282">
        <f>Prod.!AA472</f>
        <v>0</v>
      </c>
    </row>
    <row r="840" spans="1:32" ht="15" customHeight="1">
      <c r="A840" s="1435">
        <v>2</v>
      </c>
      <c r="B840" s="818">
        <f>W841</f>
        <v>0</v>
      </c>
      <c r="C840" s="819" t="s">
        <v>765</v>
      </c>
      <c r="D840" s="822"/>
      <c r="E840" s="822"/>
      <c r="F840" s="821">
        <f ca="1">F841 + (RAND() * 0.02 - 0.01)</f>
        <v>7.8416779608352968E-3</v>
      </c>
      <c r="G840" s="821">
        <f ca="1">G841 + (RAND() * 0.06 - 0.03)</f>
        <v>0.52383179369103716</v>
      </c>
      <c r="H840" s="822">
        <f ca="1">H841 + (RAND() * 0.006 - 0.003)</f>
        <v>-1.0218364040466819E-3</v>
      </c>
      <c r="I840" s="822">
        <f ca="1">I841 + (RAND() * 0.006 - 0.003)</f>
        <v>2.7178042726657484E-3</v>
      </c>
      <c r="J840" s="821">
        <f ca="1">J841 + (RAND() * 0.02 - 0.01)</f>
        <v>-3.5688026584917163E-3</v>
      </c>
      <c r="K840" s="821"/>
      <c r="L840" s="822"/>
      <c r="M840" s="821"/>
      <c r="N840" s="823"/>
      <c r="O840" s="823"/>
      <c r="P840" s="823"/>
      <c r="Q840" s="823"/>
      <c r="R840" s="837"/>
      <c r="S840" s="821"/>
      <c r="T840" s="838"/>
      <c r="U840" s="825"/>
      <c r="V840" s="826"/>
    </row>
    <row r="841" spans="1:32" ht="15" customHeight="1">
      <c r="A841" s="1435"/>
      <c r="B841" s="827">
        <f>B840</f>
        <v>0</v>
      </c>
      <c r="C841" s="828" t="s">
        <v>768</v>
      </c>
      <c r="D841" s="829" t="str">
        <f>IF(AC841=130, "130 × 130", IF(AC841=160, "160 × 160", IF(AC841=110, "110 × 110", "Value not 130, 160, or 110")))</f>
        <v>Value not 130, 160, or 110</v>
      </c>
      <c r="E841" s="830">
        <f>AD841</f>
        <v>0</v>
      </c>
      <c r="F841" s="831">
        <f ca="1">IF(X841 &gt; 0.1, RAND() * (0.1 - 0.06) + 0.06, X841)</f>
        <v>0</v>
      </c>
      <c r="G841" s="831">
        <f ca="1">IF(Y841 &lt; 0.5, 0.5 + RAND() * 0.1, Y841)</f>
        <v>0.54706699633684941</v>
      </c>
      <c r="H841" s="830">
        <f ca="1">IF(AB841&gt;0.04, 0.029 + (0.039-0.029)*RAND(), AB841)</f>
        <v>0</v>
      </c>
      <c r="I841" s="830">
        <f ca="1">IF(AA841&gt;0.04, 0.029 + (0.039-0.029)*RAND(), AA841)</f>
        <v>0</v>
      </c>
      <c r="J841" s="831">
        <f ca="1">IF(Z841&gt;0.15, 0.11 + (0.15-0.11) * RAND(), Z841)</f>
        <v>0</v>
      </c>
      <c r="K841" s="830">
        <f ca="1">0.004 + (RAND() * (0.001 - 0.004))</f>
        <v>3.5386532195434534E-3</v>
      </c>
      <c r="L841" s="830">
        <f ca="1">H841+I841</f>
        <v>0</v>
      </c>
      <c r="M841" s="831">
        <f ca="1">(G841/6)+F841</f>
        <v>9.117783272280823E-2</v>
      </c>
      <c r="N841" s="831">
        <f ca="1">2 + RAND()</f>
        <v>2.8649272685283194</v>
      </c>
      <c r="O841" s="831">
        <f ca="1">1 + RAND()</f>
        <v>1.3555139246116241</v>
      </c>
      <c r="P841" s="831">
        <f ca="1">2.98 + (RAND() * (3.03 - 2.98))</f>
        <v>3.0037007943670537</v>
      </c>
      <c r="Q841" s="832" t="str">
        <f ca="1">IF(D841="130 × 130", (130 + RANDBETWEEN(-1,1)) &amp; " × " &amp; (130 + RANDBETWEEN(-1,1)),
   IF(D841="160 × 160", (160 + RANDBETWEEN(-1,1)) &amp; " × " &amp; (160 + RANDBETWEEN(-1,1)),
   IF(D841="110 × 110", (110 + RANDBETWEEN(-1,1)) &amp; " × " &amp; (110 + RANDBETWEEN(-1,1)),
   "Value not matched")))</f>
        <v>Value not matched</v>
      </c>
      <c r="R841" s="833" t="s">
        <v>213</v>
      </c>
      <c r="S841" s="834" t="str">
        <f ca="1">IF(G841&lt;0.6, "IS 14650 CPS 10748/GR2", "IS 14650 CPS 10748/GR3")</f>
        <v>IS 14650 CPS 10748/GR2</v>
      </c>
      <c r="T841" s="831" t="s">
        <v>769</v>
      </c>
      <c r="U841" s="825"/>
      <c r="V841" s="826"/>
      <c r="W841" s="206">
        <f>Prod.!B473</f>
        <v>0</v>
      </c>
      <c r="X841" s="469">
        <f>Prod.!C473</f>
        <v>0</v>
      </c>
      <c r="Y841" s="469">
        <f>Prod.!D473</f>
        <v>0</v>
      </c>
      <c r="Z841" s="469">
        <f>Prod.!E473</f>
        <v>0</v>
      </c>
      <c r="AA841" s="282">
        <f>Prod.!F473</f>
        <v>0</v>
      </c>
      <c r="AB841" s="282">
        <f>Prod.!G473</f>
        <v>0</v>
      </c>
      <c r="AC841" s="836">
        <f>Prod.!H473</f>
        <v>0</v>
      </c>
      <c r="AD841" s="282">
        <f>Prod.!AB473</f>
        <v>0</v>
      </c>
      <c r="AE841" s="282">
        <f>AD841-AF841</f>
        <v>0</v>
      </c>
      <c r="AF841" s="282">
        <f>Prod.!AA473</f>
        <v>0</v>
      </c>
    </row>
    <row r="842" spans="1:32" ht="15" customHeight="1">
      <c r="A842" s="1435">
        <v>3</v>
      </c>
      <c r="B842" s="818">
        <f>W843</f>
        <v>0</v>
      </c>
      <c r="C842" s="819" t="s">
        <v>765</v>
      </c>
      <c r="D842" s="822"/>
      <c r="E842" s="822"/>
      <c r="F842" s="821">
        <f ca="1">F843 + (RAND() * 0.02 - 0.01)</f>
        <v>-2.7100830237926088E-3</v>
      </c>
      <c r="G842" s="821">
        <f ca="1">G843 + (RAND() * 0.06 - 0.03)</f>
        <v>0.55928965645255102</v>
      </c>
      <c r="H842" s="822">
        <f ca="1">H843 + (RAND() * 0.006 - 0.003)</f>
        <v>1.6048620533723979E-3</v>
      </c>
      <c r="I842" s="822">
        <f ca="1">I843 + (RAND() * 0.006 - 0.003)</f>
        <v>-2.3918486479966453E-4</v>
      </c>
      <c r="J842" s="821">
        <f ca="1">J843 + (RAND() * 0.02 - 0.01)</f>
        <v>-6.2059630049896833E-3</v>
      </c>
      <c r="K842" s="821"/>
      <c r="L842" s="822"/>
      <c r="M842" s="821"/>
      <c r="N842" s="823"/>
      <c r="O842" s="823"/>
      <c r="P842" s="823"/>
      <c r="Q842" s="823"/>
      <c r="R842" s="839"/>
      <c r="S842" s="821"/>
      <c r="T842" s="821"/>
      <c r="U842" s="825"/>
      <c r="V842" s="826"/>
    </row>
    <row r="843" spans="1:32" ht="15" customHeight="1">
      <c r="A843" s="1435"/>
      <c r="B843" s="827">
        <f>B842</f>
        <v>0</v>
      </c>
      <c r="C843" s="828" t="s">
        <v>768</v>
      </c>
      <c r="D843" s="829" t="str">
        <f>IF(AC843=130, "130 × 130", IF(AC843=160, "160 × 160", IF(AC843=110, "110 × 110", "Value not 130, 160, or 110")))</f>
        <v>Value not 130, 160, or 110</v>
      </c>
      <c r="E843" s="830">
        <f>AD843</f>
        <v>0</v>
      </c>
      <c r="F843" s="831">
        <f ca="1">IF(X843 &gt; 0.1, RAND() * (0.1 - 0.06) + 0.06, X843)</f>
        <v>0</v>
      </c>
      <c r="G843" s="831">
        <f ca="1">IF(Y843 &lt; 0.5, 0.5 + RAND() * 0.1, Y843)</f>
        <v>0.5815573252001538</v>
      </c>
      <c r="H843" s="830">
        <f ca="1">IF(AB843&gt;0.04, 0.029 + (0.039-0.029)*RAND(), AB843)</f>
        <v>0</v>
      </c>
      <c r="I843" s="830">
        <f ca="1">IF(AA843&gt;0.04, 0.029 + (0.039-0.029)*RAND(), AA843)</f>
        <v>0</v>
      </c>
      <c r="J843" s="831">
        <f ca="1">IF(Z843&gt;0.15, 0.11 + (0.15-0.11) * RAND(), Z843)</f>
        <v>0</v>
      </c>
      <c r="K843" s="830">
        <f ca="1">0.004 + (RAND() * (0.001 - 0.004))</f>
        <v>1.3968851675278879E-3</v>
      </c>
      <c r="L843" s="830">
        <f ca="1">H843+I843</f>
        <v>0</v>
      </c>
      <c r="M843" s="831">
        <f ca="1">(G843/6)+F843</f>
        <v>9.6926220866692295E-2</v>
      </c>
      <c r="N843" s="831">
        <f ca="1">2 + RAND()</f>
        <v>2.8745729797763908</v>
      </c>
      <c r="O843" s="831">
        <f ca="1">1 + RAND()</f>
        <v>1.4195379420306913</v>
      </c>
      <c r="P843" s="831">
        <f ca="1">2.98 + (RAND() * (3.03 - 2.98))</f>
        <v>3.0264848366414472</v>
      </c>
      <c r="Q843" s="832" t="str">
        <f ca="1">IF(D843="130 × 130", (130 + RANDBETWEEN(-1,1)) &amp; " × " &amp; (130 + RANDBETWEEN(-1,1)),
   IF(D843="160 × 160", (160 + RANDBETWEEN(-1,1)) &amp; " × " &amp; (160 + RANDBETWEEN(-1,1)),
   IF(D843="110 × 110", (110 + RANDBETWEEN(-1,1)) &amp; " × " &amp; (110 + RANDBETWEEN(-1,1)),
   "Value not matched")))</f>
        <v>Value not matched</v>
      </c>
      <c r="R843" s="833" t="s">
        <v>213</v>
      </c>
      <c r="S843" s="834" t="str">
        <f ca="1">IF(G843&lt;0.6, "IS 14650 CPS 10748/GR2", "IS 14650 CPS 10748/GR3")</f>
        <v>IS 14650 CPS 10748/GR2</v>
      </c>
      <c r="T843" s="831" t="s">
        <v>769</v>
      </c>
      <c r="U843" s="825"/>
      <c r="V843" s="826"/>
      <c r="W843" s="206">
        <f>Prod.!B474</f>
        <v>0</v>
      </c>
      <c r="X843" s="469">
        <f>Prod.!C474</f>
        <v>0</v>
      </c>
      <c r="Y843" s="469">
        <f>Prod.!D474</f>
        <v>0</v>
      </c>
      <c r="Z843" s="469">
        <f>Prod.!E474</f>
        <v>0</v>
      </c>
      <c r="AA843" s="282">
        <f>Prod.!F474</f>
        <v>0</v>
      </c>
      <c r="AB843" s="282">
        <f>Prod.!G474</f>
        <v>0</v>
      </c>
      <c r="AC843" s="836">
        <f>Prod.!H474</f>
        <v>0</v>
      </c>
      <c r="AD843" s="282">
        <f>Prod.!AB474</f>
        <v>0</v>
      </c>
      <c r="AE843" s="282">
        <f>AD843-AF843</f>
        <v>0</v>
      </c>
      <c r="AF843" s="282">
        <f>Prod.!AA474</f>
        <v>0</v>
      </c>
    </row>
    <row r="844" spans="1:32" ht="15" customHeight="1">
      <c r="A844" s="1435">
        <v>4</v>
      </c>
      <c r="B844" s="818">
        <f>W845</f>
        <v>0</v>
      </c>
      <c r="C844" s="819" t="s">
        <v>765</v>
      </c>
      <c r="D844" s="822"/>
      <c r="E844" s="822"/>
      <c r="F844" s="821">
        <f ca="1">F845 + (RAND() * 0.02 - 0.01)</f>
        <v>-5.0255846865550026E-3</v>
      </c>
      <c r="G844" s="821">
        <f ca="1">G845 + (RAND() * 0.06 - 0.03)</f>
        <v>0.60678248051409223</v>
      </c>
      <c r="H844" s="822">
        <f ca="1">H845 + (RAND() * 0.006 - 0.003)</f>
        <v>-3.2597781927802376E-4</v>
      </c>
      <c r="I844" s="822">
        <f ca="1">I845 + (RAND() * 0.006 - 0.003)</f>
        <v>4.6467772543213985E-4</v>
      </c>
      <c r="J844" s="821">
        <f ca="1">J845 + (RAND() * 0.02 - 0.01)</f>
        <v>-8.8049462988858077E-3</v>
      </c>
      <c r="K844" s="821"/>
      <c r="L844" s="822"/>
      <c r="M844" s="821"/>
      <c r="N844" s="823"/>
      <c r="O844" s="823"/>
      <c r="P844" s="823"/>
      <c r="Q844" s="823"/>
      <c r="R844" s="839"/>
      <c r="S844" s="821"/>
      <c r="T844" s="821"/>
      <c r="U844" s="825"/>
      <c r="V844" s="826"/>
    </row>
    <row r="845" spans="1:32" ht="15" customHeight="1">
      <c r="A845" s="1435"/>
      <c r="B845" s="827">
        <f>B844</f>
        <v>0</v>
      </c>
      <c r="C845" s="828" t="s">
        <v>768</v>
      </c>
      <c r="D845" s="829" t="str">
        <f>IF(AC845=130, "130 × 130", IF(AC845=160, "160 × 160", IF(AC845=110, "110 × 110", "Value not 130, 160, or 110")))</f>
        <v>Value not 130, 160, or 110</v>
      </c>
      <c r="E845" s="830">
        <f>AD845</f>
        <v>0</v>
      </c>
      <c r="F845" s="831">
        <f ca="1">IF(X845 &gt; 0.1, RAND() * (0.1 - 0.06) + 0.06, X845)</f>
        <v>0</v>
      </c>
      <c r="G845" s="831">
        <f ca="1">IF(Y845 &lt; 0.5, 0.5 + RAND() * 0.1, Y845)</f>
        <v>0.58976336228611836</v>
      </c>
      <c r="H845" s="830">
        <f ca="1">IF(AB845&gt;0.04, 0.029 + (0.039-0.029)*RAND(), AB845)</f>
        <v>0</v>
      </c>
      <c r="I845" s="830">
        <f ca="1">IF(AA845&gt;0.04, 0.029 + (0.039-0.029)*RAND(), AA845)</f>
        <v>0</v>
      </c>
      <c r="J845" s="831">
        <f ca="1">IF(Z845&gt;0.15, 0.11 + (0.15-0.11) * RAND(), Z845)</f>
        <v>0</v>
      </c>
      <c r="K845" s="830">
        <f ca="1">0.004 + (RAND() * (0.001 - 0.004))</f>
        <v>1.6913591192434978E-3</v>
      </c>
      <c r="L845" s="830">
        <f ca="1">H845+I845</f>
        <v>0</v>
      </c>
      <c r="M845" s="831">
        <f ca="1">(G845/6)+F845</f>
        <v>9.8293893714353056E-2</v>
      </c>
      <c r="N845" s="831">
        <f ca="1">2 + RAND()</f>
        <v>2.7115189164231586</v>
      </c>
      <c r="O845" s="831">
        <f ca="1">1 + RAND()</f>
        <v>1.9640779695893924</v>
      </c>
      <c r="P845" s="831">
        <f ca="1">2.98 + (RAND() * (3.03 - 2.98))</f>
        <v>3.0025418017582539</v>
      </c>
      <c r="Q845" s="832" t="str">
        <f ca="1">IF(D845="130 × 130", (130 + RANDBETWEEN(-1,1)) &amp; " × " &amp; (130 + RANDBETWEEN(-1,1)),
   IF(D845="160 × 160", (160 + RANDBETWEEN(-1,1)) &amp; " × " &amp; (160 + RANDBETWEEN(-1,1)),
   IF(D845="110 × 110", (110 + RANDBETWEEN(-1,1)) &amp; " × " &amp; (110 + RANDBETWEEN(-1,1)),
   "Value not matched")))</f>
        <v>Value not matched</v>
      </c>
      <c r="R845" s="833" t="s">
        <v>213</v>
      </c>
      <c r="S845" s="834" t="str">
        <f ca="1">IF(G845&lt;0.6, "IS 14650 CPS 10748/GR2", "IS 14650 CPS 10748/GR3")</f>
        <v>IS 14650 CPS 10748/GR2</v>
      </c>
      <c r="T845" s="831" t="s">
        <v>769</v>
      </c>
      <c r="U845" s="825"/>
      <c r="V845" s="826"/>
      <c r="W845" s="206">
        <f>Prod.!B475</f>
        <v>0</v>
      </c>
      <c r="X845" s="469">
        <f>Prod.!C475</f>
        <v>0</v>
      </c>
      <c r="Y845" s="469">
        <f>Prod.!D475</f>
        <v>0</v>
      </c>
      <c r="Z845" s="469">
        <f>Prod.!E475</f>
        <v>0</v>
      </c>
      <c r="AA845" s="282">
        <f>Prod.!F475</f>
        <v>0</v>
      </c>
      <c r="AB845" s="282">
        <f>Prod.!G475</f>
        <v>0</v>
      </c>
      <c r="AC845" s="836">
        <f>Prod.!H475</f>
        <v>0</v>
      </c>
      <c r="AD845" s="282">
        <f>Prod.!AB475</f>
        <v>0</v>
      </c>
      <c r="AE845" s="282">
        <f>AD845-AF845</f>
        <v>0</v>
      </c>
      <c r="AF845" s="282">
        <f>Prod.!AA475</f>
        <v>0</v>
      </c>
    </row>
    <row r="846" spans="1:32" ht="15" customHeight="1">
      <c r="A846" s="1435">
        <v>5</v>
      </c>
      <c r="B846" s="818">
        <f>W847</f>
        <v>0</v>
      </c>
      <c r="C846" s="819" t="s">
        <v>765</v>
      </c>
      <c r="D846" s="822"/>
      <c r="E846" s="822"/>
      <c r="F846" s="821">
        <f ca="1">F847 + (RAND() * 0.02 - 0.01)</f>
        <v>3.907693826162191E-4</v>
      </c>
      <c r="G846" s="821">
        <f ca="1">G847 + (RAND() * 0.06 - 0.03)</f>
        <v>0.5472319012306337</v>
      </c>
      <c r="H846" s="822">
        <f ca="1">H847 + (RAND() * 0.006 - 0.003)</f>
        <v>1.9380514721426901E-3</v>
      </c>
      <c r="I846" s="822">
        <f ca="1">I847 + (RAND() * 0.006 - 0.003)</f>
        <v>1.852214454610597E-3</v>
      </c>
      <c r="J846" s="821">
        <f ca="1">J847 + (RAND() * 0.02 - 0.01)</f>
        <v>-5.595154675627283E-3</v>
      </c>
      <c r="K846" s="821"/>
      <c r="L846" s="822"/>
      <c r="M846" s="821"/>
      <c r="N846" s="823"/>
      <c r="O846" s="823"/>
      <c r="P846" s="823"/>
      <c r="Q846" s="823"/>
      <c r="R846" s="839"/>
      <c r="S846" s="821"/>
      <c r="T846" s="821"/>
      <c r="U846" s="825"/>
      <c r="V846" s="826"/>
    </row>
    <row r="847" spans="1:32" ht="15" customHeight="1">
      <c r="A847" s="1435"/>
      <c r="B847" s="827">
        <f>B846</f>
        <v>0</v>
      </c>
      <c r="C847" s="828" t="s">
        <v>768</v>
      </c>
      <c r="D847" s="829" t="str">
        <f>IF(AC847=130, "130 × 130", IF(AC847=160, "160 × 160", IF(AC847=110, "110 × 110", "Value not 130, 160, or 110")))</f>
        <v>Value not 130, 160, or 110</v>
      </c>
      <c r="E847" s="830">
        <f>AD847</f>
        <v>0</v>
      </c>
      <c r="F847" s="831">
        <f ca="1">IF(X847 &gt; 0.1, RAND() * (0.1 - 0.06) + 0.06, X847)</f>
        <v>0</v>
      </c>
      <c r="G847" s="831">
        <f ca="1">IF(Y847 &lt; 0.5, 0.5 + RAND() * 0.1, Y847)</f>
        <v>0.56416845997649301</v>
      </c>
      <c r="H847" s="830">
        <f ca="1">IF(AB847&gt;0.04, 0.029 + (0.039-0.029)*RAND(), AB847)</f>
        <v>0</v>
      </c>
      <c r="I847" s="830">
        <f ca="1">IF(AA847&gt;0.04, 0.029 + (0.039-0.029)*RAND(), AA847)</f>
        <v>0</v>
      </c>
      <c r="J847" s="831">
        <f ca="1">IF(Z847&gt;0.15, 0.11 + (0.15-0.11) * RAND(), Z847)</f>
        <v>0</v>
      </c>
      <c r="K847" s="830">
        <f ca="1">0.004 + (RAND() * (0.001 - 0.004))</f>
        <v>3.4371445171634406E-3</v>
      </c>
      <c r="L847" s="830">
        <f ca="1">H847+I847</f>
        <v>0</v>
      </c>
      <c r="M847" s="831">
        <f ca="1">(G847/6)+F847</f>
        <v>9.402807666274883E-2</v>
      </c>
      <c r="N847" s="831">
        <f ca="1">2 + RAND()</f>
        <v>2.0326029013277283</v>
      </c>
      <c r="O847" s="831">
        <f ca="1">1 + RAND()</f>
        <v>1.9955640886384749</v>
      </c>
      <c r="P847" s="831">
        <f ca="1">2.98 + (RAND() * (3.03 - 2.98))</f>
        <v>2.9824775407202044</v>
      </c>
      <c r="Q847" s="832" t="str">
        <f ca="1">IF(D847="130 × 130", (130 + RANDBETWEEN(-1,1)) &amp; " × " &amp; (130 + RANDBETWEEN(-1,1)),
   IF(D847="160 × 160", (160 + RANDBETWEEN(-1,1)) &amp; " × " &amp; (160 + RANDBETWEEN(-1,1)),
   IF(D847="110 × 110", (110 + RANDBETWEEN(-1,1)) &amp; " × " &amp; (110 + RANDBETWEEN(-1,1)),
   "Value not matched")))</f>
        <v>Value not matched</v>
      </c>
      <c r="R847" s="833" t="s">
        <v>213</v>
      </c>
      <c r="S847" s="834" t="str">
        <f ca="1">IF(G847&lt;0.6, "IS 14650 CPS 10748/GR2", "IS 14650 CPS 10748/GR3")</f>
        <v>IS 14650 CPS 10748/GR2</v>
      </c>
      <c r="T847" s="831" t="s">
        <v>769</v>
      </c>
      <c r="U847" s="825"/>
      <c r="V847" s="826"/>
      <c r="W847" s="206">
        <f>Prod.!B476</f>
        <v>0</v>
      </c>
      <c r="X847" s="469">
        <f>Prod.!C476</f>
        <v>0</v>
      </c>
      <c r="Y847" s="469">
        <f>Prod.!D476</f>
        <v>0</v>
      </c>
      <c r="Z847" s="469">
        <f>Prod.!E476</f>
        <v>0</v>
      </c>
      <c r="AA847" s="282">
        <f>Prod.!F476</f>
        <v>0</v>
      </c>
      <c r="AB847" s="282">
        <f>Prod.!G476</f>
        <v>0</v>
      </c>
      <c r="AC847" s="836">
        <f>Prod.!H476</f>
        <v>0</v>
      </c>
      <c r="AD847" s="282">
        <f>Prod.!AB476</f>
        <v>0</v>
      </c>
      <c r="AE847" s="282">
        <f>AD847-AF847</f>
        <v>0</v>
      </c>
      <c r="AF847" s="282">
        <f>Prod.!AA476</f>
        <v>0</v>
      </c>
    </row>
    <row r="848" spans="1:32" ht="15" customHeight="1">
      <c r="A848" s="1435">
        <v>6</v>
      </c>
      <c r="B848" s="818">
        <f>W849</f>
        <v>0</v>
      </c>
      <c r="C848" s="819" t="s">
        <v>765</v>
      </c>
      <c r="D848" s="822"/>
      <c r="E848" s="822"/>
      <c r="F848" s="821">
        <f ca="1">F849 + (RAND() * 0.02 - 0.01)</f>
        <v>-7.4515193218502827E-4</v>
      </c>
      <c r="G848" s="821">
        <f ca="1">G849 + (RAND() * 0.06 - 0.03)</f>
        <v>0.52912549519267327</v>
      </c>
      <c r="H848" s="822">
        <f ca="1">H849 + (RAND() * 0.006 - 0.003)</f>
        <v>-1.8883590398643406E-3</v>
      </c>
      <c r="I848" s="822">
        <f ca="1">I849 + (RAND() * 0.006 - 0.003)</f>
        <v>-1.4978536213546933E-3</v>
      </c>
      <c r="J848" s="821">
        <f ca="1">J849 + (RAND() * 0.02 - 0.01)</f>
        <v>-6.2874467641927216E-3</v>
      </c>
      <c r="K848" s="821"/>
      <c r="L848" s="822"/>
      <c r="M848" s="821"/>
      <c r="N848" s="823"/>
      <c r="O848" s="823"/>
      <c r="P848" s="823"/>
      <c r="Q848" s="823"/>
      <c r="R848" s="839"/>
      <c r="S848" s="821"/>
      <c r="T848" s="821"/>
      <c r="U848" s="825"/>
      <c r="V848" s="826"/>
    </row>
    <row r="849" spans="1:32" ht="15" customHeight="1">
      <c r="A849" s="1435"/>
      <c r="B849" s="827">
        <f>B848</f>
        <v>0</v>
      </c>
      <c r="C849" s="828" t="s">
        <v>768</v>
      </c>
      <c r="D849" s="829" t="str">
        <f>IF(AC849=130, "130 × 130", IF(AC849=160, "160 × 160", IF(AC849=110, "110 × 110", "Value not 130, 160, or 110")))</f>
        <v>Value not 130, 160, or 110</v>
      </c>
      <c r="E849" s="830">
        <f>AD849</f>
        <v>0</v>
      </c>
      <c r="F849" s="831">
        <f ca="1">IF(X849 &gt; 0.1, RAND() * (0.1 - 0.06) + 0.06, X849)</f>
        <v>0</v>
      </c>
      <c r="G849" s="831">
        <f ca="1">IF(Y849 &lt; 0.5, 0.5 + RAND() * 0.1, Y849)</f>
        <v>0.54319441930258305</v>
      </c>
      <c r="H849" s="830">
        <f ca="1">IF(AB849&gt;0.04, 0.029 + (0.039-0.029)*RAND(), AB849)</f>
        <v>0</v>
      </c>
      <c r="I849" s="830">
        <f ca="1">IF(AA849&gt;0.04, 0.029 + (0.039-0.029)*RAND(), AA849)</f>
        <v>0</v>
      </c>
      <c r="J849" s="831">
        <f ca="1">IF(Z849&gt;0.15, 0.11 + (0.15-0.11) * RAND(), Z849)</f>
        <v>0</v>
      </c>
      <c r="K849" s="830">
        <f ca="1">0.004 + (RAND() * (0.001 - 0.004))</f>
        <v>3.8907471880744045E-3</v>
      </c>
      <c r="L849" s="830">
        <f ca="1">H849+I849</f>
        <v>0</v>
      </c>
      <c r="M849" s="831">
        <f ca="1">(G849/6)+F849</f>
        <v>9.0532403217097171E-2</v>
      </c>
      <c r="N849" s="831">
        <f ca="1">2 + RAND()</f>
        <v>2.505499559072633</v>
      </c>
      <c r="O849" s="831">
        <f ca="1">1 + RAND()</f>
        <v>1.2052821846142852</v>
      </c>
      <c r="P849" s="831">
        <f ca="1">2.98 + (RAND() * (3.03 - 2.98))</f>
        <v>2.9923467802392398</v>
      </c>
      <c r="Q849" s="832" t="str">
        <f ca="1">IF(D849="130 × 130", (130 + RANDBETWEEN(-1,1)) &amp; " × " &amp; (130 + RANDBETWEEN(-1,1)),
   IF(D849="160 × 160", (160 + RANDBETWEEN(-1,1)) &amp; " × " &amp; (160 + RANDBETWEEN(-1,1)),
   IF(D849="110 × 110", (110 + RANDBETWEEN(-1,1)) &amp; " × " &amp; (110 + RANDBETWEEN(-1,1)),
   "Value not matched")))</f>
        <v>Value not matched</v>
      </c>
      <c r="R849" s="833" t="s">
        <v>213</v>
      </c>
      <c r="S849" s="834" t="str">
        <f ca="1">IF(G849&lt;0.6, "IS 14650 CPS 10748/GR2", "IS 14650 CPS 10748/GR3")</f>
        <v>IS 14650 CPS 10748/GR2</v>
      </c>
      <c r="T849" s="831" t="s">
        <v>769</v>
      </c>
      <c r="U849" s="825"/>
      <c r="V849" s="826"/>
      <c r="W849" s="206">
        <f>Prod.!B477</f>
        <v>0</v>
      </c>
      <c r="X849" s="469">
        <f>Prod.!C477</f>
        <v>0</v>
      </c>
      <c r="Y849" s="469">
        <f>Prod.!D477</f>
        <v>0</v>
      </c>
      <c r="Z849" s="469">
        <f>Prod.!E477</f>
        <v>0</v>
      </c>
      <c r="AA849" s="282">
        <f>Prod.!F477</f>
        <v>0</v>
      </c>
      <c r="AB849" s="282">
        <f>Prod.!G477</f>
        <v>0</v>
      </c>
      <c r="AC849" s="836">
        <f>Prod.!H477</f>
        <v>0</v>
      </c>
      <c r="AD849" s="282">
        <f>Prod.!AB477</f>
        <v>0</v>
      </c>
      <c r="AE849" s="282">
        <f>AD849-AF849</f>
        <v>0</v>
      </c>
      <c r="AF849" s="282">
        <f>Prod.!AA477</f>
        <v>0</v>
      </c>
    </row>
    <row r="850" spans="1:32" ht="15" customHeight="1">
      <c r="A850" s="1435">
        <v>7</v>
      </c>
      <c r="B850" s="818">
        <f>W851</f>
        <v>0</v>
      </c>
      <c r="C850" s="819" t="s">
        <v>765</v>
      </c>
      <c r="D850" s="822"/>
      <c r="E850" s="822"/>
      <c r="F850" s="821">
        <f ca="1">F851 + (RAND() * 0.02 - 0.01)</f>
        <v>-5.6724884498085904E-3</v>
      </c>
      <c r="G850" s="821">
        <f ca="1">G851 + (RAND() * 0.06 - 0.03)</f>
        <v>0.5444869254629997</v>
      </c>
      <c r="H850" s="822">
        <f ca="1">H851 + (RAND() * 0.006 - 0.003)</f>
        <v>6.004386950609294E-4</v>
      </c>
      <c r="I850" s="822">
        <f ca="1">I851 + (RAND() * 0.006 - 0.003)</f>
        <v>5.6226886368344713E-4</v>
      </c>
      <c r="J850" s="821">
        <f ca="1">J851 + (RAND() * 0.02 - 0.01)</f>
        <v>1.3857492365043547E-3</v>
      </c>
      <c r="K850" s="821"/>
      <c r="L850" s="822"/>
      <c r="M850" s="821"/>
      <c r="N850" s="823"/>
      <c r="O850" s="823"/>
      <c r="P850" s="823"/>
      <c r="Q850" s="823"/>
      <c r="R850" s="839"/>
      <c r="S850" s="821"/>
      <c r="T850" s="821"/>
      <c r="U850" s="825"/>
      <c r="V850" s="826"/>
    </row>
    <row r="851" spans="1:32" ht="15" customHeight="1">
      <c r="A851" s="1435"/>
      <c r="B851" s="827">
        <f>B850</f>
        <v>0</v>
      </c>
      <c r="C851" s="828" t="s">
        <v>768</v>
      </c>
      <c r="D851" s="829" t="str">
        <f>IF(AC851=130, "130 × 130", IF(AC851=160, "160 × 160", IF(AC851=110, "110 × 110", "Value not 130, 160, or 110")))</f>
        <v>Value not 130, 160, or 110</v>
      </c>
      <c r="E851" s="830">
        <f>AD851</f>
        <v>0</v>
      </c>
      <c r="F851" s="831">
        <f ca="1">IF(X851 &gt; 0.1, RAND() * (0.1 - 0.06) + 0.06, X851)</f>
        <v>0</v>
      </c>
      <c r="G851" s="831">
        <f ca="1">IF(Y851 &lt; 0.5, 0.5 + RAND() * 0.1, Y851)</f>
        <v>0.56978919603689515</v>
      </c>
      <c r="H851" s="830">
        <f ca="1">IF(AB851&gt;0.04, 0.029 + (0.039-0.029)*RAND(), AB851)</f>
        <v>0</v>
      </c>
      <c r="I851" s="830">
        <f ca="1">IF(AA851&gt;0.04, 0.029 + (0.039-0.029)*RAND(), AA851)</f>
        <v>0</v>
      </c>
      <c r="J851" s="831">
        <f ca="1">IF(Z851&gt;0.15, 0.11 + (0.15-0.11) * RAND(), Z851)</f>
        <v>0</v>
      </c>
      <c r="K851" s="830">
        <f ca="1">0.004 + (RAND() * (0.001 - 0.004))</f>
        <v>3.6540161207472411E-3</v>
      </c>
      <c r="L851" s="830">
        <f ca="1">H851+I851</f>
        <v>0</v>
      </c>
      <c r="M851" s="831">
        <f ca="1">(G851/6)+F851</f>
        <v>9.4964866006149187E-2</v>
      </c>
      <c r="N851" s="831">
        <f ca="1">2 + RAND()</f>
        <v>2.2875366181085037</v>
      </c>
      <c r="O851" s="831">
        <f ca="1">1 + RAND()</f>
        <v>1.1561805467688562</v>
      </c>
      <c r="P851" s="831">
        <f ca="1">2.98 + (RAND() * (3.03 - 2.98))</f>
        <v>3.0039334142206844</v>
      </c>
      <c r="Q851" s="832" t="str">
        <f ca="1">IF(D851="130 × 130", (130 + RANDBETWEEN(-1,1)) &amp; " × " &amp; (130 + RANDBETWEEN(-1,1)),
   IF(D851="160 × 160", (160 + RANDBETWEEN(-1,1)) &amp; " × " &amp; (160 + RANDBETWEEN(-1,1)),
   IF(D851="110 × 110", (110 + RANDBETWEEN(-1,1)) &amp; " × " &amp; (110 + RANDBETWEEN(-1,1)),
   "Value not matched")))</f>
        <v>Value not matched</v>
      </c>
      <c r="R851" s="833" t="s">
        <v>213</v>
      </c>
      <c r="S851" s="834" t="str">
        <f ca="1">IF(G851&lt;0.6, "IS 14650 CPS 10748/GR2", "IS 14650 CPS 10748/GR3")</f>
        <v>IS 14650 CPS 10748/GR2</v>
      </c>
      <c r="T851" s="831" t="s">
        <v>769</v>
      </c>
      <c r="U851" s="825"/>
      <c r="V851" s="826"/>
      <c r="W851" s="206">
        <f>Prod.!B478</f>
        <v>0</v>
      </c>
      <c r="X851" s="469">
        <f>Prod.!C478</f>
        <v>0</v>
      </c>
      <c r="Y851" s="469">
        <f>Prod.!D478</f>
        <v>0</v>
      </c>
      <c r="Z851" s="469">
        <f>Prod.!E478</f>
        <v>0</v>
      </c>
      <c r="AA851" s="282">
        <f>Prod.!F478</f>
        <v>0</v>
      </c>
      <c r="AB851" s="282">
        <f>Prod.!G478</f>
        <v>0</v>
      </c>
      <c r="AC851" s="836">
        <f>Prod.!H478</f>
        <v>0</v>
      </c>
      <c r="AD851" s="282">
        <f>Prod.!AB478</f>
        <v>0</v>
      </c>
      <c r="AE851" s="282">
        <f>AD851-AF851</f>
        <v>0</v>
      </c>
      <c r="AF851" s="282">
        <f>Prod.!AA478</f>
        <v>0</v>
      </c>
    </row>
    <row r="852" spans="1:32" ht="15" customHeight="1">
      <c r="A852" s="1435">
        <v>8</v>
      </c>
      <c r="B852" s="818">
        <f>W853</f>
        <v>0</v>
      </c>
      <c r="C852" s="819" t="s">
        <v>765</v>
      </c>
      <c r="D852" s="822"/>
      <c r="E852" s="822"/>
      <c r="F852" s="821">
        <f ca="1">F853 + (RAND() * 0.02 - 0.01)</f>
        <v>4.4849253104910225E-4</v>
      </c>
      <c r="G852" s="821">
        <f ca="1">G853 + (RAND() * 0.06 - 0.03)</f>
        <v>0.52381165398142826</v>
      </c>
      <c r="H852" s="822">
        <f ca="1">H853 + (RAND() * 0.006 - 0.003)</f>
        <v>8.2664019565134887E-4</v>
      </c>
      <c r="I852" s="822">
        <f ca="1">I853 + (RAND() * 0.006 - 0.003)</f>
        <v>-2.8284060853606785E-3</v>
      </c>
      <c r="J852" s="821">
        <f ca="1">J853 + (RAND() * 0.02 - 0.01)</f>
        <v>-2.6094805853843495E-4</v>
      </c>
      <c r="K852" s="821"/>
      <c r="L852" s="822"/>
      <c r="M852" s="821"/>
      <c r="N852" s="823"/>
      <c r="O852" s="823"/>
      <c r="P852" s="823"/>
      <c r="Q852" s="823"/>
      <c r="R852" s="839"/>
      <c r="S852" s="821"/>
      <c r="T852" s="821"/>
      <c r="U852" s="825"/>
      <c r="V852" s="826"/>
    </row>
    <row r="853" spans="1:32" ht="15" customHeight="1">
      <c r="A853" s="1435"/>
      <c r="B853" s="827">
        <f>B852</f>
        <v>0</v>
      </c>
      <c r="C853" s="828" t="s">
        <v>768</v>
      </c>
      <c r="D853" s="829" t="str">
        <f>IF(AC853=130, "130 × 130", IF(AC853=160, "160 × 160", IF(AC853=110, "110 × 110", "Value not 130, 160, or 110")))</f>
        <v>Value not 130, 160, or 110</v>
      </c>
      <c r="E853" s="830">
        <f>AD853</f>
        <v>0</v>
      </c>
      <c r="F853" s="831">
        <f ca="1">IF(X853 &gt; 0.1, RAND() * (0.1 - 0.06) + 0.06, X853)</f>
        <v>0</v>
      </c>
      <c r="G853" s="831">
        <f ca="1">IF(Y853 &lt; 0.5, 0.5 + RAND() * 0.1, Y853)</f>
        <v>0.50162605325100429</v>
      </c>
      <c r="H853" s="830">
        <f ca="1">IF(AB853&gt;0.04, 0.029 + (0.039-0.029)*RAND(), AB853)</f>
        <v>0</v>
      </c>
      <c r="I853" s="830">
        <f ca="1">IF(AA853&gt;0.04, 0.029 + (0.039-0.029)*RAND(), AA853)</f>
        <v>0</v>
      </c>
      <c r="J853" s="831">
        <f ca="1">IF(Z853&gt;0.15, 0.11 + (0.15-0.11) * RAND(), Z853)</f>
        <v>0</v>
      </c>
      <c r="K853" s="830">
        <f ca="1">0.004 + (RAND() * (0.001 - 0.004))</f>
        <v>1.1220904699018393E-3</v>
      </c>
      <c r="L853" s="830">
        <f ca="1">H853+I853</f>
        <v>0</v>
      </c>
      <c r="M853" s="831">
        <f ca="1">(G853/6)+F853</f>
        <v>8.3604342208500715E-2</v>
      </c>
      <c r="N853" s="831">
        <f ca="1">2 + RAND()</f>
        <v>2.8836459940935657</v>
      </c>
      <c r="O853" s="831">
        <f ca="1">1 + RAND()</f>
        <v>1.1545508385119458</v>
      </c>
      <c r="P853" s="831">
        <f ca="1">2.98 + (RAND() * (3.03 - 2.98))</f>
        <v>3.0228454406595522</v>
      </c>
      <c r="Q853" s="832" t="str">
        <f ca="1">IF(D853="130 × 130", (130 + RANDBETWEEN(-1,1)) &amp; " × " &amp; (130 + RANDBETWEEN(-1,1)),
   IF(D853="160 × 160", (160 + RANDBETWEEN(-1,1)) &amp; " × " &amp; (160 + RANDBETWEEN(-1,1)),
   IF(D853="110 × 110", (110 + RANDBETWEEN(-1,1)) &amp; " × " &amp; (110 + RANDBETWEEN(-1,1)),
   "Value not matched")))</f>
        <v>Value not matched</v>
      </c>
      <c r="R853" s="833" t="s">
        <v>213</v>
      </c>
      <c r="S853" s="834" t="str">
        <f ca="1">IF(G853&lt;0.6, "IS 14650 CPS 10748/GR2", "IS 14650 CPS 10748/GR3")</f>
        <v>IS 14650 CPS 10748/GR2</v>
      </c>
      <c r="T853" s="831" t="s">
        <v>769</v>
      </c>
      <c r="U853" s="825"/>
      <c r="V853" s="826"/>
      <c r="W853" s="206">
        <f>Prod.!B479</f>
        <v>0</v>
      </c>
      <c r="X853" s="469">
        <f>Prod.!C479</f>
        <v>0</v>
      </c>
      <c r="Y853" s="469">
        <f>Prod.!D479</f>
        <v>0</v>
      </c>
      <c r="Z853" s="469">
        <f>Prod.!E479</f>
        <v>0</v>
      </c>
      <c r="AA853" s="282">
        <f>Prod.!F479</f>
        <v>0</v>
      </c>
      <c r="AB853" s="282">
        <f>Prod.!G479</f>
        <v>0</v>
      </c>
      <c r="AC853" s="836">
        <f>Prod.!H479</f>
        <v>0</v>
      </c>
      <c r="AD853" s="282">
        <f>Prod.!AB479</f>
        <v>0</v>
      </c>
      <c r="AE853" s="282">
        <f>AD853-AF853</f>
        <v>0</v>
      </c>
      <c r="AF853" s="282">
        <f>Prod.!AA479</f>
        <v>0</v>
      </c>
    </row>
    <row r="854" spans="1:32" ht="15" customHeight="1">
      <c r="A854" s="1435">
        <v>9</v>
      </c>
      <c r="B854" s="818">
        <f>W855</f>
        <v>0</v>
      </c>
      <c r="C854" s="819" t="s">
        <v>765</v>
      </c>
      <c r="D854" s="822"/>
      <c r="E854" s="822"/>
      <c r="F854" s="821">
        <f ca="1">F855 + (RAND() * 0.02 - 0.01)</f>
        <v>-3.0433993128331747E-3</v>
      </c>
      <c r="G854" s="821">
        <f ca="1">G855 + (RAND() * 0.06 - 0.03)</f>
        <v>0.49790123441173778</v>
      </c>
      <c r="H854" s="822">
        <f ca="1">H855 + (RAND() * 0.006 - 0.003)</f>
        <v>7.3570518064317589E-4</v>
      </c>
      <c r="I854" s="822">
        <f ca="1">I855 + (RAND() * 0.006 - 0.003)</f>
        <v>2.4748603040115665E-3</v>
      </c>
      <c r="J854" s="821">
        <f ca="1">J855 + (RAND() * 0.02 - 0.01)</f>
        <v>-1.1960800951428714E-3</v>
      </c>
      <c r="K854" s="821"/>
      <c r="L854" s="822"/>
      <c r="M854" s="821"/>
      <c r="N854" s="823"/>
      <c r="O854" s="823"/>
      <c r="P854" s="823"/>
      <c r="Q854" s="823"/>
      <c r="R854" s="839"/>
      <c r="S854" s="821"/>
      <c r="T854" s="821"/>
      <c r="U854" s="825"/>
      <c r="V854" s="826"/>
    </row>
    <row r="855" spans="1:32" ht="15" customHeight="1">
      <c r="A855" s="1435"/>
      <c r="B855" s="827">
        <f>B854</f>
        <v>0</v>
      </c>
      <c r="C855" s="828" t="s">
        <v>768</v>
      </c>
      <c r="D855" s="829" t="str">
        <f>IF(AC855=130, "130 × 130", IF(AC855=160, "160 × 160", IF(AC855=110, "110 × 110", "Value not 130, 160, or 110")))</f>
        <v>Value not 130, 160, or 110</v>
      </c>
      <c r="E855" s="830">
        <f>AD855</f>
        <v>0</v>
      </c>
      <c r="F855" s="831">
        <f ca="1">IF(X855 &gt; 0.1, RAND() * (0.1 - 0.06) + 0.06, X855)</f>
        <v>0</v>
      </c>
      <c r="G855" s="831">
        <f ca="1">IF(Y855 &lt; 0.5, 0.5 + RAND() * 0.1, Y855)</f>
        <v>0.51027048843722422</v>
      </c>
      <c r="H855" s="830">
        <f ca="1">IF(AB855&gt;0.04, 0.029 + (0.039-0.029)*RAND(), AB855)</f>
        <v>0</v>
      </c>
      <c r="I855" s="830">
        <f ca="1">IF(AA855&gt;0.04, 0.029 + (0.039-0.029)*RAND(), AA855)</f>
        <v>0</v>
      </c>
      <c r="J855" s="831">
        <f ca="1">IF(Z855&gt;0.15, 0.11 + (0.15-0.11) * RAND(), Z855)</f>
        <v>0</v>
      </c>
      <c r="K855" s="830">
        <f ca="1">0.004 + (RAND() * (0.001 - 0.004))</f>
        <v>3.5409142463457416E-3</v>
      </c>
      <c r="L855" s="830">
        <f ca="1">H855+I855</f>
        <v>0</v>
      </c>
      <c r="M855" s="831">
        <f ca="1">(G855/6)+F855</f>
        <v>8.5045081406204037E-2</v>
      </c>
      <c r="N855" s="831">
        <f ca="1">2 + RAND()</f>
        <v>2.2582687502306436</v>
      </c>
      <c r="O855" s="831">
        <f ca="1">1 + RAND()</f>
        <v>1.9765155938912358</v>
      </c>
      <c r="P855" s="831">
        <f ca="1">2.98 + (RAND() * (3.03 - 2.98))</f>
        <v>2.9969399240954151</v>
      </c>
      <c r="Q855" s="832" t="str">
        <f ca="1">IF(D855="130 × 130", (130 + RANDBETWEEN(-1,1)) &amp; " × " &amp; (130 + RANDBETWEEN(-1,1)),
   IF(D855="160 × 160", (160 + RANDBETWEEN(-1,1)) &amp; " × " &amp; (160 + RANDBETWEEN(-1,1)),
   IF(D855="110 × 110", (110 + RANDBETWEEN(-1,1)) &amp; " × " &amp; (110 + RANDBETWEEN(-1,1)),
   "Value not matched")))</f>
        <v>Value not matched</v>
      </c>
      <c r="R855" s="833" t="s">
        <v>213</v>
      </c>
      <c r="S855" s="834" t="str">
        <f ca="1">IF(G855&lt;0.6, "IS 14650 CPS 10748/GR2", "IS 14650 CPS 10748/GR3")</f>
        <v>IS 14650 CPS 10748/GR2</v>
      </c>
      <c r="T855" s="831" t="s">
        <v>769</v>
      </c>
      <c r="U855" s="825"/>
      <c r="V855" s="826"/>
      <c r="W855" s="206">
        <f>Prod.!B480</f>
        <v>0</v>
      </c>
      <c r="X855" s="469">
        <f>Prod.!C480</f>
        <v>0</v>
      </c>
      <c r="Y855" s="469">
        <f>Prod.!D480</f>
        <v>0</v>
      </c>
      <c r="Z855" s="469">
        <f>Prod.!E480</f>
        <v>0</v>
      </c>
      <c r="AA855" s="282">
        <f>Prod.!F480</f>
        <v>0</v>
      </c>
      <c r="AB855" s="282">
        <f>Prod.!G480</f>
        <v>0</v>
      </c>
      <c r="AC855" s="836">
        <f>Prod.!H480</f>
        <v>0</v>
      </c>
      <c r="AD855" s="282">
        <f>Prod.!AB480</f>
        <v>0</v>
      </c>
      <c r="AE855" s="282">
        <f>AD855-AF855</f>
        <v>0</v>
      </c>
      <c r="AF855" s="282">
        <f>Prod.!AA480</f>
        <v>0</v>
      </c>
    </row>
    <row r="856" spans="1:32" ht="15" customHeight="1">
      <c r="A856" s="1435">
        <v>10</v>
      </c>
      <c r="B856" s="818">
        <f>W857</f>
        <v>0</v>
      </c>
      <c r="C856" s="819" t="s">
        <v>765</v>
      </c>
      <c r="D856" s="822"/>
      <c r="E856" s="822"/>
      <c r="F856" s="821">
        <f ca="1">F857 + (RAND() * 0.02 - 0.01)</f>
        <v>-5.996077605657877E-4</v>
      </c>
      <c r="G856" s="821">
        <f ca="1">G857 + (RAND() * 0.06 - 0.03)</f>
        <v>0.58071244438744651</v>
      </c>
      <c r="H856" s="822">
        <f ca="1">H857 + (RAND() * 0.006 - 0.003)</f>
        <v>-1.2447805748706338E-3</v>
      </c>
      <c r="I856" s="822">
        <f ca="1">I857 + (RAND() * 0.006 - 0.003)</f>
        <v>-2.4763900859638491E-4</v>
      </c>
      <c r="J856" s="821">
        <f ca="1">J857 + (RAND() * 0.02 - 0.01)</f>
        <v>6.7978263502992079E-3</v>
      </c>
      <c r="K856" s="821"/>
      <c r="L856" s="822"/>
      <c r="M856" s="821"/>
      <c r="N856" s="823"/>
      <c r="O856" s="823"/>
      <c r="P856" s="823"/>
      <c r="Q856" s="823"/>
      <c r="R856" s="839"/>
      <c r="S856" s="821"/>
      <c r="T856" s="821"/>
      <c r="U856" s="825"/>
      <c r="V856" s="826"/>
    </row>
    <row r="857" spans="1:32" ht="15" customHeight="1">
      <c r="A857" s="1435"/>
      <c r="B857" s="827">
        <f>B856</f>
        <v>0</v>
      </c>
      <c r="C857" s="828" t="s">
        <v>768</v>
      </c>
      <c r="D857" s="829" t="str">
        <f>IF(AC857=130, "130 × 130", IF(AC857=160, "160 × 160", IF(AC857=110, "110 × 110", "Value not 130, 160, or 110")))</f>
        <v>Value not 130, 160, or 110</v>
      </c>
      <c r="E857" s="830">
        <f>AD857</f>
        <v>0</v>
      </c>
      <c r="F857" s="831">
        <f ca="1">IF(X857 &gt; 0.1, RAND() * (0.1 - 0.06) + 0.06, X857)</f>
        <v>0</v>
      </c>
      <c r="G857" s="831">
        <f ca="1">IF(Y857 &lt; 0.5, 0.5 + RAND() * 0.1, Y857)</f>
        <v>0.58179554772531195</v>
      </c>
      <c r="H857" s="830">
        <f ca="1">IF(AB857&gt;0.04, 0.029 + (0.039-0.029)*RAND(), AB857)</f>
        <v>0</v>
      </c>
      <c r="I857" s="830">
        <f ca="1">IF(AA857&gt;0.04, 0.029 + (0.039-0.029)*RAND(), AA857)</f>
        <v>0</v>
      </c>
      <c r="J857" s="831">
        <f ca="1">IF(Z857&gt;0.15, 0.11 + (0.15-0.11) * RAND(), Z857)</f>
        <v>0</v>
      </c>
      <c r="K857" s="830">
        <f ca="1">0.004 + (RAND() * (0.001 - 0.004))</f>
        <v>1.7057118897987147E-3</v>
      </c>
      <c r="L857" s="830">
        <f ca="1">H857+I857</f>
        <v>0</v>
      </c>
      <c r="M857" s="831">
        <f ca="1">(G857/6)+F857</f>
        <v>9.6965924620885324E-2</v>
      </c>
      <c r="N857" s="831">
        <f ca="1">2 + RAND()</f>
        <v>2.8184735796848903</v>
      </c>
      <c r="O857" s="831">
        <f ca="1">1 + RAND()</f>
        <v>1.5084967530682698</v>
      </c>
      <c r="P857" s="831">
        <f ca="1">2.98 + (RAND() * (3.03 - 2.98))</f>
        <v>3.0124350867597518</v>
      </c>
      <c r="Q857" s="832" t="str">
        <f ca="1">IF(D857="130 × 130", (130 + RANDBETWEEN(-1,1)) &amp; " × " &amp; (130 + RANDBETWEEN(-1,1)),
   IF(D857="160 × 160", (160 + RANDBETWEEN(-1,1)) &amp; " × " &amp; (160 + RANDBETWEEN(-1,1)),
   IF(D857="110 × 110", (110 + RANDBETWEEN(-1,1)) &amp; " × " &amp; (110 + RANDBETWEEN(-1,1)),
   "Value not matched")))</f>
        <v>Value not matched</v>
      </c>
      <c r="R857" s="833" t="s">
        <v>213</v>
      </c>
      <c r="S857" s="834" t="str">
        <f ca="1">IF(G857&lt;0.6, "IS 14650 CPS 10748/GR2", "IS 14650 CPS 10748/GR3")</f>
        <v>IS 14650 CPS 10748/GR2</v>
      </c>
      <c r="T857" s="831" t="s">
        <v>769</v>
      </c>
      <c r="U857" s="825"/>
      <c r="V857" s="826"/>
      <c r="W857" s="206">
        <f>Prod.!B481</f>
        <v>0</v>
      </c>
      <c r="X857" s="469">
        <f>Prod.!C481</f>
        <v>0</v>
      </c>
      <c r="Y857" s="469">
        <f>Prod.!D481</f>
        <v>0</v>
      </c>
      <c r="Z857" s="469">
        <f>Prod.!E481</f>
        <v>0</v>
      </c>
      <c r="AA857" s="282">
        <f>Prod.!F481</f>
        <v>0</v>
      </c>
      <c r="AB857" s="282">
        <f>Prod.!G481</f>
        <v>0</v>
      </c>
      <c r="AC857" s="836">
        <f>Prod.!H481</f>
        <v>0</v>
      </c>
      <c r="AD857" s="282">
        <f>Prod.!AB481</f>
        <v>0</v>
      </c>
      <c r="AE857" s="282">
        <f>AD857-AF857</f>
        <v>0</v>
      </c>
      <c r="AF857" s="282">
        <f>Prod.!AA481</f>
        <v>0</v>
      </c>
    </row>
    <row r="858" spans="1:32" ht="15" customHeight="1">
      <c r="A858" s="1435">
        <v>11</v>
      </c>
      <c r="B858" s="818">
        <f>W859</f>
        <v>0</v>
      </c>
      <c r="C858" s="819" t="s">
        <v>765</v>
      </c>
      <c r="D858" s="822"/>
      <c r="E858" s="822"/>
      <c r="F858" s="821">
        <f ca="1">F859 + (RAND() * 0.02 - 0.01)</f>
        <v>9.7843367607051025E-3</v>
      </c>
      <c r="G858" s="821">
        <f ca="1">G859 + (RAND() * 0.06 - 0.03)</f>
        <v>0.59459605470408694</v>
      </c>
      <c r="H858" s="822">
        <f ca="1">H859 + (RAND() * 0.006 - 0.003)</f>
        <v>-1.3912502458573841E-3</v>
      </c>
      <c r="I858" s="822">
        <f ca="1">I859 + (RAND() * 0.006 - 0.003)</f>
        <v>-2.731514539076863E-3</v>
      </c>
      <c r="J858" s="821">
        <f ca="1">J859 + (RAND() * 0.02 - 0.01)</f>
        <v>-6.9543947258211827E-3</v>
      </c>
      <c r="K858" s="821"/>
      <c r="L858" s="822"/>
      <c r="M858" s="821"/>
      <c r="N858" s="823"/>
      <c r="O858" s="823"/>
      <c r="P858" s="823"/>
      <c r="Q858" s="823"/>
      <c r="R858" s="839"/>
      <c r="S858" s="821"/>
      <c r="T858" s="821"/>
      <c r="U858" s="825"/>
      <c r="V858" s="826"/>
    </row>
    <row r="859" spans="1:32" ht="15" customHeight="1">
      <c r="A859" s="1435"/>
      <c r="B859" s="827">
        <f>B858</f>
        <v>0</v>
      </c>
      <c r="C859" s="828" t="s">
        <v>768</v>
      </c>
      <c r="D859" s="829" t="str">
        <f>IF(AC859=130, "130 × 130", IF(AC859=160, "160 × 160", IF(AC859=110, "110 × 110", "Value not 130, 160, or 110")))</f>
        <v>Value not 130, 160, or 110</v>
      </c>
      <c r="E859" s="830">
        <f>AD859</f>
        <v>0</v>
      </c>
      <c r="F859" s="831">
        <f ca="1">IF(X859 &gt; 0.1, RAND() * (0.1 - 0.06) + 0.06, X859)</f>
        <v>0</v>
      </c>
      <c r="G859" s="831">
        <f ca="1">IF(Y859 &lt; 0.5, 0.5 + RAND() * 0.1, Y859)</f>
        <v>0.57505188635598858</v>
      </c>
      <c r="H859" s="830">
        <f ca="1">IF(AB859&gt;0.04, 0.029 + (0.039-0.029)*RAND(), AB859)</f>
        <v>0</v>
      </c>
      <c r="I859" s="830">
        <f ca="1">IF(AA859&gt;0.04, 0.029 + (0.039-0.029)*RAND(), AA859)</f>
        <v>0</v>
      </c>
      <c r="J859" s="831">
        <f ca="1">IF(Z859&gt;0.15, 0.11 + (0.15-0.11) * RAND(), Z859)</f>
        <v>0</v>
      </c>
      <c r="K859" s="830">
        <f ca="1">0.004 + (RAND() * (0.001 - 0.004))</f>
        <v>3.588887058196477E-3</v>
      </c>
      <c r="L859" s="830">
        <f ca="1">H859+I859</f>
        <v>0</v>
      </c>
      <c r="M859" s="831">
        <f ca="1">(G859/6)+F859</f>
        <v>9.5841981059331435E-2</v>
      </c>
      <c r="N859" s="831">
        <f ca="1">2 + RAND()</f>
        <v>2.413385222647765</v>
      </c>
      <c r="O859" s="831">
        <f ca="1">1 + RAND()</f>
        <v>1.1172123531749061</v>
      </c>
      <c r="P859" s="831">
        <f ca="1">2.98 + (RAND() * (3.03 - 2.98))</f>
        <v>3.0082230934855136</v>
      </c>
      <c r="Q859" s="832" t="str">
        <f ca="1">IF(D859="130 × 130", (130 + RANDBETWEEN(-1,1)) &amp; " × " &amp; (130 + RANDBETWEEN(-1,1)),
   IF(D859="160 × 160", (160 + RANDBETWEEN(-1,1)) &amp; " × " &amp; (160 + RANDBETWEEN(-1,1)),
   IF(D859="110 × 110", (110 + RANDBETWEEN(-1,1)) &amp; " × " &amp; (110 + RANDBETWEEN(-1,1)),
   "Value not matched")))</f>
        <v>Value not matched</v>
      </c>
      <c r="R859" s="833" t="s">
        <v>213</v>
      </c>
      <c r="S859" s="834" t="str">
        <f ca="1">IF(G859&lt;0.6, "IS 14650 CPS 10748/GR2", "IS 14650 CPS 10748/GR3")</f>
        <v>IS 14650 CPS 10748/GR2</v>
      </c>
      <c r="T859" s="831" t="s">
        <v>769</v>
      </c>
      <c r="U859" s="825"/>
      <c r="V859" s="826"/>
      <c r="W859" s="206">
        <f>Prod.!B482</f>
        <v>0</v>
      </c>
      <c r="X859" s="469">
        <f>Prod.!C482</f>
        <v>0</v>
      </c>
      <c r="Y859" s="469">
        <f>Prod.!D482</f>
        <v>0</v>
      </c>
      <c r="Z859" s="469">
        <f>Prod.!E482</f>
        <v>0</v>
      </c>
      <c r="AA859" s="282">
        <f>Prod.!F482</f>
        <v>0</v>
      </c>
      <c r="AB859" s="282">
        <f>Prod.!G482</f>
        <v>0</v>
      </c>
      <c r="AC859" s="836">
        <f>Prod.!H482</f>
        <v>0</v>
      </c>
      <c r="AD859" s="282">
        <f>Prod.!AB482</f>
        <v>0</v>
      </c>
      <c r="AE859" s="282">
        <f>AD859-AF859</f>
        <v>0</v>
      </c>
      <c r="AF859" s="282">
        <f>Prod.!AA482</f>
        <v>0</v>
      </c>
    </row>
    <row r="860" spans="1:32" ht="15" customHeight="1">
      <c r="A860" s="1435">
        <v>12</v>
      </c>
      <c r="B860" s="818">
        <f>W861</f>
        <v>0</v>
      </c>
      <c r="C860" s="819" t="s">
        <v>765</v>
      </c>
      <c r="D860" s="822"/>
      <c r="E860" s="822"/>
      <c r="F860" s="821">
        <f ca="1">F861 + (RAND() * 0.02 - 0.01)</f>
        <v>5.2470200015333601E-3</v>
      </c>
      <c r="G860" s="821">
        <f ca="1">G861 + (RAND() * 0.06 - 0.03)</f>
        <v>0.59928119347826903</v>
      </c>
      <c r="H860" s="822">
        <f ca="1">H861 + (RAND() * 0.006 - 0.003)</f>
        <v>-1.6742528816603042E-3</v>
      </c>
      <c r="I860" s="822">
        <f ca="1">I861 + (RAND() * 0.006 - 0.003)</f>
        <v>1.5788610288162289E-3</v>
      </c>
      <c r="J860" s="821">
        <f ca="1">J861 + (RAND() * 0.02 - 0.01)</f>
        <v>-4.6260648601034165E-3</v>
      </c>
      <c r="K860" s="821"/>
      <c r="L860" s="822"/>
      <c r="M860" s="821"/>
      <c r="N860" s="823"/>
      <c r="O860" s="823"/>
      <c r="P860" s="823"/>
      <c r="Q860" s="823"/>
      <c r="R860" s="839"/>
      <c r="S860" s="821"/>
      <c r="T860" s="821"/>
      <c r="U860" s="825"/>
      <c r="V860" s="826"/>
    </row>
    <row r="861" spans="1:32" ht="15" customHeight="1">
      <c r="A861" s="1435"/>
      <c r="B861" s="827">
        <f>B860</f>
        <v>0</v>
      </c>
      <c r="C861" s="828" t="s">
        <v>768</v>
      </c>
      <c r="D861" s="829" t="str">
        <f>IF(AC861=130, "130 × 130", IF(AC861=160, "160 × 160", IF(AC861=110, "110 × 110", "Value not 130, 160, or 110")))</f>
        <v>Value not 130, 160, or 110</v>
      </c>
      <c r="E861" s="830">
        <f>AD861</f>
        <v>0</v>
      </c>
      <c r="F861" s="831">
        <f ca="1">IF(X861 &gt; 0.1, RAND() * (0.1 - 0.06) + 0.06, X861)</f>
        <v>0</v>
      </c>
      <c r="G861" s="831">
        <f ca="1">IF(Y861 &lt; 0.5, 0.5 + RAND() * 0.1, Y861)</f>
        <v>0.5865121893693338</v>
      </c>
      <c r="H861" s="830">
        <f ca="1">IF(AB861&gt;0.04, 0.029 + (0.039-0.029)*RAND(), AB861)</f>
        <v>0</v>
      </c>
      <c r="I861" s="830">
        <f ca="1">IF(AA861&gt;0.04, 0.029 + (0.039-0.029)*RAND(), AA861)</f>
        <v>0</v>
      </c>
      <c r="J861" s="831">
        <f ca="1">IF(Z861&gt;0.15, 0.11 + (0.15-0.11) * RAND(), Z861)</f>
        <v>0</v>
      </c>
      <c r="K861" s="830">
        <f ca="1">0.004 + (RAND() * (0.001 - 0.004))</f>
        <v>1.6041544136634446E-3</v>
      </c>
      <c r="L861" s="830">
        <f ca="1">H861+I861</f>
        <v>0</v>
      </c>
      <c r="M861" s="831">
        <f ca="1">(G861/6)+F861</f>
        <v>9.7752031561555638E-2</v>
      </c>
      <c r="N861" s="831">
        <f ca="1">2 + RAND()</f>
        <v>2.4810440623508563</v>
      </c>
      <c r="O861" s="831">
        <f ca="1">1 + RAND()</f>
        <v>1.3044012997297572</v>
      </c>
      <c r="P861" s="831">
        <f ca="1">2.98 + (RAND() * (3.03 - 2.98))</f>
        <v>2.9955235646471454</v>
      </c>
      <c r="Q861" s="832" t="str">
        <f ca="1">IF(D861="130 × 130", (130 + RANDBETWEEN(-1,1)) &amp; " × " &amp; (130 + RANDBETWEEN(-1,1)),
   IF(D861="160 × 160", (160 + RANDBETWEEN(-1,1)) &amp; " × " &amp; (160 + RANDBETWEEN(-1,1)),
   IF(D861="110 × 110", (110 + RANDBETWEEN(-1,1)) &amp; " × " &amp; (110 + RANDBETWEEN(-1,1)),
   "Value not matched")))</f>
        <v>Value not matched</v>
      </c>
      <c r="R861" s="833" t="s">
        <v>213</v>
      </c>
      <c r="S861" s="834" t="str">
        <f ca="1">IF(G861&lt;0.6, "IS 14650 CPS 10748/GR2", "IS 14650 CPS 10748/GR3")</f>
        <v>IS 14650 CPS 10748/GR2</v>
      </c>
      <c r="T861" s="831" t="s">
        <v>769</v>
      </c>
      <c r="U861" s="825"/>
      <c r="V861" s="826"/>
      <c r="W861" s="206">
        <f>Prod.!B483</f>
        <v>0</v>
      </c>
      <c r="X861" s="469">
        <f>Prod.!C483</f>
        <v>0</v>
      </c>
      <c r="Y861" s="469">
        <f>Prod.!D483</f>
        <v>0</v>
      </c>
      <c r="Z861" s="469">
        <f>Prod.!E483</f>
        <v>0</v>
      </c>
      <c r="AA861" s="282">
        <f>Prod.!F483</f>
        <v>0</v>
      </c>
      <c r="AB861" s="282">
        <f>Prod.!G483</f>
        <v>0</v>
      </c>
      <c r="AC861" s="836">
        <f>Prod.!H483</f>
        <v>0</v>
      </c>
      <c r="AD861" s="282">
        <f>Prod.!AB483</f>
        <v>0</v>
      </c>
      <c r="AE861" s="282">
        <f>AD861-AF861</f>
        <v>0</v>
      </c>
      <c r="AF861" s="282">
        <f>Prod.!AA483</f>
        <v>0</v>
      </c>
    </row>
    <row r="862" spans="1:32" ht="15" customHeight="1">
      <c r="A862" s="1435"/>
      <c r="B862" s="818"/>
      <c r="C862" s="819"/>
      <c r="D862" s="822"/>
      <c r="E862" s="822"/>
      <c r="F862" s="821"/>
      <c r="G862" s="821"/>
      <c r="H862" s="840"/>
      <c r="I862" s="840"/>
      <c r="J862" s="821"/>
      <c r="K862" s="821"/>
      <c r="L862" s="822"/>
      <c r="M862" s="838"/>
      <c r="N862" s="821"/>
      <c r="O862" s="821"/>
      <c r="P862" s="821"/>
      <c r="Q862" s="821"/>
      <c r="R862" s="839"/>
      <c r="S862" s="841"/>
      <c r="T862" s="821"/>
      <c r="U862" s="825"/>
      <c r="V862" s="826"/>
    </row>
    <row r="863" spans="1:32" ht="15" customHeight="1">
      <c r="A863" s="1435"/>
      <c r="B863" s="827"/>
      <c r="C863" s="828"/>
      <c r="D863" s="842"/>
      <c r="E863" s="830"/>
      <c r="F863" s="831"/>
      <c r="G863" s="831"/>
      <c r="H863" s="843"/>
      <c r="I863" s="843"/>
      <c r="J863" s="831"/>
      <c r="K863" s="831"/>
      <c r="L863" s="830"/>
      <c r="M863" s="831"/>
      <c r="N863" s="831"/>
      <c r="O863" s="831"/>
      <c r="P863" s="831"/>
      <c r="Q863" s="831"/>
      <c r="R863" s="833"/>
      <c r="S863" s="834"/>
      <c r="T863" s="831"/>
      <c r="U863" s="825"/>
      <c r="V863" s="826"/>
    </row>
    <row r="864" spans="1:32" ht="15" customHeight="1">
      <c r="A864" s="180"/>
      <c r="B864" s="180"/>
      <c r="C864" s="180" t="s">
        <v>770</v>
      </c>
      <c r="D864" s="395"/>
      <c r="E864" s="844">
        <f>SUM(E838:E861)</f>
        <v>0</v>
      </c>
      <c r="F864" s="180"/>
      <c r="G864" s="180"/>
      <c r="H864" s="844"/>
      <c r="I864" s="180"/>
      <c r="J864" s="845"/>
      <c r="K864" s="845"/>
      <c r="L864" s="180"/>
      <c r="M864" s="845"/>
      <c r="N864" s="180"/>
      <c r="O864" s="180"/>
      <c r="P864" s="180"/>
      <c r="Q864" s="180"/>
      <c r="R864" s="263"/>
      <c r="S864" s="180"/>
      <c r="T864" s="180"/>
    </row>
    <row r="865" spans="1:32" ht="28.5" customHeight="1">
      <c r="A865" s="1436" t="s">
        <v>746</v>
      </c>
      <c r="B865" s="1436"/>
      <c r="C865" s="1436"/>
      <c r="D865" s="1436"/>
      <c r="E865" s="1436"/>
      <c r="F865" s="1436"/>
      <c r="G865" s="1436"/>
      <c r="H865" s="1436"/>
      <c r="I865" s="1436"/>
      <c r="J865" s="1436"/>
      <c r="K865" s="1436"/>
      <c r="L865" s="1436"/>
      <c r="M865" s="1436"/>
      <c r="N865" s="1436"/>
      <c r="O865" s="1436"/>
      <c r="P865" s="1436"/>
      <c r="Q865" s="1436"/>
      <c r="R865" s="1436"/>
      <c r="S865" s="1436"/>
      <c r="T865" s="1436"/>
      <c r="U865" s="515"/>
      <c r="V865" s="846"/>
    </row>
    <row r="866" spans="1:32" ht="15" customHeight="1">
      <c r="A866" s="1437" t="s">
        <v>747</v>
      </c>
      <c r="B866" s="1437"/>
      <c r="C866" s="1437"/>
      <c r="D866" s="1437"/>
      <c r="E866" s="1437"/>
      <c r="F866" s="1437"/>
      <c r="G866" s="1437"/>
      <c r="H866" s="1437"/>
      <c r="I866" s="1437"/>
      <c r="J866" s="1437"/>
      <c r="K866" s="1437"/>
      <c r="L866" s="1437"/>
      <c r="M866" s="1437"/>
      <c r="N866" s="1437"/>
      <c r="O866" s="1437"/>
      <c r="P866" s="1437"/>
      <c r="Q866" s="1437"/>
      <c r="R866" s="1437"/>
      <c r="S866" s="1437"/>
      <c r="T866" s="1437"/>
      <c r="U866" s="806"/>
      <c r="V866" s="807"/>
    </row>
    <row r="867" spans="1:32" ht="15" customHeight="1">
      <c r="A867" s="1438" t="str">
        <f>"DATE OF MANUFACTURING : " &amp; TEXT(V871, "DD-MM-YYYY")</f>
        <v>DATE OF MANUFACTURING : 00-01-1900</v>
      </c>
      <c r="B867" s="1438"/>
      <c r="C867" s="1438"/>
      <c r="D867" s="1438"/>
      <c r="E867" s="1438"/>
      <c r="F867" s="1438"/>
      <c r="G867" s="1438"/>
      <c r="H867" s="1438"/>
      <c r="I867" s="1438"/>
      <c r="J867" s="1438"/>
      <c r="K867" s="1438"/>
      <c r="L867" s="1438"/>
      <c r="M867" s="1438"/>
      <c r="N867" s="1437" t="s">
        <v>748</v>
      </c>
      <c r="O867" s="1437"/>
      <c r="P867" s="1437"/>
      <c r="Q867" s="1437"/>
      <c r="R867" s="1437"/>
      <c r="S867" s="1437"/>
      <c r="T867" s="1437"/>
      <c r="U867" s="808"/>
      <c r="V867" s="809"/>
    </row>
    <row r="868" spans="1:32" ht="29.25" customHeight="1">
      <c r="A868" s="1439" t="s">
        <v>749</v>
      </c>
      <c r="B868" s="1440" t="s">
        <v>750</v>
      </c>
      <c r="C868" s="1440"/>
      <c r="D868" s="1440" t="s">
        <v>751</v>
      </c>
      <c r="E868" s="1441" t="s">
        <v>752</v>
      </c>
      <c r="F868" s="1442" t="s">
        <v>753</v>
      </c>
      <c r="G868" s="1442"/>
      <c r="H868" s="1442"/>
      <c r="I868" s="1442"/>
      <c r="J868" s="1442"/>
      <c r="K868" s="1442"/>
      <c r="L868" s="1442"/>
      <c r="M868" s="1442"/>
      <c r="N868" s="1442" t="s">
        <v>754</v>
      </c>
      <c r="O868" s="1442"/>
      <c r="P868" s="1442"/>
      <c r="Q868" s="1442"/>
      <c r="R868" s="1443" t="s">
        <v>771</v>
      </c>
      <c r="S868" s="1441" t="s">
        <v>756</v>
      </c>
      <c r="T868" s="1440" t="s">
        <v>104</v>
      </c>
      <c r="U868" s="810"/>
      <c r="V868" s="811"/>
    </row>
    <row r="869" spans="1:32" ht="42.75" customHeight="1">
      <c r="A869" s="1439"/>
      <c r="B869" s="1440"/>
      <c r="C869" s="1440"/>
      <c r="D869" s="1440"/>
      <c r="E869" s="1440"/>
      <c r="F869" s="812" t="s">
        <v>40</v>
      </c>
      <c r="G869" s="812" t="s">
        <v>757</v>
      </c>
      <c r="H869" s="813" t="s">
        <v>758</v>
      </c>
      <c r="I869" s="812" t="s">
        <v>43</v>
      </c>
      <c r="J869" s="812" t="s">
        <v>42</v>
      </c>
      <c r="K869" s="812" t="s">
        <v>759</v>
      </c>
      <c r="L869" s="812" t="s">
        <v>760</v>
      </c>
      <c r="M869" s="812" t="s">
        <v>761</v>
      </c>
      <c r="N869" s="814" t="s">
        <v>762</v>
      </c>
      <c r="O869" s="815" t="s">
        <v>772</v>
      </c>
      <c r="P869" s="816" t="s">
        <v>773</v>
      </c>
      <c r="Q869" s="817" t="s">
        <v>764</v>
      </c>
      <c r="R869" s="1443"/>
      <c r="S869" s="1443"/>
      <c r="T869" s="1443"/>
      <c r="U869" s="810"/>
      <c r="V869" s="811"/>
    </row>
    <row r="870" spans="1:32" ht="15" customHeight="1">
      <c r="A870" s="1435">
        <v>1</v>
      </c>
      <c r="B870" s="818">
        <f>W871</f>
        <v>0</v>
      </c>
      <c r="C870" s="819" t="s">
        <v>765</v>
      </c>
      <c r="D870" s="820"/>
      <c r="E870" s="821"/>
      <c r="F870" s="821">
        <f ca="1">F871 + (RAND() * 0.02 - 0.01)</f>
        <v>-8.4103537535555779E-3</v>
      </c>
      <c r="G870" s="821">
        <f ca="1">G871 + (RAND() * 0.06 - 0.03)</f>
        <v>0.56301698664141864</v>
      </c>
      <c r="H870" s="822">
        <f ca="1">H871 + (RAND() * 0.006 - 0.003)</f>
        <v>1.251602493427738E-3</v>
      </c>
      <c r="I870" s="822">
        <f ca="1">I871 + (RAND() * 0.006 - 0.003)</f>
        <v>-1.9127354120456082E-4</v>
      </c>
      <c r="J870" s="821">
        <f ca="1">J871 + (RAND() * 0.02 - 0.01)</f>
        <v>-6.0180887825267097E-3</v>
      </c>
      <c r="K870" s="821"/>
      <c r="L870" s="822"/>
      <c r="M870" s="821"/>
      <c r="N870" s="823"/>
      <c r="O870" s="823"/>
      <c r="P870" s="823"/>
      <c r="Q870" s="823"/>
      <c r="R870" s="824"/>
      <c r="S870" s="821"/>
      <c r="T870" s="821"/>
      <c r="U870" s="825"/>
      <c r="V870" s="826"/>
      <c r="AE870" t="s">
        <v>767</v>
      </c>
    </row>
    <row r="871" spans="1:32" ht="15" customHeight="1">
      <c r="A871" s="1435"/>
      <c r="B871" s="827">
        <f>B870</f>
        <v>0</v>
      </c>
      <c r="C871" s="828" t="s">
        <v>768</v>
      </c>
      <c r="D871" s="829" t="str">
        <f>IF(AC871=130, "130 × 130", IF(AC871=160, "160 × 160", IF(AC871=110, "110 × 110", "Value not 130, 160, or 110")))</f>
        <v>Value not 130, 160, or 110</v>
      </c>
      <c r="E871" s="830">
        <f>AD871</f>
        <v>0</v>
      </c>
      <c r="F871" s="831">
        <f ca="1">IF(X871 &gt; 0.1, RAND() * (0.1 - 0.06) + 0.06, X871)</f>
        <v>0</v>
      </c>
      <c r="G871" s="831">
        <f ca="1">IF(Y871 &lt; 0.5, 0.5 + RAND() * 0.1, Y871)</f>
        <v>0.58983945552815309</v>
      </c>
      <c r="H871" s="830">
        <f ca="1">IF(AB871&gt;0.04, 0.029 + (0.039-0.029)*RAND(), AB871)</f>
        <v>0</v>
      </c>
      <c r="I871" s="830">
        <f ca="1">IF(AA871&gt;0.04, 0.029 + (0.039-0.029)*RAND(), AA871)</f>
        <v>0</v>
      </c>
      <c r="J871" s="831">
        <f ca="1">IF(Z871&gt;0.15, 0.11 + (0.15-0.11) * RAND(), Z871)</f>
        <v>0</v>
      </c>
      <c r="K871" s="830">
        <f ca="1">0.004 + (RAND() * (0.001 - 0.004))</f>
        <v>3.9412790535239802E-3</v>
      </c>
      <c r="L871" s="830">
        <f ca="1">H871+I871</f>
        <v>0</v>
      </c>
      <c r="M871" s="831">
        <f ca="1">(G871/6)+F871</f>
        <v>9.8306575921358844E-2</v>
      </c>
      <c r="N871" s="831">
        <f ca="1">2 + RAND()</f>
        <v>2.5832880842873811</v>
      </c>
      <c r="O871" s="831">
        <f ca="1">1 + RAND()</f>
        <v>1.5778869488005713</v>
      </c>
      <c r="P871" s="831">
        <f ca="1">2.98 + (RAND() * (3.03 - 2.98))</f>
        <v>2.9822334072332817</v>
      </c>
      <c r="Q871" s="832" t="str">
        <f ca="1">IF(D871="130 × 130", (130 + RANDBETWEEN(-1,1)) &amp; " × " &amp; (130 + RANDBETWEEN(-1,1)),
   IF(D871="160 × 160", (160 + RANDBETWEEN(-1,1)) &amp; " × " &amp; (160 + RANDBETWEEN(-1,1)),
   IF(D871="110 × 110", (110 + RANDBETWEEN(-1,1)) &amp; " × " &amp; (110 + RANDBETWEEN(-1,1)),
   "Value not matched")))</f>
        <v>Value not matched</v>
      </c>
      <c r="R871" s="833" t="s">
        <v>213</v>
      </c>
      <c r="S871" s="834" t="str">
        <f ca="1">IF(G871&lt;0.6, "IS 14650 CPS 10748/GR2", "IS 14650 CPS 10748/GR3")</f>
        <v>IS 14650 CPS 10748/GR2</v>
      </c>
      <c r="T871" s="831" t="s">
        <v>769</v>
      </c>
      <c r="U871" s="825"/>
      <c r="V871" s="835">
        <f>Prod.!A490</f>
        <v>0</v>
      </c>
      <c r="W871" s="206">
        <f>Prod.!B490</f>
        <v>0</v>
      </c>
      <c r="X871" s="469">
        <f>Prod.!C490</f>
        <v>0</v>
      </c>
      <c r="Y871" s="469">
        <f>Prod.!D490</f>
        <v>0</v>
      </c>
      <c r="Z871" s="469">
        <f>Prod.!E490</f>
        <v>0</v>
      </c>
      <c r="AA871" s="282">
        <f>Prod.!F490</f>
        <v>0</v>
      </c>
      <c r="AB871" s="282">
        <f>Prod.!G490</f>
        <v>0</v>
      </c>
      <c r="AC871" s="836">
        <f>Prod.!H490</f>
        <v>0</v>
      </c>
      <c r="AD871" s="282">
        <f>Prod.!AB490</f>
        <v>0</v>
      </c>
      <c r="AE871" s="282">
        <f>AD871-AF871</f>
        <v>0</v>
      </c>
      <c r="AF871" s="282">
        <f>Prod.!AA490</f>
        <v>0</v>
      </c>
    </row>
    <row r="872" spans="1:32" ht="15" customHeight="1">
      <c r="A872" s="1435">
        <v>2</v>
      </c>
      <c r="B872" s="818">
        <f>W873</f>
        <v>0</v>
      </c>
      <c r="C872" s="819" t="s">
        <v>765</v>
      </c>
      <c r="D872" s="822"/>
      <c r="E872" s="822"/>
      <c r="F872" s="821">
        <f ca="1">F873 + (RAND() * 0.02 - 0.01)</f>
        <v>-9.9544691990331464E-3</v>
      </c>
      <c r="G872" s="821">
        <f ca="1">G873 + (RAND() * 0.06 - 0.03)</f>
        <v>0.49402926774384542</v>
      </c>
      <c r="H872" s="822">
        <f ca="1">H873 + (RAND() * 0.006 - 0.003)</f>
        <v>7.7059936795084412E-4</v>
      </c>
      <c r="I872" s="822">
        <f ca="1">I873 + (RAND() * 0.006 - 0.003)</f>
        <v>7.3185843642795774E-4</v>
      </c>
      <c r="J872" s="821">
        <f ca="1">J873 + (RAND() * 0.02 - 0.01)</f>
        <v>-1.9094281907406103E-3</v>
      </c>
      <c r="K872" s="821"/>
      <c r="L872" s="822"/>
      <c r="M872" s="821"/>
      <c r="N872" s="823"/>
      <c r="O872" s="823"/>
      <c r="P872" s="823"/>
      <c r="Q872" s="823"/>
      <c r="R872" s="837"/>
      <c r="S872" s="821"/>
      <c r="T872" s="838"/>
      <c r="U872" s="825"/>
      <c r="V872" s="826"/>
    </row>
    <row r="873" spans="1:32" ht="15" customHeight="1">
      <c r="A873" s="1435"/>
      <c r="B873" s="827">
        <f>B872</f>
        <v>0</v>
      </c>
      <c r="C873" s="828" t="s">
        <v>768</v>
      </c>
      <c r="D873" s="829" t="str">
        <f>IF(AC873=130, "130 × 130", IF(AC873=160, "160 × 160", IF(AC873=110, "110 × 110", "Value not 130, 160, or 110")))</f>
        <v>Value not 130, 160, or 110</v>
      </c>
      <c r="E873" s="830">
        <f>AD873</f>
        <v>0</v>
      </c>
      <c r="F873" s="831">
        <f ca="1">IF(X873 &gt; 0.1, RAND() * (0.1 - 0.06) + 0.06, X873)</f>
        <v>0</v>
      </c>
      <c r="G873" s="831">
        <f ca="1">IF(Y873 &lt; 0.5, 0.5 + RAND() * 0.1, Y873)</f>
        <v>0.50546903092121487</v>
      </c>
      <c r="H873" s="830">
        <f ca="1">IF(AB873&gt;0.04, 0.029 + (0.039-0.029)*RAND(), AB873)</f>
        <v>0</v>
      </c>
      <c r="I873" s="830">
        <f ca="1">IF(AA873&gt;0.04, 0.029 + (0.039-0.029)*RAND(), AA873)</f>
        <v>0</v>
      </c>
      <c r="J873" s="831">
        <f ca="1">IF(Z873&gt;0.15, 0.11 + (0.15-0.11) * RAND(), Z873)</f>
        <v>0</v>
      </c>
      <c r="K873" s="830">
        <f ca="1">0.004 + (RAND() * (0.001 - 0.004))</f>
        <v>3.5026818588133422E-3</v>
      </c>
      <c r="L873" s="830">
        <f ca="1">H873+I873</f>
        <v>0</v>
      </c>
      <c r="M873" s="831">
        <f ca="1">(G873/6)+F873</f>
        <v>8.4244838486869145E-2</v>
      </c>
      <c r="N873" s="831">
        <f ca="1">2 + RAND()</f>
        <v>2.7160867963333906</v>
      </c>
      <c r="O873" s="831">
        <f ca="1">1 + RAND()</f>
        <v>1.9683495654489214</v>
      </c>
      <c r="P873" s="831">
        <f ca="1">2.98 + (RAND() * (3.03 - 2.98))</f>
        <v>2.999520708939702</v>
      </c>
      <c r="Q873" s="832" t="str">
        <f ca="1">IF(D873="130 × 130", (130 + RANDBETWEEN(-1,1)) &amp; " × " &amp; (130 + RANDBETWEEN(-1,1)),
   IF(D873="160 × 160", (160 + RANDBETWEEN(-1,1)) &amp; " × " &amp; (160 + RANDBETWEEN(-1,1)),
   IF(D873="110 × 110", (110 + RANDBETWEEN(-1,1)) &amp; " × " &amp; (110 + RANDBETWEEN(-1,1)),
   "Value not matched")))</f>
        <v>Value not matched</v>
      </c>
      <c r="R873" s="833" t="s">
        <v>213</v>
      </c>
      <c r="S873" s="834" t="str">
        <f ca="1">IF(G873&lt;0.6, "IS 14650 CPS 10748/GR2", "IS 14650 CPS 10748/GR3")</f>
        <v>IS 14650 CPS 10748/GR2</v>
      </c>
      <c r="T873" s="831" t="s">
        <v>769</v>
      </c>
      <c r="U873" s="825"/>
      <c r="V873" s="826"/>
      <c r="W873" s="206">
        <f>Prod.!B491</f>
        <v>0</v>
      </c>
      <c r="X873" s="469">
        <f>Prod.!C491</f>
        <v>0</v>
      </c>
      <c r="Y873" s="469">
        <f>Prod.!D491</f>
        <v>0</v>
      </c>
      <c r="Z873" s="469">
        <f>Prod.!E491</f>
        <v>0</v>
      </c>
      <c r="AA873" s="282">
        <f>Prod.!F491</f>
        <v>0</v>
      </c>
      <c r="AB873" s="282">
        <f>Prod.!G491</f>
        <v>0</v>
      </c>
      <c r="AC873" s="836">
        <f>Prod.!H491</f>
        <v>0</v>
      </c>
      <c r="AD873" s="282">
        <f>Prod.!AB491</f>
        <v>0</v>
      </c>
      <c r="AE873" s="282">
        <f>AD873-AF873</f>
        <v>0</v>
      </c>
      <c r="AF873" s="282">
        <f>Prod.!AA491</f>
        <v>0</v>
      </c>
    </row>
    <row r="874" spans="1:32" ht="15" customHeight="1">
      <c r="A874" s="1435">
        <v>3</v>
      </c>
      <c r="B874" s="818">
        <f>W875</f>
        <v>0</v>
      </c>
      <c r="C874" s="819" t="s">
        <v>765</v>
      </c>
      <c r="D874" s="822"/>
      <c r="E874" s="822"/>
      <c r="F874" s="821">
        <f ca="1">F875 + (RAND() * 0.02 - 0.01)</f>
        <v>4.35166597143807E-3</v>
      </c>
      <c r="G874" s="821">
        <f ca="1">G875 + (RAND() * 0.06 - 0.03)</f>
        <v>0.54055373040971999</v>
      </c>
      <c r="H874" s="822">
        <f ca="1">H875 + (RAND() * 0.006 - 0.003)</f>
        <v>-2.6025731937665934E-3</v>
      </c>
      <c r="I874" s="822">
        <f ca="1">I875 + (RAND() * 0.006 - 0.003)</f>
        <v>-1.9234903858114808E-3</v>
      </c>
      <c r="J874" s="821">
        <f ca="1">J875 + (RAND() * 0.02 - 0.01)</f>
        <v>-1.231516372920816E-3</v>
      </c>
      <c r="K874" s="821"/>
      <c r="L874" s="822"/>
      <c r="M874" s="821"/>
      <c r="N874" s="823"/>
      <c r="O874" s="823"/>
      <c r="P874" s="823"/>
      <c r="Q874" s="823"/>
      <c r="R874" s="839"/>
      <c r="S874" s="821"/>
      <c r="T874" s="821"/>
      <c r="U874" s="825"/>
      <c r="V874" s="826"/>
    </row>
    <row r="875" spans="1:32" ht="15" customHeight="1">
      <c r="A875" s="1435"/>
      <c r="B875" s="827">
        <f>B874</f>
        <v>0</v>
      </c>
      <c r="C875" s="828" t="s">
        <v>768</v>
      </c>
      <c r="D875" s="829" t="str">
        <f>IF(AC875=130, "130 × 130", IF(AC875=160, "160 × 160", IF(AC875=110, "110 × 110", "Value not 130, 160, or 110")))</f>
        <v>Value not 130, 160, or 110</v>
      </c>
      <c r="E875" s="830">
        <f>AD875</f>
        <v>0</v>
      </c>
      <c r="F875" s="831">
        <f ca="1">IF(X875 &gt; 0.1, RAND() * (0.1 - 0.06) + 0.06, X875)</f>
        <v>0</v>
      </c>
      <c r="G875" s="831">
        <f ca="1">IF(Y875 &lt; 0.5, 0.5 + RAND() * 0.1, Y875)</f>
        <v>0.54396623657346976</v>
      </c>
      <c r="H875" s="830">
        <f ca="1">IF(AB875&gt;0.04, 0.029 + (0.039-0.029)*RAND(), AB875)</f>
        <v>0</v>
      </c>
      <c r="I875" s="830">
        <f ca="1">IF(AA875&gt;0.04, 0.029 + (0.039-0.029)*RAND(), AA875)</f>
        <v>0</v>
      </c>
      <c r="J875" s="831">
        <f ca="1">IF(Z875&gt;0.15, 0.11 + (0.15-0.11) * RAND(), Z875)</f>
        <v>0</v>
      </c>
      <c r="K875" s="830">
        <f ca="1">0.004 + (RAND() * (0.001 - 0.004))</f>
        <v>2.435848142933282E-3</v>
      </c>
      <c r="L875" s="830">
        <f ca="1">H875+I875</f>
        <v>0</v>
      </c>
      <c r="M875" s="831">
        <f ca="1">(G875/6)+F875</f>
        <v>9.0661039428911627E-2</v>
      </c>
      <c r="N875" s="831">
        <f ca="1">2 + RAND()</f>
        <v>2.015362031179019</v>
      </c>
      <c r="O875" s="831">
        <f ca="1">1 + RAND()</f>
        <v>1.8330288192187807</v>
      </c>
      <c r="P875" s="831">
        <f ca="1">2.98 + (RAND() * (3.03 - 2.98))</f>
        <v>3.0099375223360654</v>
      </c>
      <c r="Q875" s="832" t="str">
        <f ca="1">IF(D875="130 × 130", (130 + RANDBETWEEN(-1,1)) &amp; " × " &amp; (130 + RANDBETWEEN(-1,1)),
   IF(D875="160 × 160", (160 + RANDBETWEEN(-1,1)) &amp; " × " &amp; (160 + RANDBETWEEN(-1,1)),
   IF(D875="110 × 110", (110 + RANDBETWEEN(-1,1)) &amp; " × " &amp; (110 + RANDBETWEEN(-1,1)),
   "Value not matched")))</f>
        <v>Value not matched</v>
      </c>
      <c r="R875" s="833" t="s">
        <v>213</v>
      </c>
      <c r="S875" s="834" t="str">
        <f ca="1">IF(G875&lt;0.6, "IS 14650 CPS 10748/GR2", "IS 14650 CPS 10748/GR3")</f>
        <v>IS 14650 CPS 10748/GR2</v>
      </c>
      <c r="T875" s="831" t="s">
        <v>769</v>
      </c>
      <c r="U875" s="825"/>
      <c r="V875" s="826"/>
      <c r="W875" s="206">
        <f>Prod.!B492</f>
        <v>0</v>
      </c>
      <c r="X875" s="469">
        <f>Prod.!C492</f>
        <v>0</v>
      </c>
      <c r="Y875" s="469">
        <f>Prod.!D492</f>
        <v>0</v>
      </c>
      <c r="Z875" s="469">
        <f>Prod.!E492</f>
        <v>0</v>
      </c>
      <c r="AA875" s="282">
        <f>Prod.!F492</f>
        <v>0</v>
      </c>
      <c r="AB875" s="282">
        <f>Prod.!G492</f>
        <v>0</v>
      </c>
      <c r="AC875" s="836">
        <f>Prod.!H492</f>
        <v>0</v>
      </c>
      <c r="AD875" s="282">
        <f>Prod.!AB492</f>
        <v>0</v>
      </c>
      <c r="AE875" s="282">
        <f>AD875-AF875</f>
        <v>0</v>
      </c>
      <c r="AF875" s="282">
        <f>Prod.!AA492</f>
        <v>0</v>
      </c>
    </row>
    <row r="876" spans="1:32" ht="15" customHeight="1">
      <c r="A876" s="1435">
        <v>4</v>
      </c>
      <c r="B876" s="818">
        <f>W877</f>
        <v>0</v>
      </c>
      <c r="C876" s="819" t="s">
        <v>765</v>
      </c>
      <c r="D876" s="822"/>
      <c r="E876" s="822"/>
      <c r="F876" s="821">
        <f ca="1">F877 + (RAND() * 0.02 - 0.01)</f>
        <v>-4.108975784727964E-3</v>
      </c>
      <c r="G876" s="821">
        <f ca="1">G877 + (RAND() * 0.06 - 0.03)</f>
        <v>0.5563843976659234</v>
      </c>
      <c r="H876" s="822">
        <f ca="1">H877 + (RAND() * 0.006 - 0.003)</f>
        <v>7.4109876463457087E-4</v>
      </c>
      <c r="I876" s="822">
        <f ca="1">I877 + (RAND() * 0.006 - 0.003)</f>
        <v>-1.7571765045689383E-3</v>
      </c>
      <c r="J876" s="821">
        <f ca="1">J877 + (RAND() * 0.02 - 0.01)</f>
        <v>-5.183998946831323E-3</v>
      </c>
      <c r="K876" s="821"/>
      <c r="L876" s="822"/>
      <c r="M876" s="821"/>
      <c r="N876" s="823"/>
      <c r="O876" s="823"/>
      <c r="P876" s="823"/>
      <c r="Q876" s="823"/>
      <c r="R876" s="839"/>
      <c r="S876" s="821"/>
      <c r="T876" s="821"/>
      <c r="U876" s="825"/>
      <c r="V876" s="826"/>
    </row>
    <row r="877" spans="1:32" ht="15" customHeight="1">
      <c r="A877" s="1435"/>
      <c r="B877" s="827">
        <f>B876</f>
        <v>0</v>
      </c>
      <c r="C877" s="828" t="s">
        <v>768</v>
      </c>
      <c r="D877" s="829" t="str">
        <f>IF(AC877=130, "130 × 130", IF(AC877=160, "160 × 160", IF(AC877=110, "110 × 110", "Value not 130, 160, or 110")))</f>
        <v>Value not 130, 160, or 110</v>
      </c>
      <c r="E877" s="830">
        <f>AD877</f>
        <v>0</v>
      </c>
      <c r="F877" s="831">
        <f ca="1">IF(X877 &gt; 0.1, RAND() * (0.1 - 0.06) + 0.06, X877)</f>
        <v>0</v>
      </c>
      <c r="G877" s="831">
        <f ca="1">IF(Y877 &lt; 0.5, 0.5 + RAND() * 0.1, Y877)</f>
        <v>0.56512576113513247</v>
      </c>
      <c r="H877" s="830">
        <f ca="1">IF(AB877&gt;0.04, 0.029 + (0.039-0.029)*RAND(), AB877)</f>
        <v>0</v>
      </c>
      <c r="I877" s="830">
        <f ca="1">IF(AA877&gt;0.04, 0.029 + (0.039-0.029)*RAND(), AA877)</f>
        <v>0</v>
      </c>
      <c r="J877" s="831">
        <f ca="1">IF(Z877&gt;0.15, 0.11 + (0.15-0.11) * RAND(), Z877)</f>
        <v>0</v>
      </c>
      <c r="K877" s="830">
        <f ca="1">0.004 + (RAND() * (0.001 - 0.004))</f>
        <v>3.062985270103972E-3</v>
      </c>
      <c r="L877" s="830">
        <f ca="1">H877+I877</f>
        <v>0</v>
      </c>
      <c r="M877" s="831">
        <f ca="1">(G877/6)+F877</f>
        <v>9.4187626855855411E-2</v>
      </c>
      <c r="N877" s="831">
        <f ca="1">2 + RAND()</f>
        <v>2.6064398074243904</v>
      </c>
      <c r="O877" s="831">
        <f ca="1">1 + RAND()</f>
        <v>1.1472492469828279</v>
      </c>
      <c r="P877" s="831">
        <f ca="1">2.98 + (RAND() * (3.03 - 2.98))</f>
        <v>3.0224382701347414</v>
      </c>
      <c r="Q877" s="832" t="str">
        <f ca="1">IF(D877="130 × 130", (130 + RANDBETWEEN(-1,1)) &amp; " × " &amp; (130 + RANDBETWEEN(-1,1)),
   IF(D877="160 × 160", (160 + RANDBETWEEN(-1,1)) &amp; " × " &amp; (160 + RANDBETWEEN(-1,1)),
   IF(D877="110 × 110", (110 + RANDBETWEEN(-1,1)) &amp; " × " &amp; (110 + RANDBETWEEN(-1,1)),
   "Value not matched")))</f>
        <v>Value not matched</v>
      </c>
      <c r="R877" s="833" t="s">
        <v>213</v>
      </c>
      <c r="S877" s="834" t="str">
        <f ca="1">IF(G877&lt;0.6, "IS 14650 CPS 10748/GR2", "IS 14650 CPS 10748/GR3")</f>
        <v>IS 14650 CPS 10748/GR2</v>
      </c>
      <c r="T877" s="831" t="s">
        <v>769</v>
      </c>
      <c r="U877" s="825"/>
      <c r="V877" s="826"/>
      <c r="W877" s="206">
        <f>Prod.!B493</f>
        <v>0</v>
      </c>
      <c r="X877" s="469">
        <f>Prod.!C493</f>
        <v>0</v>
      </c>
      <c r="Y877" s="469">
        <f>Prod.!D493</f>
        <v>0</v>
      </c>
      <c r="Z877" s="469">
        <f>Prod.!E493</f>
        <v>0</v>
      </c>
      <c r="AA877" s="282">
        <f>Prod.!F493</f>
        <v>0</v>
      </c>
      <c r="AB877" s="282">
        <f>Prod.!G493</f>
        <v>0</v>
      </c>
      <c r="AC877" s="836">
        <f>Prod.!H493</f>
        <v>0</v>
      </c>
      <c r="AD877" s="282">
        <f>Prod.!AB493</f>
        <v>0</v>
      </c>
      <c r="AE877" s="282">
        <f>AD877-AF877</f>
        <v>0</v>
      </c>
      <c r="AF877" s="282">
        <f>Prod.!AA493</f>
        <v>0</v>
      </c>
    </row>
    <row r="878" spans="1:32" ht="15" customHeight="1">
      <c r="A878" s="1435">
        <v>5</v>
      </c>
      <c r="B878" s="818">
        <f>W879</f>
        <v>0</v>
      </c>
      <c r="C878" s="819" t="s">
        <v>765</v>
      </c>
      <c r="D878" s="822"/>
      <c r="E878" s="822"/>
      <c r="F878" s="821">
        <f ca="1">F879 + (RAND() * 0.02 - 0.01)</f>
        <v>-1.4648426243847965E-3</v>
      </c>
      <c r="G878" s="821">
        <f ca="1">G879 + (RAND() * 0.06 - 0.03)</f>
        <v>0.55438673161662988</v>
      </c>
      <c r="H878" s="822">
        <f ca="1">H879 + (RAND() * 0.006 - 0.003)</f>
        <v>3.9237755841781477E-4</v>
      </c>
      <c r="I878" s="822">
        <f ca="1">I879 + (RAND() * 0.006 - 0.003)</f>
        <v>1.4600965589007253E-3</v>
      </c>
      <c r="J878" s="821">
        <f ca="1">J879 + (RAND() * 0.02 - 0.01)</f>
        <v>4.2325807602996337E-3</v>
      </c>
      <c r="K878" s="821"/>
      <c r="L878" s="822"/>
      <c r="M878" s="821"/>
      <c r="N878" s="823"/>
      <c r="O878" s="823"/>
      <c r="P878" s="823"/>
      <c r="Q878" s="823"/>
      <c r="R878" s="839"/>
      <c r="S878" s="821"/>
      <c r="T878" s="821"/>
      <c r="U878" s="825"/>
      <c r="V878" s="826"/>
    </row>
    <row r="879" spans="1:32" ht="15" customHeight="1">
      <c r="A879" s="1435"/>
      <c r="B879" s="827">
        <f>B878</f>
        <v>0</v>
      </c>
      <c r="C879" s="828" t="s">
        <v>768</v>
      </c>
      <c r="D879" s="829" t="str">
        <f>IF(AC879=130, "130 × 130", IF(AC879=160, "160 × 160", IF(AC879=110, "110 × 110", "Value not 130, 160, or 110")))</f>
        <v>Value not 130, 160, or 110</v>
      </c>
      <c r="E879" s="830">
        <f>AD879</f>
        <v>0</v>
      </c>
      <c r="F879" s="831">
        <f ca="1">IF(X879 &gt; 0.1, RAND() * (0.1 - 0.06) + 0.06, X879)</f>
        <v>0</v>
      </c>
      <c r="G879" s="831">
        <f ca="1">IF(Y879 &lt; 0.5, 0.5 + RAND() * 0.1, Y879)</f>
        <v>0.58182233125028393</v>
      </c>
      <c r="H879" s="830">
        <f ca="1">IF(AB879&gt;0.04, 0.029 + (0.039-0.029)*RAND(), AB879)</f>
        <v>0</v>
      </c>
      <c r="I879" s="830">
        <f ca="1">IF(AA879&gt;0.04, 0.029 + (0.039-0.029)*RAND(), AA879)</f>
        <v>0</v>
      </c>
      <c r="J879" s="831">
        <f ca="1">IF(Z879&gt;0.15, 0.11 + (0.15-0.11) * RAND(), Z879)</f>
        <v>0</v>
      </c>
      <c r="K879" s="830">
        <f ca="1">0.004 + (RAND() * (0.001 - 0.004))</f>
        <v>2.633834333789976E-3</v>
      </c>
      <c r="L879" s="830">
        <f ca="1">H879+I879</f>
        <v>0</v>
      </c>
      <c r="M879" s="831">
        <f ca="1">(G879/6)+F879</f>
        <v>9.6970388541713984E-2</v>
      </c>
      <c r="N879" s="831">
        <f ca="1">2 + RAND()</f>
        <v>2.56529994407662</v>
      </c>
      <c r="O879" s="831">
        <f ca="1">1 + RAND()</f>
        <v>1.02322443899638</v>
      </c>
      <c r="P879" s="831">
        <f ca="1">2.98 + (RAND() * (3.03 - 2.98))</f>
        <v>2.9977573179736696</v>
      </c>
      <c r="Q879" s="832" t="str">
        <f ca="1">IF(D879="130 × 130", (130 + RANDBETWEEN(-1,1)) &amp; " × " &amp; (130 + RANDBETWEEN(-1,1)),
   IF(D879="160 × 160", (160 + RANDBETWEEN(-1,1)) &amp; " × " &amp; (160 + RANDBETWEEN(-1,1)),
   IF(D879="110 × 110", (110 + RANDBETWEEN(-1,1)) &amp; " × " &amp; (110 + RANDBETWEEN(-1,1)),
   "Value not matched")))</f>
        <v>Value not matched</v>
      </c>
      <c r="R879" s="833" t="s">
        <v>213</v>
      </c>
      <c r="S879" s="834" t="str">
        <f ca="1">IF(G879&lt;0.6, "IS 14650 CPS 10748/GR2", "IS 14650 CPS 10748/GR3")</f>
        <v>IS 14650 CPS 10748/GR2</v>
      </c>
      <c r="T879" s="831" t="s">
        <v>769</v>
      </c>
      <c r="U879" s="825"/>
      <c r="V879" s="826"/>
      <c r="W879" s="206">
        <f>Prod.!B494</f>
        <v>0</v>
      </c>
      <c r="X879" s="469">
        <f>Prod.!C494</f>
        <v>0</v>
      </c>
      <c r="Y879" s="469">
        <f>Prod.!D494</f>
        <v>0</v>
      </c>
      <c r="Z879" s="469">
        <f>Prod.!E494</f>
        <v>0</v>
      </c>
      <c r="AA879" s="282">
        <f>Prod.!F494</f>
        <v>0</v>
      </c>
      <c r="AB879" s="282">
        <f>Prod.!G494</f>
        <v>0</v>
      </c>
      <c r="AC879" s="836">
        <f>Prod.!H494</f>
        <v>0</v>
      </c>
      <c r="AD879" s="282">
        <f>Prod.!AB494</f>
        <v>0</v>
      </c>
      <c r="AE879" s="282">
        <f>AD879-AF879</f>
        <v>0</v>
      </c>
      <c r="AF879" s="282">
        <f>Prod.!AA494</f>
        <v>0</v>
      </c>
    </row>
    <row r="880" spans="1:32" ht="15" customHeight="1">
      <c r="A880" s="1435">
        <v>6</v>
      </c>
      <c r="B880" s="818">
        <f>W881</f>
        <v>0</v>
      </c>
      <c r="C880" s="819" t="s">
        <v>765</v>
      </c>
      <c r="D880" s="822"/>
      <c r="E880" s="822"/>
      <c r="F880" s="821">
        <f ca="1">F881 + (RAND() * 0.02 - 0.01)</f>
        <v>-7.8923270583578127E-3</v>
      </c>
      <c r="G880" s="821">
        <f ca="1">G881 + (RAND() * 0.06 - 0.03)</f>
        <v>0.56305872751901265</v>
      </c>
      <c r="H880" s="822">
        <f ca="1">H881 + (RAND() * 0.006 - 0.003)</f>
        <v>-2.6400830629838817E-4</v>
      </c>
      <c r="I880" s="822">
        <f ca="1">I881 + (RAND() * 0.006 - 0.003)</f>
        <v>-8.4392844641503068E-4</v>
      </c>
      <c r="J880" s="821">
        <f ca="1">J881 + (RAND() * 0.02 - 0.01)</f>
        <v>-3.5566247540073058E-4</v>
      </c>
      <c r="K880" s="821"/>
      <c r="L880" s="822"/>
      <c r="M880" s="821"/>
      <c r="N880" s="823"/>
      <c r="O880" s="823"/>
      <c r="P880" s="823"/>
      <c r="Q880" s="823"/>
      <c r="R880" s="839"/>
      <c r="S880" s="821"/>
      <c r="T880" s="821"/>
      <c r="U880" s="825"/>
      <c r="V880" s="826"/>
    </row>
    <row r="881" spans="1:32" ht="15" customHeight="1">
      <c r="A881" s="1435"/>
      <c r="B881" s="827">
        <f>B880</f>
        <v>0</v>
      </c>
      <c r="C881" s="828" t="s">
        <v>768</v>
      </c>
      <c r="D881" s="829" t="str">
        <f>IF(AC881=130, "130 × 130", IF(AC881=160, "160 × 160", IF(AC881=110, "110 × 110", "Value not 130, 160, or 110")))</f>
        <v>Value not 130, 160, or 110</v>
      </c>
      <c r="E881" s="830">
        <f>AD881</f>
        <v>0</v>
      </c>
      <c r="F881" s="831">
        <f ca="1">IF(X881 &gt; 0.1, RAND() * (0.1 - 0.06) + 0.06, X881)</f>
        <v>0</v>
      </c>
      <c r="G881" s="831">
        <f ca="1">IF(Y881 &lt; 0.5, 0.5 + RAND() * 0.1, Y881)</f>
        <v>0.55819925922072655</v>
      </c>
      <c r="H881" s="830">
        <f ca="1">IF(AB881&gt;0.04, 0.029 + (0.039-0.029)*RAND(), AB881)</f>
        <v>0</v>
      </c>
      <c r="I881" s="830">
        <f ca="1">IF(AA881&gt;0.04, 0.029 + (0.039-0.029)*RAND(), AA881)</f>
        <v>0</v>
      </c>
      <c r="J881" s="831">
        <f ca="1">IF(Z881&gt;0.15, 0.11 + (0.15-0.11) * RAND(), Z881)</f>
        <v>0</v>
      </c>
      <c r="K881" s="830">
        <f ca="1">0.004 + (RAND() * (0.001 - 0.004))</f>
        <v>2.4379105467034552E-3</v>
      </c>
      <c r="L881" s="830">
        <f ca="1">H881+I881</f>
        <v>0</v>
      </c>
      <c r="M881" s="831">
        <f ca="1">(G881/6)+F881</f>
        <v>9.3033209870121092E-2</v>
      </c>
      <c r="N881" s="831">
        <f ca="1">2 + RAND()</f>
        <v>2.9938542769628458</v>
      </c>
      <c r="O881" s="831">
        <f ca="1">1 + RAND()</f>
        <v>1.7293067748012083</v>
      </c>
      <c r="P881" s="831">
        <f ca="1">2.98 + (RAND() * (3.03 - 2.98))</f>
        <v>3.0250940969183291</v>
      </c>
      <c r="Q881" s="832" t="str">
        <f ca="1">IF(D881="130 × 130", (130 + RANDBETWEEN(-1,1)) &amp; " × " &amp; (130 + RANDBETWEEN(-1,1)),
   IF(D881="160 × 160", (160 + RANDBETWEEN(-1,1)) &amp; " × " &amp; (160 + RANDBETWEEN(-1,1)),
   IF(D881="110 × 110", (110 + RANDBETWEEN(-1,1)) &amp; " × " &amp; (110 + RANDBETWEEN(-1,1)),
   "Value not matched")))</f>
        <v>Value not matched</v>
      </c>
      <c r="R881" s="833" t="s">
        <v>213</v>
      </c>
      <c r="S881" s="834" t="str">
        <f ca="1">IF(G881&lt;0.6, "IS 14650 CPS 10748/GR2", "IS 14650 CPS 10748/GR3")</f>
        <v>IS 14650 CPS 10748/GR2</v>
      </c>
      <c r="T881" s="831" t="s">
        <v>769</v>
      </c>
      <c r="U881" s="825"/>
      <c r="V881" s="826"/>
      <c r="W881" s="206">
        <f>Prod.!B495</f>
        <v>0</v>
      </c>
      <c r="X881" s="469">
        <f>Prod.!C495</f>
        <v>0</v>
      </c>
      <c r="Y881" s="469">
        <f>Prod.!D495</f>
        <v>0</v>
      </c>
      <c r="Z881" s="469">
        <f>Prod.!E495</f>
        <v>0</v>
      </c>
      <c r="AA881" s="282">
        <f>Prod.!F495</f>
        <v>0</v>
      </c>
      <c r="AB881" s="282">
        <f>Prod.!G495</f>
        <v>0</v>
      </c>
      <c r="AC881" s="836">
        <f>Prod.!H495</f>
        <v>0</v>
      </c>
      <c r="AD881" s="282">
        <f>Prod.!AB495</f>
        <v>0</v>
      </c>
      <c r="AE881" s="282">
        <f>AD881-AF881</f>
        <v>0</v>
      </c>
      <c r="AF881" s="282">
        <f>Prod.!AA495</f>
        <v>0</v>
      </c>
    </row>
    <row r="882" spans="1:32" ht="15" customHeight="1">
      <c r="A882" s="1435">
        <v>7</v>
      </c>
      <c r="B882" s="818">
        <f>W883</f>
        <v>0</v>
      </c>
      <c r="C882" s="819" t="s">
        <v>765</v>
      </c>
      <c r="D882" s="822"/>
      <c r="E882" s="822"/>
      <c r="F882" s="821">
        <f ca="1">F883 + (RAND() * 0.02 - 0.01)</f>
        <v>5.3977224192865089E-3</v>
      </c>
      <c r="G882" s="821">
        <f ca="1">G883 + (RAND() * 0.06 - 0.03)</f>
        <v>0.53941182568221435</v>
      </c>
      <c r="H882" s="822">
        <f ca="1">H883 + (RAND() * 0.006 - 0.003)</f>
        <v>-1.4350360368509086E-3</v>
      </c>
      <c r="I882" s="822">
        <f ca="1">I883 + (RAND() * 0.006 - 0.003)</f>
        <v>-1.9160491288575804E-3</v>
      </c>
      <c r="J882" s="821">
        <f ca="1">J883 + (RAND() * 0.02 - 0.01)</f>
        <v>-6.6261219697008895E-3</v>
      </c>
      <c r="K882" s="821"/>
      <c r="L882" s="822"/>
      <c r="M882" s="821"/>
      <c r="N882" s="823"/>
      <c r="O882" s="823"/>
      <c r="P882" s="823"/>
      <c r="Q882" s="823"/>
      <c r="R882" s="839"/>
      <c r="S882" s="821"/>
      <c r="T882" s="821"/>
      <c r="U882" s="825"/>
      <c r="V882" s="826"/>
    </row>
    <row r="883" spans="1:32" ht="15" customHeight="1">
      <c r="A883" s="1435"/>
      <c r="B883" s="827">
        <f>B882</f>
        <v>0</v>
      </c>
      <c r="C883" s="828" t="s">
        <v>768</v>
      </c>
      <c r="D883" s="829" t="str">
        <f>IF(AC883=130, "130 × 130", IF(AC883=160, "160 × 160", IF(AC883=110, "110 × 110", "Value not 130, 160, or 110")))</f>
        <v>Value not 130, 160, or 110</v>
      </c>
      <c r="E883" s="830">
        <f>AD883</f>
        <v>0</v>
      </c>
      <c r="F883" s="831">
        <f ca="1">IF(X883 &gt; 0.1, RAND() * (0.1 - 0.06) + 0.06, X883)</f>
        <v>0</v>
      </c>
      <c r="G883" s="831">
        <f ca="1">IF(Y883 &lt; 0.5, 0.5 + RAND() * 0.1, Y883)</f>
        <v>0.51461941643690823</v>
      </c>
      <c r="H883" s="830">
        <f ca="1">IF(AB883&gt;0.04, 0.029 + (0.039-0.029)*RAND(), AB883)</f>
        <v>0</v>
      </c>
      <c r="I883" s="830">
        <f ca="1">IF(AA883&gt;0.04, 0.029 + (0.039-0.029)*RAND(), AA883)</f>
        <v>0</v>
      </c>
      <c r="J883" s="831">
        <f ca="1">IF(Z883&gt;0.15, 0.11 + (0.15-0.11) * RAND(), Z883)</f>
        <v>0</v>
      </c>
      <c r="K883" s="830">
        <f ca="1">0.004 + (RAND() * (0.001 - 0.004))</f>
        <v>3.4406353771695803E-3</v>
      </c>
      <c r="L883" s="830">
        <f ca="1">H883+I883</f>
        <v>0</v>
      </c>
      <c r="M883" s="831">
        <f ca="1">(G883/6)+F883</f>
        <v>8.5769902739484705E-2</v>
      </c>
      <c r="N883" s="831">
        <f ca="1">2 + RAND()</f>
        <v>2.0538685656677127</v>
      </c>
      <c r="O883" s="831">
        <f ca="1">1 + RAND()</f>
        <v>1.5545426700693783</v>
      </c>
      <c r="P883" s="831">
        <f ca="1">2.98 + (RAND() * (3.03 - 2.98))</f>
        <v>3.0054450389372498</v>
      </c>
      <c r="Q883" s="832" t="str">
        <f ca="1">IF(D883="130 × 130", (130 + RANDBETWEEN(-1,1)) &amp; " × " &amp; (130 + RANDBETWEEN(-1,1)),
   IF(D883="160 × 160", (160 + RANDBETWEEN(-1,1)) &amp; " × " &amp; (160 + RANDBETWEEN(-1,1)),
   IF(D883="110 × 110", (110 + RANDBETWEEN(-1,1)) &amp; " × " &amp; (110 + RANDBETWEEN(-1,1)),
   "Value not matched")))</f>
        <v>Value not matched</v>
      </c>
      <c r="R883" s="833" t="s">
        <v>213</v>
      </c>
      <c r="S883" s="834" t="str">
        <f ca="1">IF(G883&lt;0.6, "IS 14650 CPS 10748/GR2", "IS 14650 CPS 10748/GR3")</f>
        <v>IS 14650 CPS 10748/GR2</v>
      </c>
      <c r="T883" s="831" t="s">
        <v>769</v>
      </c>
      <c r="W883" s="206">
        <f>Prod.!B496</f>
        <v>0</v>
      </c>
      <c r="X883" s="469">
        <f>Prod.!C496</f>
        <v>0</v>
      </c>
      <c r="Y883" s="469">
        <f>Prod.!D496</f>
        <v>0</v>
      </c>
      <c r="Z883" s="469">
        <f>Prod.!E496</f>
        <v>0</v>
      </c>
      <c r="AA883" s="282">
        <f>Prod.!F496</f>
        <v>0</v>
      </c>
      <c r="AB883" s="282">
        <f>Prod.!G496</f>
        <v>0</v>
      </c>
      <c r="AC883" s="836">
        <f>Prod.!H496</f>
        <v>0</v>
      </c>
      <c r="AD883" s="282">
        <f>Prod.!AB496</f>
        <v>0</v>
      </c>
      <c r="AE883" s="282">
        <f>AD883-AF883</f>
        <v>0</v>
      </c>
      <c r="AF883" s="282">
        <f>Prod.!AA496</f>
        <v>0</v>
      </c>
    </row>
    <row r="884" spans="1:32" ht="15" customHeight="1">
      <c r="A884" s="1435">
        <v>8</v>
      </c>
      <c r="B884" s="818">
        <f>W885</f>
        <v>0</v>
      </c>
      <c r="C884" s="819" t="s">
        <v>765</v>
      </c>
      <c r="D884" s="822"/>
      <c r="E884" s="822"/>
      <c r="F884" s="821">
        <f ca="1">F885 + (RAND() * 0.02 - 0.01)</f>
        <v>-7.2306151673958109E-3</v>
      </c>
      <c r="G884" s="821">
        <f ca="1">G885 + (RAND() * 0.06 - 0.03)</f>
        <v>0.57275010927521197</v>
      </c>
      <c r="H884" s="822">
        <f ca="1">H885 + (RAND() * 0.006 - 0.003)</f>
        <v>2.5129149050645899E-3</v>
      </c>
      <c r="I884" s="822">
        <f ca="1">I885 + (RAND() * 0.006 - 0.003)</f>
        <v>-2.3060080695097118E-3</v>
      </c>
      <c r="J884" s="821">
        <f ca="1">J885 + (RAND() * 0.02 - 0.01)</f>
        <v>-3.4901137189631238E-3</v>
      </c>
      <c r="K884" s="821"/>
      <c r="L884" s="822"/>
      <c r="M884" s="821"/>
      <c r="N884" s="823"/>
      <c r="O884" s="823"/>
      <c r="P884" s="823"/>
      <c r="Q884" s="823"/>
      <c r="R884" s="839"/>
      <c r="S884" s="821"/>
      <c r="T884" s="821"/>
      <c r="U884" s="825"/>
      <c r="V884" s="826"/>
    </row>
    <row r="885" spans="1:32" ht="15" customHeight="1">
      <c r="A885" s="1435"/>
      <c r="B885" s="827">
        <f>B884</f>
        <v>0</v>
      </c>
      <c r="C885" s="828" t="s">
        <v>768</v>
      </c>
      <c r="D885" s="829" t="str">
        <f>IF(AC885=130, "130 × 130", IF(AC885=160, "160 × 160", IF(AC885=110, "110 × 110", "Value not 130, 160, or 110")))</f>
        <v>Value not 130, 160, or 110</v>
      </c>
      <c r="E885" s="830">
        <f>AD885</f>
        <v>0</v>
      </c>
      <c r="F885" s="831">
        <f ca="1">IF(X885 &gt; 0.1, RAND() * (0.1 - 0.06) + 0.06, X885)</f>
        <v>0</v>
      </c>
      <c r="G885" s="831">
        <f ca="1">IF(Y885 &lt; 0.5, 0.5 + RAND() * 0.1, Y885)</f>
        <v>0.54810181221864696</v>
      </c>
      <c r="H885" s="830">
        <f ca="1">IF(AB885&gt;0.04, 0.029 + (0.039-0.029)*RAND(), AB885)</f>
        <v>0</v>
      </c>
      <c r="I885" s="830">
        <f ca="1">IF(AA885&gt;0.04, 0.029 + (0.039-0.029)*RAND(), AA885)</f>
        <v>0</v>
      </c>
      <c r="J885" s="831">
        <f ca="1">IF(Z885&gt;0.15, 0.11 + (0.15-0.11) * RAND(), Z885)</f>
        <v>0</v>
      </c>
      <c r="K885" s="830">
        <f ca="1">0.004 + (RAND() * (0.001 - 0.004))</f>
        <v>3.3999179026879835E-3</v>
      </c>
      <c r="L885" s="830">
        <f ca="1">H885+I885</f>
        <v>0</v>
      </c>
      <c r="M885" s="831">
        <f ca="1">(G885/6)+F885</f>
        <v>9.1350302036441164E-2</v>
      </c>
      <c r="N885" s="831">
        <f ca="1">2 + RAND()</f>
        <v>2.5157151287278632</v>
      </c>
      <c r="O885" s="831">
        <f ca="1">1 + RAND()</f>
        <v>1.0020969527747994</v>
      </c>
      <c r="P885" s="831">
        <f ca="1">2.98 + (RAND() * (3.03 - 2.98))</f>
        <v>2.9868019721358099</v>
      </c>
      <c r="Q885" s="832" t="str">
        <f ca="1">IF(D885="130 × 130", (130 + RANDBETWEEN(-1,1)) &amp; " × " &amp; (130 + RANDBETWEEN(-1,1)),
   IF(D885="160 × 160", (160 + RANDBETWEEN(-1,1)) &amp; " × " &amp; (160 + RANDBETWEEN(-1,1)),
   IF(D885="110 × 110", (110 + RANDBETWEEN(-1,1)) &amp; " × " &amp; (110 + RANDBETWEEN(-1,1)),
   "Value not matched")))</f>
        <v>Value not matched</v>
      </c>
      <c r="R885" s="833" t="s">
        <v>213</v>
      </c>
      <c r="S885" s="834" t="str">
        <f ca="1">IF(G885&lt;0.6, "IS 14650 CPS 10748/GR2", "IS 14650 CPS 10748/GR3")</f>
        <v>IS 14650 CPS 10748/GR2</v>
      </c>
      <c r="T885" s="831" t="s">
        <v>769</v>
      </c>
      <c r="U885" s="825"/>
      <c r="V885" s="826"/>
      <c r="W885" s="206">
        <f>Prod.!B497</f>
        <v>0</v>
      </c>
      <c r="X885" s="469">
        <f>Prod.!C497</f>
        <v>0</v>
      </c>
      <c r="Y885" s="469">
        <f>Prod.!D497</f>
        <v>0</v>
      </c>
      <c r="Z885" s="469">
        <f>Prod.!E497</f>
        <v>0</v>
      </c>
      <c r="AA885" s="282">
        <f>Prod.!F497</f>
        <v>0</v>
      </c>
      <c r="AB885" s="282">
        <f>Prod.!G497</f>
        <v>0</v>
      </c>
      <c r="AC885" s="836">
        <f>Prod.!H497</f>
        <v>0</v>
      </c>
      <c r="AD885" s="282">
        <f>Prod.!AB497</f>
        <v>0</v>
      </c>
      <c r="AE885" s="282">
        <f>AD885-AF885</f>
        <v>0</v>
      </c>
      <c r="AF885" s="282">
        <f>Prod.!AA497</f>
        <v>0</v>
      </c>
    </row>
    <row r="886" spans="1:32" ht="15" customHeight="1">
      <c r="A886" s="1435">
        <v>9</v>
      </c>
      <c r="B886" s="818">
        <f>W887</f>
        <v>0</v>
      </c>
      <c r="C886" s="819" t="s">
        <v>765</v>
      </c>
      <c r="D886" s="822"/>
      <c r="E886" s="822"/>
      <c r="F886" s="821">
        <f ca="1">F887 + (RAND() * 0.02 - 0.01)</f>
        <v>-1.2840627023733495E-3</v>
      </c>
      <c r="G886" s="821">
        <f ca="1">G887 + (RAND() * 0.06 - 0.03)</f>
        <v>0.53885497319754494</v>
      </c>
      <c r="H886" s="822">
        <f ca="1">H887 + (RAND() * 0.006 - 0.003)</f>
        <v>-2.5878591375693922E-3</v>
      </c>
      <c r="I886" s="822">
        <f ca="1">I887 + (RAND() * 0.006 - 0.003)</f>
        <v>-3.576602045810371E-4</v>
      </c>
      <c r="J886" s="821">
        <f ca="1">J887 + (RAND() * 0.02 - 0.01)</f>
        <v>-8.2016692748100081E-3</v>
      </c>
      <c r="K886" s="821"/>
      <c r="L886" s="822"/>
      <c r="M886" s="821"/>
      <c r="N886" s="823"/>
      <c r="O886" s="823"/>
      <c r="P886" s="823"/>
      <c r="Q886" s="823"/>
      <c r="R886" s="839"/>
      <c r="S886" s="821"/>
      <c r="T886" s="821"/>
      <c r="U886" s="825"/>
      <c r="V886" s="826"/>
    </row>
    <row r="887" spans="1:32" ht="15" customHeight="1">
      <c r="A887" s="1435"/>
      <c r="B887" s="827">
        <f>B886</f>
        <v>0</v>
      </c>
      <c r="C887" s="828" t="s">
        <v>768</v>
      </c>
      <c r="D887" s="829" t="str">
        <f>IF(AC887=130, "130 × 130", IF(AC887=160, "160 × 160", IF(AC887=110, "110 × 110", "Value not 130, 160, or 110")))</f>
        <v>Value not 130, 160, or 110</v>
      </c>
      <c r="E887" s="830">
        <f>AD887</f>
        <v>0</v>
      </c>
      <c r="F887" s="831">
        <f ca="1">IF(X887 &gt; 0.1, RAND() * (0.1 - 0.06) + 0.06, X887)</f>
        <v>0</v>
      </c>
      <c r="G887" s="831">
        <f ca="1">IF(Y887 &lt; 0.5, 0.5 + RAND() * 0.1, Y887)</f>
        <v>0.51490428884147954</v>
      </c>
      <c r="H887" s="830">
        <f ca="1">IF(AB887&gt;0.04, 0.029 + (0.039-0.029)*RAND(), AB887)</f>
        <v>0</v>
      </c>
      <c r="I887" s="830">
        <f ca="1">IF(AA887&gt;0.04, 0.029 + (0.039-0.029)*RAND(), AA887)</f>
        <v>0</v>
      </c>
      <c r="J887" s="831">
        <f ca="1">IF(Z887&gt;0.15, 0.11 + (0.15-0.11) * RAND(), Z887)</f>
        <v>0</v>
      </c>
      <c r="K887" s="830">
        <f ca="1">0.004 + (RAND() * (0.001 - 0.004))</f>
        <v>3.7323969364070337E-3</v>
      </c>
      <c r="L887" s="830">
        <f ca="1">H887+I887</f>
        <v>0</v>
      </c>
      <c r="M887" s="831">
        <f ca="1">(G887/6)+F887</f>
        <v>8.5817381473579923E-2</v>
      </c>
      <c r="N887" s="831">
        <f ca="1">2 + RAND()</f>
        <v>2.7453862778140432</v>
      </c>
      <c r="O887" s="831">
        <f ca="1">1 + RAND()</f>
        <v>1.4293234566559709</v>
      </c>
      <c r="P887" s="831">
        <f ca="1">2.98 + (RAND() * (3.03 - 2.98))</f>
        <v>3.0255035278438638</v>
      </c>
      <c r="Q887" s="832" t="str">
        <f ca="1">IF(D887="130 × 130", (130 + RANDBETWEEN(-1,1)) &amp; " × " &amp; (130 + RANDBETWEEN(-1,1)),
   IF(D887="160 × 160", (160 + RANDBETWEEN(-1,1)) &amp; " × " &amp; (160 + RANDBETWEEN(-1,1)),
   IF(D887="110 × 110", (110 + RANDBETWEEN(-1,1)) &amp; " × " &amp; (110 + RANDBETWEEN(-1,1)),
   "Value not matched")))</f>
        <v>Value not matched</v>
      </c>
      <c r="R887" s="833" t="s">
        <v>213</v>
      </c>
      <c r="S887" s="834" t="str">
        <f ca="1">IF(G887&lt;0.6, "IS 14650 CPS 10748/GR2", "IS 14650 CPS 10748/GR3")</f>
        <v>IS 14650 CPS 10748/GR2</v>
      </c>
      <c r="T887" s="831" t="s">
        <v>769</v>
      </c>
      <c r="U887" s="825"/>
      <c r="V887" s="826"/>
      <c r="W887" s="206">
        <f>Prod.!B498</f>
        <v>0</v>
      </c>
      <c r="X887" s="469">
        <f>Prod.!C498</f>
        <v>0</v>
      </c>
      <c r="Y887" s="469">
        <f>Prod.!D498</f>
        <v>0</v>
      </c>
      <c r="Z887" s="469">
        <f>Prod.!E498</f>
        <v>0</v>
      </c>
      <c r="AA887" s="282">
        <f>Prod.!F498</f>
        <v>0</v>
      </c>
      <c r="AB887" s="282">
        <f>Prod.!G498</f>
        <v>0</v>
      </c>
      <c r="AC887" s="836">
        <f>Prod.!H498</f>
        <v>0</v>
      </c>
      <c r="AD887" s="282">
        <f>Prod.!AB498</f>
        <v>0</v>
      </c>
      <c r="AE887" s="282">
        <f>AD887-AF887</f>
        <v>0</v>
      </c>
      <c r="AF887" s="282">
        <f>Prod.!AA498</f>
        <v>0</v>
      </c>
    </row>
    <row r="888" spans="1:32" ht="15" customHeight="1">
      <c r="A888" s="1435">
        <v>10</v>
      </c>
      <c r="B888" s="818">
        <f>W889</f>
        <v>0</v>
      </c>
      <c r="C888" s="819" t="s">
        <v>765</v>
      </c>
      <c r="D888" s="822"/>
      <c r="E888" s="822"/>
      <c r="F888" s="821">
        <f ca="1">F889 + (RAND() * 0.02 - 0.01)</f>
        <v>-3.9744428600329363E-3</v>
      </c>
      <c r="G888" s="821">
        <f ca="1">G889 + (RAND() * 0.06 - 0.03)</f>
        <v>0.54727022431251604</v>
      </c>
      <c r="H888" s="822">
        <f ca="1">H889 + (RAND() * 0.006 - 0.003)</f>
        <v>-1.3682224190329525E-3</v>
      </c>
      <c r="I888" s="822">
        <f ca="1">I889 + (RAND() * 0.006 - 0.003)</f>
        <v>1.998516620676731E-3</v>
      </c>
      <c r="J888" s="821">
        <f ca="1">J889 + (RAND() * 0.02 - 0.01)</f>
        <v>-3.9820762647199892E-3</v>
      </c>
      <c r="K888" s="821"/>
      <c r="L888" s="822"/>
      <c r="M888" s="821"/>
      <c r="N888" s="823"/>
      <c r="O888" s="823"/>
      <c r="P888" s="823"/>
      <c r="Q888" s="823"/>
      <c r="R888" s="839"/>
      <c r="S888" s="821"/>
      <c r="T888" s="821"/>
      <c r="U888" s="825"/>
      <c r="V888" s="826"/>
    </row>
    <row r="889" spans="1:32" ht="15" customHeight="1">
      <c r="A889" s="1435"/>
      <c r="B889" s="827">
        <f>B888</f>
        <v>0</v>
      </c>
      <c r="C889" s="828" t="s">
        <v>768</v>
      </c>
      <c r="D889" s="829" t="str">
        <f>IF(AC889=130, "130 × 130", IF(AC889=160, "160 × 160", IF(AC889=110, "110 × 110", "Value not 130, 160, or 110")))</f>
        <v>Value not 130, 160, or 110</v>
      </c>
      <c r="E889" s="830">
        <f>AD889</f>
        <v>0</v>
      </c>
      <c r="F889" s="831">
        <f ca="1">IF(X889 &gt; 0.1, RAND() * (0.1 - 0.06) + 0.06, X889)</f>
        <v>0</v>
      </c>
      <c r="G889" s="831">
        <f ca="1">IF(Y889 &lt; 0.5, 0.5 + RAND() * 0.1, Y889)</f>
        <v>0.54043593340165108</v>
      </c>
      <c r="H889" s="830">
        <f ca="1">IF(AB889&gt;0.04, 0.029 + (0.039-0.029)*RAND(), AB889)</f>
        <v>0</v>
      </c>
      <c r="I889" s="830">
        <f ca="1">IF(AA889&gt;0.04, 0.029 + (0.039-0.029)*RAND(), AA889)</f>
        <v>0</v>
      </c>
      <c r="J889" s="831">
        <f ca="1">IF(Z889&gt;0.15, 0.11 + (0.15-0.11) * RAND(), Z889)</f>
        <v>0</v>
      </c>
      <c r="K889" s="830">
        <f ca="1">0.004 + (RAND() * (0.001 - 0.004))</f>
        <v>3.8048866332768155E-3</v>
      </c>
      <c r="L889" s="830">
        <f ca="1">H889+I889</f>
        <v>0</v>
      </c>
      <c r="M889" s="831">
        <f ca="1">(G889/6)+F889</f>
        <v>9.0072655566941842E-2</v>
      </c>
      <c r="N889" s="831">
        <f ca="1">2 + RAND()</f>
        <v>2.643885890376318</v>
      </c>
      <c r="O889" s="831">
        <f ca="1">1 + RAND()</f>
        <v>1.937834629573608</v>
      </c>
      <c r="P889" s="831">
        <f ca="1">2.98 + (RAND() * (3.03 - 2.98))</f>
        <v>2.98794082437432</v>
      </c>
      <c r="Q889" s="832" t="str">
        <f ca="1">IF(D889="130 × 130", (130 + RANDBETWEEN(-1,1)) &amp; " × " &amp; (130 + RANDBETWEEN(-1,1)),
   IF(D889="160 × 160", (160 + RANDBETWEEN(-1,1)) &amp; " × " &amp; (160 + RANDBETWEEN(-1,1)),
   IF(D889="110 × 110", (110 + RANDBETWEEN(-1,1)) &amp; " × " &amp; (110 + RANDBETWEEN(-1,1)),
   "Value not matched")))</f>
        <v>Value not matched</v>
      </c>
      <c r="R889" s="833" t="s">
        <v>213</v>
      </c>
      <c r="S889" s="834" t="str">
        <f ca="1">IF(G889&lt;0.6, "IS 14650 CPS 10748/GR2", "IS 14650 CPS 10748/GR3")</f>
        <v>IS 14650 CPS 10748/GR2</v>
      </c>
      <c r="T889" s="831" t="s">
        <v>769</v>
      </c>
      <c r="U889" s="825"/>
      <c r="V889" s="826"/>
      <c r="W889" s="206">
        <f>Prod.!B499</f>
        <v>0</v>
      </c>
      <c r="X889" s="469">
        <f>Prod.!C499</f>
        <v>0</v>
      </c>
      <c r="Y889" s="469">
        <f>Prod.!D499</f>
        <v>0</v>
      </c>
      <c r="Z889" s="469">
        <f>Prod.!E499</f>
        <v>0</v>
      </c>
      <c r="AA889" s="282">
        <f>Prod.!F499</f>
        <v>0</v>
      </c>
      <c r="AB889" s="282">
        <f>Prod.!G499</f>
        <v>0</v>
      </c>
      <c r="AC889" s="836">
        <f>Prod.!H499</f>
        <v>0</v>
      </c>
      <c r="AD889" s="282">
        <f>Prod.!AB499</f>
        <v>0</v>
      </c>
      <c r="AE889" s="282">
        <f>AD889-AF889</f>
        <v>0</v>
      </c>
      <c r="AF889" s="282">
        <f>Prod.!AA499</f>
        <v>0</v>
      </c>
    </row>
    <row r="890" spans="1:32" ht="15" customHeight="1">
      <c r="A890" s="1435">
        <v>11</v>
      </c>
      <c r="B890" s="818">
        <f>W891</f>
        <v>0</v>
      </c>
      <c r="C890" s="819" t="s">
        <v>765</v>
      </c>
      <c r="D890" s="822"/>
      <c r="E890" s="822"/>
      <c r="F890" s="821">
        <f ca="1">F891 + (RAND() * 0.02 - 0.01)</f>
        <v>7.6344127301614991E-3</v>
      </c>
      <c r="G890" s="821">
        <f ca="1">G891 + (RAND() * 0.06 - 0.03)</f>
        <v>0.5469498968474551</v>
      </c>
      <c r="H890" s="822">
        <f ca="1">H891 + (RAND() * 0.006 - 0.003)</f>
        <v>-6.6995731167571529E-4</v>
      </c>
      <c r="I890" s="822">
        <f ca="1">I891 + (RAND() * 0.006 - 0.003)</f>
        <v>-8.7482119952850485E-4</v>
      </c>
      <c r="J890" s="821">
        <f ca="1">J891 + (RAND() * 0.02 - 0.01)</f>
        <v>2.0904323702120725E-3</v>
      </c>
      <c r="K890" s="821"/>
      <c r="L890" s="822"/>
      <c r="M890" s="821"/>
      <c r="N890" s="823"/>
      <c r="O890" s="823"/>
      <c r="P890" s="823"/>
      <c r="Q890" s="823"/>
      <c r="R890" s="839"/>
      <c r="S890" s="821"/>
      <c r="T890" s="821"/>
      <c r="U890" s="825"/>
      <c r="V890" s="826"/>
    </row>
    <row r="891" spans="1:32" ht="15" customHeight="1">
      <c r="A891" s="1435"/>
      <c r="B891" s="827">
        <f>B890</f>
        <v>0</v>
      </c>
      <c r="C891" s="828" t="s">
        <v>768</v>
      </c>
      <c r="D891" s="829" t="str">
        <f>IF(AC891=130, "130 × 130", IF(AC891=160, "160 × 160", IF(AC891=110, "110 × 110", "Value not 130, 160, or 110")))</f>
        <v>Value not 130, 160, or 110</v>
      </c>
      <c r="E891" s="830">
        <f>AD891</f>
        <v>0</v>
      </c>
      <c r="F891" s="831">
        <f ca="1">IF(X891 &gt; 0.1, RAND() * (0.1 - 0.06) + 0.06, X891)</f>
        <v>0</v>
      </c>
      <c r="G891" s="831">
        <f ca="1">IF(Y891 &lt; 0.5, 0.5 + RAND() * 0.1, Y891)</f>
        <v>0.56486259546684314</v>
      </c>
      <c r="H891" s="830">
        <f ca="1">IF(AB891&gt;0.04, 0.029 + (0.039-0.029)*RAND(), AB891)</f>
        <v>0</v>
      </c>
      <c r="I891" s="830">
        <f ca="1">IF(AA891&gt;0.04, 0.029 + (0.039-0.029)*RAND(), AA891)</f>
        <v>0</v>
      </c>
      <c r="J891" s="831">
        <f ca="1">IF(Z891&gt;0.15, 0.11 + (0.15-0.11) * RAND(), Z891)</f>
        <v>0</v>
      </c>
      <c r="K891" s="830">
        <f ca="1">0.004 + (RAND() * (0.001 - 0.004))</f>
        <v>1.949200514632478E-3</v>
      </c>
      <c r="L891" s="830">
        <f ca="1">H891+I891</f>
        <v>0</v>
      </c>
      <c r="M891" s="831">
        <f ca="1">(G891/6)+F891</f>
        <v>9.4143765911140528E-2</v>
      </c>
      <c r="N891" s="831">
        <f ca="1">2 + RAND()</f>
        <v>2.2409575651055622</v>
      </c>
      <c r="O891" s="831">
        <f ca="1">1 + RAND()</f>
        <v>1.8386574283123545</v>
      </c>
      <c r="P891" s="831">
        <f ca="1">2.98 + (RAND() * (3.03 - 2.98))</f>
        <v>3.0237671258064589</v>
      </c>
      <c r="Q891" s="832" t="str">
        <f ca="1">IF(D891="130 × 130", (130 + RANDBETWEEN(-1,1)) &amp; " × " &amp; (130 + RANDBETWEEN(-1,1)),
   IF(D891="160 × 160", (160 + RANDBETWEEN(-1,1)) &amp; " × " &amp; (160 + RANDBETWEEN(-1,1)),
   IF(D891="110 × 110", (110 + RANDBETWEEN(-1,1)) &amp; " × " &amp; (110 + RANDBETWEEN(-1,1)),
   "Value not matched")))</f>
        <v>Value not matched</v>
      </c>
      <c r="R891" s="833" t="s">
        <v>213</v>
      </c>
      <c r="S891" s="834" t="str">
        <f ca="1">IF(G891&lt;0.6, "IS 14650 CPS 10748/GR2", "IS 14650 CPS 10748/GR3")</f>
        <v>IS 14650 CPS 10748/GR2</v>
      </c>
      <c r="T891" s="831" t="s">
        <v>769</v>
      </c>
      <c r="U891" s="825"/>
      <c r="V891" s="826"/>
      <c r="W891" s="206">
        <f>Prod.!B500</f>
        <v>0</v>
      </c>
      <c r="X891" s="469">
        <f>Prod.!C500</f>
        <v>0</v>
      </c>
      <c r="Y891" s="469">
        <f>Prod.!D500</f>
        <v>0</v>
      </c>
      <c r="Z891" s="469">
        <f>Prod.!E500</f>
        <v>0</v>
      </c>
      <c r="AA891" s="282">
        <f>Prod.!F500</f>
        <v>0</v>
      </c>
      <c r="AB891" s="282">
        <f>Prod.!G500</f>
        <v>0</v>
      </c>
      <c r="AC891" s="836">
        <f>Prod.!H500</f>
        <v>0</v>
      </c>
      <c r="AD891" s="282">
        <f>Prod.!AB500</f>
        <v>0</v>
      </c>
      <c r="AE891" s="282">
        <f>AD891-AF891</f>
        <v>0</v>
      </c>
      <c r="AF891" s="282">
        <f>Prod.!AA500</f>
        <v>0</v>
      </c>
    </row>
    <row r="892" spans="1:32" ht="15" customHeight="1">
      <c r="A892" s="1435">
        <v>12</v>
      </c>
      <c r="B892" s="818">
        <f>W893</f>
        <v>0</v>
      </c>
      <c r="C892" s="819" t="s">
        <v>765</v>
      </c>
      <c r="D892" s="822"/>
      <c r="E892" s="822"/>
      <c r="F892" s="821">
        <f ca="1">F893 + (RAND() * 0.02 - 0.01)</f>
        <v>-9.2915320410928339E-3</v>
      </c>
      <c r="G892" s="821">
        <f ca="1">G893 + (RAND() * 0.06 - 0.03)</f>
        <v>0.58239701185547355</v>
      </c>
      <c r="H892" s="822">
        <f ca="1">H893 + (RAND() * 0.006 - 0.003)</f>
        <v>5.1988976555864116E-4</v>
      </c>
      <c r="I892" s="822">
        <f ca="1">I893 + (RAND() * 0.006 - 0.003)</f>
        <v>2.012882609270121E-3</v>
      </c>
      <c r="J892" s="821">
        <f ca="1">J893 + (RAND() * 0.02 - 0.01)</f>
        <v>5.4273161760268456E-3</v>
      </c>
      <c r="K892" s="821"/>
      <c r="L892" s="822"/>
      <c r="M892" s="821"/>
      <c r="N892" s="823"/>
      <c r="O892" s="823"/>
      <c r="P892" s="823"/>
      <c r="Q892" s="823"/>
      <c r="R892" s="839"/>
      <c r="S892" s="821"/>
      <c r="T892" s="821"/>
      <c r="U892" s="825"/>
      <c r="V892" s="826"/>
    </row>
    <row r="893" spans="1:32" ht="15" customHeight="1">
      <c r="A893" s="1435"/>
      <c r="B893" s="827">
        <f>B892</f>
        <v>0</v>
      </c>
      <c r="C893" s="828" t="s">
        <v>768</v>
      </c>
      <c r="D893" s="829" t="str">
        <f>IF(AC893=130, "130 × 130", IF(AC893=160, "160 × 160", IF(AC893=110, "110 × 110", "Value not 130, 160, or 110")))</f>
        <v>Value not 130, 160, or 110</v>
      </c>
      <c r="E893" s="830">
        <f>AD893</f>
        <v>0</v>
      </c>
      <c r="F893" s="831">
        <f ca="1">IF(X893 &gt; 0.1, RAND() * (0.1 - 0.06) + 0.06, X893)</f>
        <v>0</v>
      </c>
      <c r="G893" s="831">
        <f ca="1">IF(Y893 &lt; 0.5, 0.5 + RAND() * 0.1, Y893)</f>
        <v>0.55692666859314388</v>
      </c>
      <c r="H893" s="830">
        <f ca="1">IF(AB893&gt;0.04, 0.029 + (0.039-0.029)*RAND(), AB893)</f>
        <v>0</v>
      </c>
      <c r="I893" s="830">
        <f ca="1">IF(AA893&gt;0.04, 0.029 + (0.039-0.029)*RAND(), AA893)</f>
        <v>0</v>
      </c>
      <c r="J893" s="831">
        <f ca="1">IF(Z893&gt;0.15, 0.11 + (0.15-0.11) * RAND(), Z893)</f>
        <v>0</v>
      </c>
      <c r="K893" s="830">
        <f ca="1">0.004 + (RAND() * (0.001 - 0.004))</f>
        <v>1.3215449949281963E-3</v>
      </c>
      <c r="L893" s="830">
        <f ca="1">H893+I893</f>
        <v>0</v>
      </c>
      <c r="M893" s="831">
        <f ca="1">(G893/6)+F893</f>
        <v>9.2821111432190642E-2</v>
      </c>
      <c r="N893" s="831">
        <f ca="1">2 + RAND()</f>
        <v>2.7370420719854351</v>
      </c>
      <c r="O893" s="831">
        <f ca="1">1 + RAND()</f>
        <v>1.752806787251167</v>
      </c>
      <c r="P893" s="831">
        <f ca="1">2.98 + (RAND() * (3.03 - 2.98))</f>
        <v>2.9877399098886346</v>
      </c>
      <c r="Q893" s="832" t="str">
        <f ca="1">IF(D893="130 × 130", (130 + RANDBETWEEN(-1,1)) &amp; " × " &amp; (130 + RANDBETWEEN(-1,1)),
   IF(D893="160 × 160", (160 + RANDBETWEEN(-1,1)) &amp; " × " &amp; (160 + RANDBETWEEN(-1,1)),
   IF(D893="110 × 110", (110 + RANDBETWEEN(-1,1)) &amp; " × " &amp; (110 + RANDBETWEEN(-1,1)),
   "Value not matched")))</f>
        <v>Value not matched</v>
      </c>
      <c r="R893" s="833" t="s">
        <v>213</v>
      </c>
      <c r="S893" s="834" t="str">
        <f ca="1">IF(G893&lt;0.6, "IS 14650 CPS 10748/GR2", "IS 14650 CPS 10748/GR3")</f>
        <v>IS 14650 CPS 10748/GR2</v>
      </c>
      <c r="T893" s="831" t="s">
        <v>769</v>
      </c>
      <c r="U893" s="825"/>
      <c r="V893" s="826"/>
      <c r="W893" s="206">
        <f>Prod.!B501</f>
        <v>0</v>
      </c>
      <c r="X893" s="469">
        <f>Prod.!C501</f>
        <v>0</v>
      </c>
      <c r="Y893" s="469">
        <f>Prod.!D501</f>
        <v>0</v>
      </c>
      <c r="Z893" s="469">
        <f>Prod.!E501</f>
        <v>0</v>
      </c>
      <c r="AA893" s="282">
        <f>Prod.!F501</f>
        <v>0</v>
      </c>
      <c r="AB893" s="282">
        <f>Prod.!G501</f>
        <v>0</v>
      </c>
      <c r="AC893" s="836">
        <f>Prod.!H501</f>
        <v>0</v>
      </c>
      <c r="AD893" s="282">
        <f>Prod.!AB501</f>
        <v>0</v>
      </c>
      <c r="AE893" s="282">
        <f>AD893-AF893</f>
        <v>0</v>
      </c>
      <c r="AF893" s="282">
        <f>Prod.!AA501</f>
        <v>0</v>
      </c>
    </row>
    <row r="894" spans="1:32" ht="15" customHeight="1">
      <c r="A894" s="1435"/>
      <c r="B894" s="818"/>
      <c r="C894" s="819"/>
      <c r="D894" s="822"/>
      <c r="E894" s="822"/>
      <c r="F894" s="821"/>
      <c r="G894" s="821"/>
      <c r="H894" s="822"/>
      <c r="I894" s="822"/>
      <c r="J894" s="821"/>
      <c r="K894" s="821"/>
      <c r="L894" s="822"/>
      <c r="M894" s="821"/>
      <c r="N894" s="823"/>
      <c r="O894" s="823"/>
      <c r="P894" s="823"/>
      <c r="Q894" s="823"/>
      <c r="R894" s="839"/>
      <c r="S894" s="821"/>
      <c r="T894" s="821"/>
      <c r="U894" s="825"/>
      <c r="V894" s="826"/>
    </row>
    <row r="895" spans="1:32" ht="15" customHeight="1">
      <c r="A895" s="1435"/>
      <c r="B895" s="827"/>
      <c r="C895" s="828"/>
      <c r="D895" s="829"/>
      <c r="E895" s="830"/>
      <c r="F895" s="831"/>
      <c r="G895" s="831"/>
      <c r="H895" s="830"/>
      <c r="I895" s="830"/>
      <c r="J895" s="831"/>
      <c r="K895" s="830"/>
      <c r="L895" s="830"/>
      <c r="M895" s="831"/>
      <c r="N895" s="831"/>
      <c r="O895" s="831"/>
      <c r="P895" s="831"/>
      <c r="Q895" s="832"/>
      <c r="R895" s="833"/>
      <c r="S895" s="834"/>
      <c r="T895" s="831"/>
      <c r="U895" s="825"/>
      <c r="V895" s="826"/>
    </row>
    <row r="896" spans="1:32" ht="15" customHeight="1">
      <c r="A896" s="180"/>
      <c r="B896" s="180"/>
      <c r="C896" s="180" t="s">
        <v>770</v>
      </c>
      <c r="D896" s="395"/>
      <c r="E896" s="844">
        <f>SUM(E870:E895)</f>
        <v>0</v>
      </c>
      <c r="F896" s="180"/>
      <c r="G896" s="180"/>
      <c r="H896" s="844"/>
      <c r="I896" s="180"/>
      <c r="J896" s="845"/>
      <c r="K896" s="845"/>
      <c r="L896" s="180"/>
      <c r="M896" s="845"/>
      <c r="N896" s="180"/>
      <c r="O896" s="180"/>
      <c r="P896" s="180"/>
      <c r="Q896" s="180"/>
      <c r="R896" s="263"/>
      <c r="S896" s="180"/>
      <c r="T896" s="180"/>
    </row>
    <row r="897" spans="1:32" ht="28.5" customHeight="1">
      <c r="A897" s="1436" t="s">
        <v>746</v>
      </c>
      <c r="B897" s="1436"/>
      <c r="C897" s="1436"/>
      <c r="D897" s="1436"/>
      <c r="E897" s="1436"/>
      <c r="F897" s="1436"/>
      <c r="G897" s="1436"/>
      <c r="H897" s="1436"/>
      <c r="I897" s="1436"/>
      <c r="J897" s="1436"/>
      <c r="K897" s="1436"/>
      <c r="L897" s="1436"/>
      <c r="M897" s="1436"/>
      <c r="N897" s="1436"/>
      <c r="O897" s="1436"/>
      <c r="P897" s="1436"/>
      <c r="Q897" s="1436"/>
      <c r="R897" s="1436"/>
      <c r="S897" s="1436"/>
      <c r="T897" s="1436"/>
      <c r="U897" s="515"/>
      <c r="V897" s="846"/>
    </row>
    <row r="898" spans="1:32" ht="15" customHeight="1">
      <c r="A898" s="1437" t="s">
        <v>747</v>
      </c>
      <c r="B898" s="1437"/>
      <c r="C898" s="1437"/>
      <c r="D898" s="1437"/>
      <c r="E898" s="1437"/>
      <c r="F898" s="1437"/>
      <c r="G898" s="1437"/>
      <c r="H898" s="1437"/>
      <c r="I898" s="1437"/>
      <c r="J898" s="1437"/>
      <c r="K898" s="1437"/>
      <c r="L898" s="1437"/>
      <c r="M898" s="1437"/>
      <c r="N898" s="1437"/>
      <c r="O898" s="1437"/>
      <c r="P898" s="1437"/>
      <c r="Q898" s="1437"/>
      <c r="R898" s="1437"/>
      <c r="S898" s="1437"/>
      <c r="T898" s="1437"/>
      <c r="U898" s="806"/>
      <c r="V898" s="807"/>
    </row>
    <row r="899" spans="1:32" ht="15" customHeight="1">
      <c r="A899" s="1438" t="str">
        <f>"DATE OF MANUFACTURING : " &amp; TEXT(V903, "DD-MM-YYYY")</f>
        <v>DATE OF MANUFACTURING : 00-01-1900</v>
      </c>
      <c r="B899" s="1438"/>
      <c r="C899" s="1438"/>
      <c r="D899" s="1438"/>
      <c r="E899" s="1438"/>
      <c r="F899" s="1438"/>
      <c r="G899" s="1438"/>
      <c r="H899" s="1438"/>
      <c r="I899" s="1438"/>
      <c r="J899" s="1438"/>
      <c r="K899" s="1438"/>
      <c r="L899" s="1438"/>
      <c r="M899" s="1438"/>
      <c r="N899" s="1437" t="s">
        <v>748</v>
      </c>
      <c r="O899" s="1437"/>
      <c r="P899" s="1437"/>
      <c r="Q899" s="1437"/>
      <c r="R899" s="1437"/>
      <c r="S899" s="1437"/>
      <c r="T899" s="1437"/>
      <c r="U899" s="808"/>
      <c r="V899" s="809"/>
    </row>
    <row r="900" spans="1:32" ht="29.25" customHeight="1">
      <c r="A900" s="1439" t="s">
        <v>749</v>
      </c>
      <c r="B900" s="1440" t="s">
        <v>750</v>
      </c>
      <c r="C900" s="1440"/>
      <c r="D900" s="1440" t="s">
        <v>751</v>
      </c>
      <c r="E900" s="1441" t="s">
        <v>752</v>
      </c>
      <c r="F900" s="1442" t="s">
        <v>753</v>
      </c>
      <c r="G900" s="1442"/>
      <c r="H900" s="1442"/>
      <c r="I900" s="1442"/>
      <c r="J900" s="1442"/>
      <c r="K900" s="1442"/>
      <c r="L900" s="1442"/>
      <c r="M900" s="1442"/>
      <c r="N900" s="1442" t="s">
        <v>754</v>
      </c>
      <c r="O900" s="1442"/>
      <c r="P900" s="1442"/>
      <c r="Q900" s="1442"/>
      <c r="R900" s="1443" t="s">
        <v>771</v>
      </c>
      <c r="S900" s="1441" t="s">
        <v>756</v>
      </c>
      <c r="T900" s="1440" t="s">
        <v>104</v>
      </c>
      <c r="U900" s="810"/>
      <c r="V900" s="811"/>
    </row>
    <row r="901" spans="1:32" ht="42.75" customHeight="1">
      <c r="A901" s="1439"/>
      <c r="B901" s="1440"/>
      <c r="C901" s="1440"/>
      <c r="D901" s="1440"/>
      <c r="E901" s="1440"/>
      <c r="F901" s="812" t="s">
        <v>40</v>
      </c>
      <c r="G901" s="812" t="s">
        <v>757</v>
      </c>
      <c r="H901" s="813" t="s">
        <v>758</v>
      </c>
      <c r="I901" s="812" t="s">
        <v>43</v>
      </c>
      <c r="J901" s="812" t="s">
        <v>42</v>
      </c>
      <c r="K901" s="812" t="s">
        <v>759</v>
      </c>
      <c r="L901" s="812" t="s">
        <v>760</v>
      </c>
      <c r="M901" s="812" t="s">
        <v>761</v>
      </c>
      <c r="N901" s="814" t="s">
        <v>762</v>
      </c>
      <c r="O901" s="815" t="s">
        <v>772</v>
      </c>
      <c r="P901" s="816" t="s">
        <v>773</v>
      </c>
      <c r="Q901" s="817" t="s">
        <v>764</v>
      </c>
      <c r="R901" s="1443"/>
      <c r="S901" s="1443"/>
      <c r="T901" s="1443"/>
      <c r="U901" s="810"/>
      <c r="V901" s="811"/>
    </row>
    <row r="902" spans="1:32" ht="15" customHeight="1">
      <c r="A902" s="1435">
        <v>1</v>
      </c>
      <c r="B902" s="818">
        <f>W903</f>
        <v>0</v>
      </c>
      <c r="C902" s="819" t="s">
        <v>765</v>
      </c>
      <c r="D902" s="820"/>
      <c r="E902" s="821"/>
      <c r="F902" s="821">
        <f ca="1">F903 + (RAND() * 0.02 - 0.01)</f>
        <v>2.3125734431213973E-3</v>
      </c>
      <c r="G902" s="821">
        <f ca="1">G903 + (RAND() * 0.06 - 0.03)</f>
        <v>0.5230504960606478</v>
      </c>
      <c r="H902" s="822">
        <f ca="1">H903 + (RAND() * 0.006 - 0.003)</f>
        <v>1.4697449871893782E-3</v>
      </c>
      <c r="I902" s="822">
        <f ca="1">I903 + (RAND() * 0.006 - 0.003)</f>
        <v>-1.6641969536274189E-4</v>
      </c>
      <c r="J902" s="821">
        <f ca="1">J903 + (RAND() * 0.02 - 0.01)</f>
        <v>-3.1320771683363002E-4</v>
      </c>
      <c r="K902" s="821"/>
      <c r="L902" s="822"/>
      <c r="M902" s="821"/>
      <c r="N902" s="823"/>
      <c r="O902" s="823"/>
      <c r="P902" s="823"/>
      <c r="Q902" s="823"/>
      <c r="R902" s="824"/>
      <c r="S902" s="821"/>
      <c r="T902" s="821"/>
      <c r="U902" s="825"/>
      <c r="V902" s="826"/>
      <c r="AE902" t="s">
        <v>767</v>
      </c>
    </row>
    <row r="903" spans="1:32" ht="15" customHeight="1">
      <c r="A903" s="1435"/>
      <c r="B903" s="827">
        <f>B902</f>
        <v>0</v>
      </c>
      <c r="C903" s="828" t="s">
        <v>768</v>
      </c>
      <c r="D903" s="829" t="str">
        <f>IF(AC903=130, "130 × 130", IF(AC903=160, "160 × 160", IF(AC903=110, "110 × 110", "Value not 130, 160, or 110")))</f>
        <v>Value not 130, 160, or 110</v>
      </c>
      <c r="E903" s="830">
        <f>AD903</f>
        <v>0</v>
      </c>
      <c r="F903" s="831">
        <f ca="1">IF(X903 &gt; 0.1, RAND() * (0.1 - 0.06) + 0.06, X903)</f>
        <v>0</v>
      </c>
      <c r="G903" s="831">
        <f ca="1">IF(Y903 &lt; 0.5, 0.5 + RAND() * 0.1, Y903)</f>
        <v>0.52787133951114895</v>
      </c>
      <c r="H903" s="830">
        <f ca="1">IF(AB903&gt;0.04, 0.029 + (0.039-0.029)*RAND(), AB903)</f>
        <v>0</v>
      </c>
      <c r="I903" s="830">
        <f ca="1">IF(AA903&gt;0.04, 0.029 + (0.039-0.029)*RAND(), AA903)</f>
        <v>0</v>
      </c>
      <c r="J903" s="831">
        <f ca="1">IF(Z903&gt;0.15, 0.11 + (0.15-0.11) * RAND(), Z903)</f>
        <v>0</v>
      </c>
      <c r="K903" s="830">
        <f ca="1">0.004 + (RAND() * (0.001 - 0.004))</f>
        <v>2.6033189250977262E-3</v>
      </c>
      <c r="L903" s="830">
        <f ca="1">H903+I903</f>
        <v>0</v>
      </c>
      <c r="M903" s="831">
        <f ca="1">(G903/6)+F903</f>
        <v>8.7978556585191492E-2</v>
      </c>
      <c r="N903" s="831">
        <f ca="1">2 + RAND()</f>
        <v>2.7817409172631908</v>
      </c>
      <c r="O903" s="831">
        <f ca="1">1 + RAND()</f>
        <v>1.1735912457715356</v>
      </c>
      <c r="P903" s="831">
        <f ca="1">2.98 + (RAND() * (3.03 - 2.98))</f>
        <v>3.0134125252476491</v>
      </c>
      <c r="Q903" s="832" t="str">
        <f ca="1">IF(D903="130 × 130", (130 + RANDBETWEEN(-1,1)) &amp; " × " &amp; (130 + RANDBETWEEN(-1,1)),
   IF(D903="160 × 160", (160 + RANDBETWEEN(-1,1)) &amp; " × " &amp; (160 + RANDBETWEEN(-1,1)),
   IF(D903="110 × 110", (110 + RANDBETWEEN(-1,1)) &amp; " × " &amp; (110 + RANDBETWEEN(-1,1)),
   "Value not matched")))</f>
        <v>Value not matched</v>
      </c>
      <c r="R903" s="833" t="s">
        <v>213</v>
      </c>
      <c r="S903" s="834" t="str">
        <f ca="1">IF(G903&lt;0.6, "IS 14650 CPS 10748/GR2", "IS 14650 CPS 10748/GR3")</f>
        <v>IS 14650 CPS 10748/GR2</v>
      </c>
      <c r="T903" s="831" t="s">
        <v>769</v>
      </c>
      <c r="U903" s="825"/>
      <c r="V903" s="835">
        <f>Prod.!A508</f>
        <v>0</v>
      </c>
      <c r="W903" s="206">
        <f>Prod.!B508</f>
        <v>0</v>
      </c>
      <c r="X903" s="469">
        <f>Prod.!C508</f>
        <v>0</v>
      </c>
      <c r="Y903" s="469">
        <f>Prod.!D508</f>
        <v>0</v>
      </c>
      <c r="Z903" s="469">
        <f>Prod.!E508</f>
        <v>0</v>
      </c>
      <c r="AA903" s="282">
        <f>Prod.!F508</f>
        <v>0</v>
      </c>
      <c r="AB903" s="282">
        <f>Prod.!G508</f>
        <v>0</v>
      </c>
      <c r="AC903" s="836">
        <f>Prod.!H508</f>
        <v>0</v>
      </c>
      <c r="AD903" s="282">
        <f>Prod.!AB508</f>
        <v>0</v>
      </c>
      <c r="AE903" s="282">
        <f>AD903-AF903</f>
        <v>0</v>
      </c>
      <c r="AF903" s="282">
        <f>Prod.!AA508</f>
        <v>0</v>
      </c>
    </row>
    <row r="904" spans="1:32" ht="15" customHeight="1">
      <c r="A904" s="1435">
        <v>2</v>
      </c>
      <c r="B904" s="818">
        <f>W905</f>
        <v>0</v>
      </c>
      <c r="C904" s="819" t="s">
        <v>765</v>
      </c>
      <c r="D904" s="822"/>
      <c r="E904" s="822"/>
      <c r="F904" s="821">
        <f ca="1">F905 + (RAND() * 0.02 - 0.01)</f>
        <v>-3.2831719592547231E-3</v>
      </c>
      <c r="G904" s="821">
        <f ca="1">G905 + (RAND() * 0.06 - 0.03)</f>
        <v>0.55658624754178676</v>
      </c>
      <c r="H904" s="822">
        <f ca="1">H905 + (RAND() * 0.006 - 0.003)</f>
        <v>-1.895342664135144E-3</v>
      </c>
      <c r="I904" s="822">
        <f ca="1">I905 + (RAND() * 0.006 - 0.003)</f>
        <v>2.7435076255648283E-3</v>
      </c>
      <c r="J904" s="821">
        <f ca="1">J905 + (RAND() * 0.02 - 0.01)</f>
        <v>4.2274971737008889E-3</v>
      </c>
      <c r="K904" s="821"/>
      <c r="L904" s="822"/>
      <c r="M904" s="821"/>
      <c r="N904" s="823"/>
      <c r="O904" s="823"/>
      <c r="P904" s="823"/>
      <c r="Q904" s="823"/>
      <c r="R904" s="837"/>
      <c r="S904" s="821"/>
      <c r="T904" s="838"/>
      <c r="U904" s="825"/>
      <c r="V904" s="826"/>
    </row>
    <row r="905" spans="1:32" ht="15" customHeight="1">
      <c r="A905" s="1435"/>
      <c r="B905" s="827">
        <f>B904</f>
        <v>0</v>
      </c>
      <c r="C905" s="828" t="s">
        <v>768</v>
      </c>
      <c r="D905" s="829" t="str">
        <f>IF(AC905=130, "130 × 130", IF(AC905=160, "160 × 160", IF(AC905=110, "110 × 110", "Value not 130, 160, or 110")))</f>
        <v>Value not 130, 160, or 110</v>
      </c>
      <c r="E905" s="830">
        <f>AD905</f>
        <v>0</v>
      </c>
      <c r="F905" s="831">
        <f ca="1">IF(X905 &gt; 0.1, RAND() * (0.1 - 0.06) + 0.06, X905)</f>
        <v>0</v>
      </c>
      <c r="G905" s="831">
        <f ca="1">IF(Y905 &lt; 0.5, 0.5 + RAND() * 0.1, Y905)</f>
        <v>0.57390351055525723</v>
      </c>
      <c r="H905" s="830">
        <f ca="1">IF(AB905&gt;0.04, 0.029 + (0.039-0.029)*RAND(), AB905)</f>
        <v>0</v>
      </c>
      <c r="I905" s="830">
        <f ca="1">IF(AA905&gt;0.04, 0.029 + (0.039-0.029)*RAND(), AA905)</f>
        <v>0</v>
      </c>
      <c r="J905" s="831">
        <f ca="1">IF(Z905&gt;0.15, 0.11 + (0.15-0.11) * RAND(), Z905)</f>
        <v>0</v>
      </c>
      <c r="K905" s="830">
        <f ca="1">0.004 + (RAND() * (0.001 - 0.004))</f>
        <v>1.5043421640758281E-3</v>
      </c>
      <c r="L905" s="830">
        <f ca="1">H905+I905</f>
        <v>0</v>
      </c>
      <c r="M905" s="831">
        <f ca="1">(G905/6)+F905</f>
        <v>9.5650585092542872E-2</v>
      </c>
      <c r="N905" s="831">
        <f ca="1">2 + RAND()</f>
        <v>2.1077075176075661</v>
      </c>
      <c r="O905" s="831">
        <f ca="1">1 + RAND()</f>
        <v>1.6274063100931606</v>
      </c>
      <c r="P905" s="831">
        <f ca="1">2.98 + (RAND() * (3.03 - 2.98))</f>
        <v>2.9967323425809895</v>
      </c>
      <c r="Q905" s="832" t="str">
        <f ca="1">IF(D905="130 × 130", (130 + RANDBETWEEN(-1,1)) &amp; " × " &amp; (130 + RANDBETWEEN(-1,1)),
   IF(D905="160 × 160", (160 + RANDBETWEEN(-1,1)) &amp; " × " &amp; (160 + RANDBETWEEN(-1,1)),
   IF(D905="110 × 110", (110 + RANDBETWEEN(-1,1)) &amp; " × " &amp; (110 + RANDBETWEEN(-1,1)),
   "Value not matched")))</f>
        <v>Value not matched</v>
      </c>
      <c r="R905" s="833" t="s">
        <v>213</v>
      </c>
      <c r="S905" s="834" t="str">
        <f ca="1">IF(G905&lt;0.6, "IS 14650 CPS 10748/GR2", "IS 14650 CPS 10748/GR3")</f>
        <v>IS 14650 CPS 10748/GR2</v>
      </c>
      <c r="T905" s="831" t="s">
        <v>769</v>
      </c>
      <c r="U905" s="825"/>
      <c r="V905" s="826"/>
      <c r="W905" s="206">
        <f>Prod.!B509</f>
        <v>0</v>
      </c>
      <c r="X905" s="469">
        <f>Prod.!C509</f>
        <v>0</v>
      </c>
      <c r="Y905" s="469">
        <f>Prod.!D509</f>
        <v>0</v>
      </c>
      <c r="Z905" s="469">
        <f>Prod.!E509</f>
        <v>0</v>
      </c>
      <c r="AA905" s="282">
        <f>Prod.!F509</f>
        <v>0</v>
      </c>
      <c r="AB905" s="282">
        <f>Prod.!G509</f>
        <v>0</v>
      </c>
      <c r="AC905" s="836">
        <f>Prod.!H509</f>
        <v>0</v>
      </c>
      <c r="AD905" s="282">
        <f>Prod.!AB509</f>
        <v>0</v>
      </c>
      <c r="AE905" s="282">
        <f>AD905-AF905</f>
        <v>0</v>
      </c>
      <c r="AF905" s="282">
        <f>Prod.!AA509</f>
        <v>0</v>
      </c>
    </row>
    <row r="906" spans="1:32" ht="15" customHeight="1">
      <c r="A906" s="1435">
        <v>3</v>
      </c>
      <c r="B906" s="818">
        <f>W907</f>
        <v>0</v>
      </c>
      <c r="C906" s="819" t="s">
        <v>765</v>
      </c>
      <c r="D906" s="822"/>
      <c r="E906" s="822"/>
      <c r="F906" s="821">
        <f ca="1">F907 + (RAND() * 0.02 - 0.01)</f>
        <v>7.6386967743577051E-3</v>
      </c>
      <c r="G906" s="821">
        <f ca="1">G907 + (RAND() * 0.06 - 0.03)</f>
        <v>0.50982269580291129</v>
      </c>
      <c r="H906" s="822">
        <f ca="1">H907 + (RAND() * 0.006 - 0.003)</f>
        <v>3.2249112981757797E-4</v>
      </c>
      <c r="I906" s="822">
        <f ca="1">I907 + (RAND() * 0.006 - 0.003)</f>
        <v>9.3733175294678523E-4</v>
      </c>
      <c r="J906" s="821">
        <f ca="1">J907 + (RAND() * 0.02 - 0.01)</f>
        <v>-1.4214517505716246E-3</v>
      </c>
      <c r="K906" s="821"/>
      <c r="L906" s="822"/>
      <c r="M906" s="821"/>
      <c r="N906" s="823"/>
      <c r="O906" s="823"/>
      <c r="P906" s="823"/>
      <c r="Q906" s="823"/>
      <c r="R906" s="839"/>
      <c r="S906" s="821"/>
      <c r="T906" s="821"/>
      <c r="U906" s="825"/>
      <c r="V906" s="826"/>
    </row>
    <row r="907" spans="1:32" ht="15" customHeight="1">
      <c r="A907" s="1435"/>
      <c r="B907" s="827">
        <f>B906</f>
        <v>0</v>
      </c>
      <c r="C907" s="828" t="s">
        <v>768</v>
      </c>
      <c r="D907" s="829" t="str">
        <f>IF(AC907=130, "130 × 130", IF(AC907=160, "160 × 160", IF(AC907=110, "110 × 110", "Value not 130, 160, or 110")))</f>
        <v>Value not 130, 160, or 110</v>
      </c>
      <c r="E907" s="830">
        <f>AD907</f>
        <v>0</v>
      </c>
      <c r="F907" s="831">
        <f ca="1">IF(X907 &gt; 0.1, RAND() * (0.1 - 0.06) + 0.06, X907)</f>
        <v>0</v>
      </c>
      <c r="G907" s="831">
        <f ca="1">IF(Y907 &lt; 0.5, 0.5 + RAND() * 0.1, Y907)</f>
        <v>0.53664694959352244</v>
      </c>
      <c r="H907" s="830">
        <f ca="1">IF(AB907&gt;0.04, 0.029 + (0.039-0.029)*RAND(), AB907)</f>
        <v>0</v>
      </c>
      <c r="I907" s="830">
        <f ca="1">IF(AA907&gt;0.04, 0.029 + (0.039-0.029)*RAND(), AA907)</f>
        <v>0</v>
      </c>
      <c r="J907" s="831">
        <f ca="1">IF(Z907&gt;0.15, 0.11 + (0.15-0.11) * RAND(), Z907)</f>
        <v>0</v>
      </c>
      <c r="K907" s="830">
        <f ca="1">0.004 + (RAND() * (0.001 - 0.004))</f>
        <v>3.2296576877109116E-3</v>
      </c>
      <c r="L907" s="830">
        <f ca="1">H907+I907</f>
        <v>0</v>
      </c>
      <c r="M907" s="831">
        <f ca="1">(G907/6)+F907</f>
        <v>8.9441158265587073E-2</v>
      </c>
      <c r="N907" s="831">
        <f ca="1">2 + RAND()</f>
        <v>2.3687829347581637</v>
      </c>
      <c r="O907" s="831">
        <f ca="1">1 + RAND()</f>
        <v>1.0655470670387761</v>
      </c>
      <c r="P907" s="831">
        <f ca="1">2.98 + (RAND() * (3.03 - 2.98))</f>
        <v>2.9932787604502931</v>
      </c>
      <c r="Q907" s="832" t="str">
        <f ca="1">IF(D907="130 × 130", (130 + RANDBETWEEN(-1,1)) &amp; " × " &amp; (130 + RANDBETWEEN(-1,1)),
   IF(D907="160 × 160", (160 + RANDBETWEEN(-1,1)) &amp; " × " &amp; (160 + RANDBETWEEN(-1,1)),
   IF(D907="110 × 110", (110 + RANDBETWEEN(-1,1)) &amp; " × " &amp; (110 + RANDBETWEEN(-1,1)),
   "Value not matched")))</f>
        <v>Value not matched</v>
      </c>
      <c r="R907" s="833" t="s">
        <v>213</v>
      </c>
      <c r="S907" s="834" t="str">
        <f ca="1">IF(G907&lt;0.6, "IS 14650 CPS 10748/GR2", "IS 14650 CPS 10748/GR3")</f>
        <v>IS 14650 CPS 10748/GR2</v>
      </c>
      <c r="T907" s="831" t="s">
        <v>769</v>
      </c>
      <c r="U907" s="825"/>
      <c r="V907" s="826"/>
      <c r="W907" s="206">
        <f>Prod.!B510</f>
        <v>0</v>
      </c>
      <c r="X907" s="469">
        <f>Prod.!C510</f>
        <v>0</v>
      </c>
      <c r="Y907" s="469">
        <f>Prod.!D510</f>
        <v>0</v>
      </c>
      <c r="Z907" s="469">
        <f>Prod.!E510</f>
        <v>0</v>
      </c>
      <c r="AA907" s="282">
        <f>Prod.!F510</f>
        <v>0</v>
      </c>
      <c r="AB907" s="282">
        <f>Prod.!G510</f>
        <v>0</v>
      </c>
      <c r="AC907" s="836">
        <f>Prod.!H510</f>
        <v>0</v>
      </c>
      <c r="AD907" s="282">
        <f>Prod.!AB510</f>
        <v>0</v>
      </c>
      <c r="AE907" s="282">
        <f>AD907-AF907</f>
        <v>0</v>
      </c>
      <c r="AF907" s="282">
        <f>Prod.!AA510</f>
        <v>0</v>
      </c>
    </row>
    <row r="908" spans="1:32" ht="15" customHeight="1">
      <c r="A908" s="1435">
        <v>4</v>
      </c>
      <c r="B908" s="818">
        <f>W909</f>
        <v>0</v>
      </c>
      <c r="C908" s="819" t="s">
        <v>765</v>
      </c>
      <c r="D908" s="822"/>
      <c r="E908" s="822"/>
      <c r="F908" s="821">
        <f ca="1">F909 + (RAND() * 0.02 - 0.01)</f>
        <v>8.6274438784543824E-3</v>
      </c>
      <c r="G908" s="821">
        <f ca="1">G909 + (RAND() * 0.06 - 0.03)</f>
        <v>0.5080672856525621</v>
      </c>
      <c r="H908" s="822">
        <f ca="1">H909 + (RAND() * 0.006 - 0.003)</f>
        <v>1.2829374815143037E-4</v>
      </c>
      <c r="I908" s="822">
        <f ca="1">I909 + (RAND() * 0.006 - 0.003)</f>
        <v>1.6992302666763992E-3</v>
      </c>
      <c r="J908" s="821">
        <f ca="1">J909 + (RAND() * 0.02 - 0.01)</f>
        <v>3.6532979719156918E-3</v>
      </c>
      <c r="K908" s="821"/>
      <c r="L908" s="822"/>
      <c r="M908" s="821"/>
      <c r="N908" s="823"/>
      <c r="O908" s="823"/>
      <c r="P908" s="823"/>
      <c r="Q908" s="823"/>
      <c r="R908" s="839"/>
      <c r="S908" s="821"/>
      <c r="T908" s="821"/>
      <c r="U908" s="825"/>
      <c r="V908" s="826"/>
    </row>
    <row r="909" spans="1:32" ht="15" customHeight="1">
      <c r="A909" s="1435"/>
      <c r="B909" s="827">
        <f>B908</f>
        <v>0</v>
      </c>
      <c r="C909" s="828" t="s">
        <v>768</v>
      </c>
      <c r="D909" s="829" t="str">
        <f>IF(AC909=130, "130 × 130", IF(AC909=160, "160 × 160", IF(AC909=110, "110 × 110", "Value not 130, 160, or 110")))</f>
        <v>Value not 130, 160, or 110</v>
      </c>
      <c r="E909" s="830">
        <f>AD909</f>
        <v>0</v>
      </c>
      <c r="F909" s="831">
        <f ca="1">IF(X909 &gt; 0.1, RAND() * (0.1 - 0.06) + 0.06, X909)</f>
        <v>0</v>
      </c>
      <c r="G909" s="831">
        <f ca="1">IF(Y909 &lt; 0.5, 0.5 + RAND() * 0.1, Y909)</f>
        <v>0.529672921774477</v>
      </c>
      <c r="H909" s="830">
        <f ca="1">IF(AB909&gt;0.04, 0.029 + (0.039-0.029)*RAND(), AB909)</f>
        <v>0</v>
      </c>
      <c r="I909" s="830">
        <f ca="1">IF(AA909&gt;0.04, 0.029 + (0.039-0.029)*RAND(), AA909)</f>
        <v>0</v>
      </c>
      <c r="J909" s="831">
        <f ca="1">IF(Z909&gt;0.15, 0.11 + (0.15-0.11) * RAND(), Z909)</f>
        <v>0</v>
      </c>
      <c r="K909" s="830">
        <f ca="1">0.004 + (RAND() * (0.001 - 0.004))</f>
        <v>1.7147202540530827E-3</v>
      </c>
      <c r="L909" s="830">
        <f ca="1">H909+I909</f>
        <v>0</v>
      </c>
      <c r="M909" s="831">
        <f ca="1">(G909/6)+F909</f>
        <v>8.8278820295746172E-2</v>
      </c>
      <c r="N909" s="831">
        <f ca="1">2 + RAND()</f>
        <v>2.0948555604014478</v>
      </c>
      <c r="O909" s="831">
        <f ca="1">1 + RAND()</f>
        <v>1.2688914354785523</v>
      </c>
      <c r="P909" s="831">
        <f ca="1">2.98 + (RAND() * (3.03 - 2.98))</f>
        <v>3.0281645656678258</v>
      </c>
      <c r="Q909" s="832" t="str">
        <f ca="1">IF(D909="130 × 130", (130 + RANDBETWEEN(-1,1)) &amp; " × " &amp; (130 + RANDBETWEEN(-1,1)),
   IF(D909="160 × 160", (160 + RANDBETWEEN(-1,1)) &amp; " × " &amp; (160 + RANDBETWEEN(-1,1)),
   IF(D909="110 × 110", (110 + RANDBETWEEN(-1,1)) &amp; " × " &amp; (110 + RANDBETWEEN(-1,1)),
   "Value not matched")))</f>
        <v>Value not matched</v>
      </c>
      <c r="R909" s="833" t="s">
        <v>213</v>
      </c>
      <c r="S909" s="834" t="str">
        <f ca="1">IF(G909&lt;0.6, "IS 14650 CPS 10748/GR2", "IS 14650 CPS 10748/GR3")</f>
        <v>IS 14650 CPS 10748/GR2</v>
      </c>
      <c r="T909" s="831" t="s">
        <v>769</v>
      </c>
      <c r="U909" s="825"/>
      <c r="V909" s="826"/>
      <c r="W909" s="206">
        <f>Prod.!B511</f>
        <v>0</v>
      </c>
      <c r="X909" s="469">
        <f>Prod.!C511</f>
        <v>0</v>
      </c>
      <c r="Y909" s="469">
        <f>Prod.!D511</f>
        <v>0</v>
      </c>
      <c r="Z909" s="469">
        <f>Prod.!E511</f>
        <v>0</v>
      </c>
      <c r="AA909" s="282">
        <f>Prod.!F511</f>
        <v>0</v>
      </c>
      <c r="AB909" s="282">
        <f>Prod.!G511</f>
        <v>0</v>
      </c>
      <c r="AC909" s="836">
        <f>Prod.!H511</f>
        <v>0</v>
      </c>
      <c r="AD909" s="282">
        <f>Prod.!AB511</f>
        <v>0</v>
      </c>
      <c r="AE909" s="282">
        <f>AD909-AF909</f>
        <v>0</v>
      </c>
      <c r="AF909" s="282">
        <f>Prod.!AA511</f>
        <v>0</v>
      </c>
    </row>
    <row r="910" spans="1:32" ht="15" customHeight="1">
      <c r="A910" s="1435">
        <v>5</v>
      </c>
      <c r="B910" s="818">
        <f>W911</f>
        <v>0</v>
      </c>
      <c r="C910" s="819" t="s">
        <v>765</v>
      </c>
      <c r="D910" s="822"/>
      <c r="E910" s="822"/>
      <c r="F910" s="821">
        <f ca="1">F911 + (RAND() * 0.02 - 0.01)</f>
        <v>-8.9920900509172161E-3</v>
      </c>
      <c r="G910" s="821">
        <f ca="1">G911 + (RAND() * 0.06 - 0.03)</f>
        <v>0.51285240691790412</v>
      </c>
      <c r="H910" s="822">
        <f ca="1">H911 + (RAND() * 0.006 - 0.003)</f>
        <v>7.8988742227957456E-4</v>
      </c>
      <c r="I910" s="822">
        <f ca="1">I911 + (RAND() * 0.006 - 0.003)</f>
        <v>-8.6548564874595673E-4</v>
      </c>
      <c r="J910" s="821">
        <f ca="1">J911 + (RAND() * 0.02 - 0.01)</f>
        <v>-5.2655971470739419E-3</v>
      </c>
      <c r="K910" s="821"/>
      <c r="L910" s="822"/>
      <c r="M910" s="821"/>
      <c r="N910" s="823"/>
      <c r="O910" s="823"/>
      <c r="P910" s="823"/>
      <c r="Q910" s="823"/>
      <c r="R910" s="839"/>
      <c r="S910" s="821"/>
      <c r="T910" s="821"/>
      <c r="U910" s="825"/>
      <c r="V910" s="826"/>
    </row>
    <row r="911" spans="1:32" ht="15" customHeight="1">
      <c r="A911" s="1435"/>
      <c r="B911" s="827">
        <f>B910</f>
        <v>0</v>
      </c>
      <c r="C911" s="828" t="s">
        <v>768</v>
      </c>
      <c r="D911" s="829" t="str">
        <f>IF(AC911=130, "130 × 130", IF(AC911=160, "160 × 160", IF(AC911=110, "110 × 110", "Value not 130, 160, or 110")))</f>
        <v>Value not 130, 160, or 110</v>
      </c>
      <c r="E911" s="830">
        <f>AD911</f>
        <v>0</v>
      </c>
      <c r="F911" s="831">
        <f ca="1">IF(X911 &gt; 0.1, RAND() * (0.1 - 0.06) + 0.06, X911)</f>
        <v>0</v>
      </c>
      <c r="G911" s="831">
        <f ca="1">IF(Y911 &lt; 0.5, 0.5 + RAND() * 0.1, Y911)</f>
        <v>0.51040426512007642</v>
      </c>
      <c r="H911" s="830">
        <f ca="1">IF(AB911&gt;0.04, 0.029 + (0.039-0.029)*RAND(), AB911)</f>
        <v>0</v>
      </c>
      <c r="I911" s="830">
        <f ca="1">IF(AA911&gt;0.04, 0.029 + (0.039-0.029)*RAND(), AA911)</f>
        <v>0</v>
      </c>
      <c r="J911" s="831">
        <f ca="1">IF(Z911&gt;0.15, 0.11 + (0.15-0.11) * RAND(), Z911)</f>
        <v>0</v>
      </c>
      <c r="K911" s="830">
        <f ca="1">0.004 + (RAND() * (0.001 - 0.004))</f>
        <v>2.7618777079126793E-3</v>
      </c>
      <c r="L911" s="830">
        <f ca="1">H911+I911</f>
        <v>0</v>
      </c>
      <c r="M911" s="831">
        <f ca="1">(G911/6)+F911</f>
        <v>8.5067377520012741E-2</v>
      </c>
      <c r="N911" s="831">
        <f ca="1">2 + RAND()</f>
        <v>2.0945219869109901</v>
      </c>
      <c r="O911" s="831">
        <f ca="1">1 + RAND()</f>
        <v>1.2263506854895476</v>
      </c>
      <c r="P911" s="831">
        <f ca="1">2.98 + (RAND() * (3.03 - 2.98))</f>
        <v>3.014284090776131</v>
      </c>
      <c r="Q911" s="832" t="str">
        <f ca="1">IF(D911="130 × 130", (130 + RANDBETWEEN(-1,1)) &amp; " × " &amp; (130 + RANDBETWEEN(-1,1)),
   IF(D911="160 × 160", (160 + RANDBETWEEN(-1,1)) &amp; " × " &amp; (160 + RANDBETWEEN(-1,1)),
   IF(D911="110 × 110", (110 + RANDBETWEEN(-1,1)) &amp; " × " &amp; (110 + RANDBETWEEN(-1,1)),
   "Value not matched")))</f>
        <v>Value not matched</v>
      </c>
      <c r="R911" s="833" t="s">
        <v>213</v>
      </c>
      <c r="S911" s="834" t="str">
        <f ca="1">IF(G911&lt;0.6, "IS 14650 CPS 10748/GR2", "IS 14650 CPS 10748/GR3")</f>
        <v>IS 14650 CPS 10748/GR2</v>
      </c>
      <c r="T911" s="831" t="s">
        <v>769</v>
      </c>
      <c r="U911" s="825"/>
      <c r="V911" s="826"/>
      <c r="W911" s="206">
        <f>Prod.!B512</f>
        <v>0</v>
      </c>
      <c r="X911" s="469">
        <f>Prod.!C512</f>
        <v>0</v>
      </c>
      <c r="Y911" s="469">
        <f>Prod.!D512</f>
        <v>0</v>
      </c>
      <c r="Z911" s="469">
        <f>Prod.!E512</f>
        <v>0</v>
      </c>
      <c r="AA911" s="282">
        <f>Prod.!F512</f>
        <v>0</v>
      </c>
      <c r="AB911" s="282">
        <f>Prod.!G512</f>
        <v>0</v>
      </c>
      <c r="AC911" s="836">
        <f>Prod.!H512</f>
        <v>0</v>
      </c>
      <c r="AD911" s="282">
        <f>Prod.!AB512</f>
        <v>0</v>
      </c>
      <c r="AE911" s="282">
        <f>AD911-AF911</f>
        <v>0</v>
      </c>
      <c r="AF911" s="282">
        <f>Prod.!AA512</f>
        <v>0</v>
      </c>
    </row>
    <row r="912" spans="1:32" ht="15" customHeight="1">
      <c r="A912" s="1435">
        <v>6</v>
      </c>
      <c r="B912" s="818">
        <f>W913</f>
        <v>0</v>
      </c>
      <c r="C912" s="819" t="s">
        <v>765</v>
      </c>
      <c r="D912" s="822"/>
      <c r="E912" s="822"/>
      <c r="F912" s="821">
        <f ca="1">F913 + (RAND() * 0.02 - 0.01)</f>
        <v>-1.2594680887116853E-3</v>
      </c>
      <c r="G912" s="821">
        <f ca="1">G913 + (RAND() * 0.06 - 0.03)</f>
        <v>0.56772346022318654</v>
      </c>
      <c r="H912" s="822">
        <f ca="1">H913 + (RAND() * 0.006 - 0.003)</f>
        <v>-1.3436041991046032E-3</v>
      </c>
      <c r="I912" s="822">
        <f ca="1">I913 + (RAND() * 0.006 - 0.003)</f>
        <v>-1.9488823207479901E-3</v>
      </c>
      <c r="J912" s="821">
        <f ca="1">J913 + (RAND() * 0.02 - 0.01)</f>
        <v>7.7505235219096896E-3</v>
      </c>
      <c r="K912" s="821"/>
      <c r="L912" s="822"/>
      <c r="M912" s="821"/>
      <c r="N912" s="823"/>
      <c r="O912" s="823"/>
      <c r="P912" s="823"/>
      <c r="Q912" s="823"/>
      <c r="R912" s="839"/>
      <c r="S912" s="821"/>
      <c r="T912" s="821"/>
      <c r="U912" s="825"/>
      <c r="V912" s="826"/>
    </row>
    <row r="913" spans="1:32" ht="15" customHeight="1">
      <c r="A913" s="1435"/>
      <c r="B913" s="827">
        <f>B912</f>
        <v>0</v>
      </c>
      <c r="C913" s="828" t="s">
        <v>768</v>
      </c>
      <c r="D913" s="829" t="str">
        <f>IF(AC913=130, "130 × 130", IF(AC913=160, "160 × 160", IF(AC913=110, "110 × 110", "Value not 130, 160, or 110")))</f>
        <v>Value not 130, 160, or 110</v>
      </c>
      <c r="E913" s="830">
        <f>AD913</f>
        <v>0</v>
      </c>
      <c r="F913" s="831">
        <f ca="1">IF(X913 &gt; 0.1, RAND() * (0.1 - 0.06) + 0.06, X913)</f>
        <v>0</v>
      </c>
      <c r="G913" s="831">
        <f ca="1">IF(Y913 &lt; 0.5, 0.5 + RAND() * 0.1, Y913)</f>
        <v>0.55085065106078601</v>
      </c>
      <c r="H913" s="830">
        <f ca="1">IF(AB913&gt;0.04, 0.029 + (0.039-0.029)*RAND(), AB913)</f>
        <v>0</v>
      </c>
      <c r="I913" s="830">
        <f ca="1">IF(AA913&gt;0.04, 0.029 + (0.039-0.029)*RAND(), AA913)</f>
        <v>0</v>
      </c>
      <c r="J913" s="831">
        <f ca="1">IF(Z913&gt;0.15, 0.11 + (0.15-0.11) * RAND(), Z913)</f>
        <v>0</v>
      </c>
      <c r="K913" s="830">
        <f ca="1">0.004 + (RAND() * (0.001 - 0.004))</f>
        <v>1.7559962517288562E-3</v>
      </c>
      <c r="L913" s="830">
        <f ca="1">H913+I913</f>
        <v>0</v>
      </c>
      <c r="M913" s="831">
        <f ca="1">(G913/6)+F913</f>
        <v>9.1808441843464331E-2</v>
      </c>
      <c r="N913" s="831">
        <f ca="1">2 + RAND()</f>
        <v>2.9827170877357112</v>
      </c>
      <c r="O913" s="831">
        <f ca="1">1 + RAND()</f>
        <v>1.7235565749975734</v>
      </c>
      <c r="P913" s="831">
        <f ca="1">2.98 + (RAND() * (3.03 - 2.98))</f>
        <v>2.9949710074937781</v>
      </c>
      <c r="Q913" s="832" t="str">
        <f ca="1">IF(D913="130 × 130", (130 + RANDBETWEEN(-1,1)) &amp; " × " &amp; (130 + RANDBETWEEN(-1,1)),
   IF(D913="160 × 160", (160 + RANDBETWEEN(-1,1)) &amp; " × " &amp; (160 + RANDBETWEEN(-1,1)),
   IF(D913="110 × 110", (110 + RANDBETWEEN(-1,1)) &amp; " × " &amp; (110 + RANDBETWEEN(-1,1)),
   "Value not matched")))</f>
        <v>Value not matched</v>
      </c>
      <c r="R913" s="833" t="s">
        <v>213</v>
      </c>
      <c r="S913" s="834" t="str">
        <f ca="1">IF(G913&lt;0.6, "IS 14650 CPS 10748/GR2", "IS 14650 CPS 10748/GR3")</f>
        <v>IS 14650 CPS 10748/GR2</v>
      </c>
      <c r="T913" s="831" t="s">
        <v>769</v>
      </c>
      <c r="U913" s="825"/>
      <c r="V913" s="826"/>
      <c r="W913" s="206">
        <f>Prod.!B513</f>
        <v>0</v>
      </c>
      <c r="X913" s="469">
        <f>Prod.!C513</f>
        <v>0</v>
      </c>
      <c r="Y913" s="469">
        <f>Prod.!D513</f>
        <v>0</v>
      </c>
      <c r="Z913" s="469">
        <f>Prod.!E513</f>
        <v>0</v>
      </c>
      <c r="AA913" s="282">
        <f>Prod.!F513</f>
        <v>0</v>
      </c>
      <c r="AB913" s="282">
        <f>Prod.!G513</f>
        <v>0</v>
      </c>
      <c r="AC913" s="836">
        <f>Prod.!H513</f>
        <v>0</v>
      </c>
      <c r="AD913" s="282">
        <f>Prod.!AB513</f>
        <v>0</v>
      </c>
      <c r="AE913" s="282">
        <f>AD913-AF913</f>
        <v>0</v>
      </c>
      <c r="AF913" s="282">
        <f>Prod.!AA513</f>
        <v>0</v>
      </c>
    </row>
    <row r="914" spans="1:32" ht="15" customHeight="1">
      <c r="A914" s="1435">
        <v>7</v>
      </c>
      <c r="B914" s="818">
        <f>W915</f>
        <v>0</v>
      </c>
      <c r="C914" s="819" t="s">
        <v>765</v>
      </c>
      <c r="D914" s="822"/>
      <c r="E914" s="822"/>
      <c r="F914" s="821">
        <f ca="1">F915 + (RAND() * 0.02 - 0.01)</f>
        <v>7.3503027546449069E-3</v>
      </c>
      <c r="G914" s="821">
        <f ca="1">G915 + (RAND() * 0.06 - 0.03)</f>
        <v>0.52501380988992286</v>
      </c>
      <c r="H914" s="822">
        <f ca="1">H915 + (RAND() * 0.006 - 0.003)</f>
        <v>-1.8719218581544732E-4</v>
      </c>
      <c r="I914" s="822">
        <f ca="1">I915 + (RAND() * 0.006 - 0.003)</f>
        <v>-8.030990943061621E-4</v>
      </c>
      <c r="J914" s="821">
        <f ca="1">J915 + (RAND() * 0.02 - 0.01)</f>
        <v>-7.074415297496992E-3</v>
      </c>
      <c r="K914" s="821"/>
      <c r="L914" s="822"/>
      <c r="M914" s="821"/>
      <c r="N914" s="823"/>
      <c r="O914" s="823"/>
      <c r="P914" s="823"/>
      <c r="Q914" s="823"/>
      <c r="R914" s="839"/>
      <c r="S914" s="821"/>
      <c r="T914" s="821"/>
      <c r="U914" s="825"/>
      <c r="V914" s="826"/>
    </row>
    <row r="915" spans="1:32" ht="15" customHeight="1">
      <c r="A915" s="1435"/>
      <c r="B915" s="827">
        <f>B914</f>
        <v>0</v>
      </c>
      <c r="C915" s="828" t="s">
        <v>768</v>
      </c>
      <c r="D915" s="829" t="str">
        <f>IF(AC915=130, "130 × 130", IF(AC915=160, "160 × 160", IF(AC915=110, "110 × 110", "Value not 130, 160, or 110")))</f>
        <v>Value not 130, 160, or 110</v>
      </c>
      <c r="E915" s="830">
        <f>AD915</f>
        <v>0</v>
      </c>
      <c r="F915" s="831">
        <f ca="1">IF(X915 &gt; 0.1, RAND() * (0.1 - 0.06) + 0.06, X915)</f>
        <v>0</v>
      </c>
      <c r="G915" s="831">
        <f ca="1">IF(Y915 &lt; 0.5, 0.5 + RAND() * 0.1, Y915)</f>
        <v>0.55155562604741359</v>
      </c>
      <c r="H915" s="830">
        <f ca="1">IF(AB915&gt;0.04, 0.029 + (0.039-0.029)*RAND(), AB915)</f>
        <v>0</v>
      </c>
      <c r="I915" s="830">
        <f ca="1">IF(AA915&gt;0.04, 0.029 + (0.039-0.029)*RAND(), AA915)</f>
        <v>0</v>
      </c>
      <c r="J915" s="831">
        <f ca="1">IF(Z915&gt;0.15, 0.11 + (0.15-0.11) * RAND(), Z915)</f>
        <v>0</v>
      </c>
      <c r="K915" s="830">
        <f ca="1">0.004 + (RAND() * (0.001 - 0.004))</f>
        <v>3.8863703983160478E-3</v>
      </c>
      <c r="L915" s="830">
        <f ca="1">H915+I915</f>
        <v>0</v>
      </c>
      <c r="M915" s="831">
        <f ca="1">(G915/6)+F915</f>
        <v>9.1925937674568928E-2</v>
      </c>
      <c r="N915" s="831">
        <f ca="1">2 + RAND()</f>
        <v>2.042843850052432</v>
      </c>
      <c r="O915" s="831">
        <f ca="1">1 + RAND()</f>
        <v>1.2149759071019557</v>
      </c>
      <c r="P915" s="831">
        <f ca="1">2.98 + (RAND() * (3.03 - 2.98))</f>
        <v>3.0152906692545827</v>
      </c>
      <c r="Q915" s="832" t="str">
        <f ca="1">IF(D915="130 × 130", (130 + RANDBETWEEN(-1,1)) &amp; " × " &amp; (130 + RANDBETWEEN(-1,1)),
   IF(D915="160 × 160", (160 + RANDBETWEEN(-1,1)) &amp; " × " &amp; (160 + RANDBETWEEN(-1,1)),
   IF(D915="110 × 110", (110 + RANDBETWEEN(-1,1)) &amp; " × " &amp; (110 + RANDBETWEEN(-1,1)),
   "Value not matched")))</f>
        <v>Value not matched</v>
      </c>
      <c r="R915" s="833" t="s">
        <v>213</v>
      </c>
      <c r="S915" s="834" t="str">
        <f ca="1">IF(G915&lt;0.6, "IS 14650 CPS 10748/GR2", "IS 14650 CPS 10748/GR3")</f>
        <v>IS 14650 CPS 10748/GR2</v>
      </c>
      <c r="T915" s="831" t="s">
        <v>769</v>
      </c>
      <c r="U915" s="825"/>
      <c r="V915" s="826"/>
      <c r="W915" s="206">
        <f>Prod.!B514</f>
        <v>0</v>
      </c>
      <c r="X915" s="469">
        <f>Prod.!C514</f>
        <v>0</v>
      </c>
      <c r="Y915" s="469">
        <f>Prod.!D514</f>
        <v>0</v>
      </c>
      <c r="Z915" s="469">
        <f>Prod.!E514</f>
        <v>0</v>
      </c>
      <c r="AA915" s="282">
        <f>Prod.!F514</f>
        <v>0</v>
      </c>
      <c r="AB915" s="282">
        <f>Prod.!G514</f>
        <v>0</v>
      </c>
      <c r="AC915" s="836">
        <f>Prod.!H514</f>
        <v>0</v>
      </c>
      <c r="AD915" s="282">
        <f>Prod.!AB514</f>
        <v>0</v>
      </c>
      <c r="AE915" s="282">
        <f>AD915-AF915</f>
        <v>0</v>
      </c>
      <c r="AF915" s="282">
        <f>Prod.!AA514</f>
        <v>0</v>
      </c>
    </row>
    <row r="916" spans="1:32" ht="15" customHeight="1">
      <c r="A916" s="1435">
        <v>8</v>
      </c>
      <c r="B916" s="818">
        <f>W917</f>
        <v>0</v>
      </c>
      <c r="C916" s="819" t="s">
        <v>765</v>
      </c>
      <c r="D916" s="822"/>
      <c r="E916" s="822"/>
      <c r="F916" s="821">
        <f ca="1">F917 + (RAND() * 0.02 - 0.01)</f>
        <v>7.8241523233598936E-3</v>
      </c>
      <c r="G916" s="821">
        <f ca="1">G917 + (RAND() * 0.06 - 0.03)</f>
        <v>0.54075757162391824</v>
      </c>
      <c r="H916" s="822">
        <f ca="1">H917 + (RAND() * 0.006 - 0.003)</f>
        <v>-2.3901429456773381E-3</v>
      </c>
      <c r="I916" s="822">
        <f ca="1">I917 + (RAND() * 0.006 - 0.003)</f>
        <v>-2.232785891013275E-3</v>
      </c>
      <c r="J916" s="821">
        <f ca="1">J917 + (RAND() * 0.02 - 0.01)</f>
        <v>-4.8641851365705362E-3</v>
      </c>
      <c r="K916" s="821"/>
      <c r="L916" s="822"/>
      <c r="M916" s="821"/>
      <c r="N916" s="823"/>
      <c r="O916" s="823"/>
      <c r="P916" s="823"/>
      <c r="Q916" s="823"/>
      <c r="R916" s="839"/>
      <c r="S916" s="821"/>
      <c r="T916" s="821"/>
      <c r="U916" s="825"/>
      <c r="V916" s="826"/>
    </row>
    <row r="917" spans="1:32" ht="15" customHeight="1">
      <c r="A917" s="1435"/>
      <c r="B917" s="827">
        <f>B916</f>
        <v>0</v>
      </c>
      <c r="C917" s="828" t="s">
        <v>768</v>
      </c>
      <c r="D917" s="829" t="str">
        <f>IF(AC917=130, "130 × 130", IF(AC917=160, "160 × 160", IF(AC917=110, "110 × 110", "Value not 130, 160, or 110")))</f>
        <v>Value not 130, 160, or 110</v>
      </c>
      <c r="E917" s="830">
        <f>AD917</f>
        <v>0</v>
      </c>
      <c r="F917" s="831">
        <f ca="1">IF(X917 &gt; 0.1, RAND() * (0.1 - 0.06) + 0.06, X917)</f>
        <v>0</v>
      </c>
      <c r="G917" s="831">
        <f ca="1">IF(Y917 &lt; 0.5, 0.5 + RAND() * 0.1, Y917)</f>
        <v>0.5551235944082048</v>
      </c>
      <c r="H917" s="830">
        <f ca="1">IF(AB917&gt;0.04, 0.029 + (0.039-0.029)*RAND(), AB917)</f>
        <v>0</v>
      </c>
      <c r="I917" s="830">
        <f ca="1">IF(AA917&gt;0.04, 0.029 + (0.039-0.029)*RAND(), AA917)</f>
        <v>0</v>
      </c>
      <c r="J917" s="831">
        <f ca="1">IF(Z917&gt;0.15, 0.11 + (0.15-0.11) * RAND(), Z917)</f>
        <v>0</v>
      </c>
      <c r="K917" s="830">
        <f ca="1">0.004 + (RAND() * (0.001 - 0.004))</f>
        <v>2.6237294315058241E-3</v>
      </c>
      <c r="L917" s="830">
        <f ca="1">H917+I917</f>
        <v>0</v>
      </c>
      <c r="M917" s="831">
        <f ca="1">(G917/6)+F917</f>
        <v>9.2520599068034129E-2</v>
      </c>
      <c r="N917" s="831">
        <f ca="1">2 + RAND()</f>
        <v>2.7420609094622646</v>
      </c>
      <c r="O917" s="831">
        <f ca="1">1 + RAND()</f>
        <v>1.327884984870213</v>
      </c>
      <c r="P917" s="831">
        <f ca="1">2.98 + (RAND() * (3.03 - 2.98))</f>
        <v>2.98132315437398</v>
      </c>
      <c r="Q917" s="832" t="str">
        <f ca="1">IF(D917="130 × 130", (130 + RANDBETWEEN(-1,1)) &amp; " × " &amp; (130 + RANDBETWEEN(-1,1)),
   IF(D917="160 × 160", (160 + RANDBETWEEN(-1,1)) &amp; " × " &amp; (160 + RANDBETWEEN(-1,1)),
   IF(D917="110 × 110", (110 + RANDBETWEEN(-1,1)) &amp; " × " &amp; (110 + RANDBETWEEN(-1,1)),
   "Value not matched")))</f>
        <v>Value not matched</v>
      </c>
      <c r="R917" s="833" t="s">
        <v>213</v>
      </c>
      <c r="S917" s="834" t="str">
        <f ca="1">IF(G917&lt;0.6, "IS 14650 CPS 10748/GR2", "IS 14650 CPS 10748/GR3")</f>
        <v>IS 14650 CPS 10748/GR2</v>
      </c>
      <c r="T917" s="831" t="s">
        <v>769</v>
      </c>
      <c r="U917" s="825"/>
      <c r="V917" s="826"/>
      <c r="W917" s="206">
        <f>Prod.!B515</f>
        <v>0</v>
      </c>
      <c r="X917" s="469">
        <f>Prod.!C515</f>
        <v>0</v>
      </c>
      <c r="Y917" s="469">
        <f>Prod.!D515</f>
        <v>0</v>
      </c>
      <c r="Z917" s="469">
        <f>Prod.!E515</f>
        <v>0</v>
      </c>
      <c r="AA917" s="282">
        <f>Prod.!F515</f>
        <v>0</v>
      </c>
      <c r="AB917" s="282">
        <f>Prod.!G515</f>
        <v>0</v>
      </c>
      <c r="AC917" s="836">
        <f>Prod.!H515</f>
        <v>0</v>
      </c>
      <c r="AD917" s="282">
        <f>Prod.!AB515</f>
        <v>0</v>
      </c>
      <c r="AE917" s="282">
        <f>AD917-AF917</f>
        <v>0</v>
      </c>
      <c r="AF917" s="282">
        <f>Prod.!AA515</f>
        <v>0</v>
      </c>
    </row>
    <row r="918" spans="1:32" ht="15" customHeight="1">
      <c r="A918" s="1435">
        <v>9</v>
      </c>
      <c r="B918" s="818">
        <f>W919</f>
        <v>0</v>
      </c>
      <c r="C918" s="819" t="s">
        <v>765</v>
      </c>
      <c r="D918" s="822"/>
      <c r="E918" s="822"/>
      <c r="F918" s="821">
        <f ca="1">F919 + (RAND() * 0.02 - 0.01)</f>
        <v>9.8717192057517517E-3</v>
      </c>
      <c r="G918" s="821">
        <f ca="1">G919 + (RAND() * 0.06 - 0.03)</f>
        <v>0.49996892763066564</v>
      </c>
      <c r="H918" s="822">
        <f ca="1">H919 + (RAND() * 0.006 - 0.003)</f>
        <v>1.2395539317804462E-4</v>
      </c>
      <c r="I918" s="822">
        <f ca="1">I919 + (RAND() * 0.006 - 0.003)</f>
        <v>5.0819551225406981E-4</v>
      </c>
      <c r="J918" s="821">
        <f ca="1">J919 + (RAND() * 0.02 - 0.01)</f>
        <v>6.5033343981149416E-3</v>
      </c>
      <c r="K918" s="821"/>
      <c r="L918" s="822"/>
      <c r="M918" s="821"/>
      <c r="N918" s="823"/>
      <c r="O918" s="823"/>
      <c r="P918" s="823"/>
      <c r="Q918" s="823"/>
      <c r="R918" s="839"/>
      <c r="S918" s="821"/>
      <c r="T918" s="821"/>
      <c r="U918" s="825"/>
      <c r="V918" s="826"/>
    </row>
    <row r="919" spans="1:32" ht="15" customHeight="1">
      <c r="A919" s="1435"/>
      <c r="B919" s="827">
        <f>B918</f>
        <v>0</v>
      </c>
      <c r="C919" s="828" t="s">
        <v>768</v>
      </c>
      <c r="D919" s="829" t="str">
        <f>IF(AC919=130, "130 × 130", IF(AC919=160, "160 × 160", IF(AC919=110, "110 × 110", "Value not 130, 160, or 110")))</f>
        <v>Value not 130, 160, or 110</v>
      </c>
      <c r="E919" s="830">
        <f>AD919</f>
        <v>0</v>
      </c>
      <c r="F919" s="831">
        <f ca="1">IF(X919 &gt; 0.1, RAND() * (0.1 - 0.06) + 0.06, X919)</f>
        <v>0</v>
      </c>
      <c r="G919" s="831">
        <f ca="1">IF(Y919 &lt; 0.5, 0.5 + RAND() * 0.1, Y919)</f>
        <v>0.51961580185680833</v>
      </c>
      <c r="H919" s="830">
        <f ca="1">IF(AB919&gt;0.04, 0.029 + (0.039-0.029)*RAND(), AB919)</f>
        <v>0</v>
      </c>
      <c r="I919" s="830">
        <f ca="1">IF(AA919&gt;0.04, 0.029 + (0.039-0.029)*RAND(), AA919)</f>
        <v>0</v>
      </c>
      <c r="J919" s="831">
        <f ca="1">IF(Z919&gt;0.15, 0.11 + (0.15-0.11) * RAND(), Z919)</f>
        <v>0</v>
      </c>
      <c r="K919" s="830">
        <f ca="1">0.004 + (RAND() * (0.001 - 0.004))</f>
        <v>2.8945349119955388E-3</v>
      </c>
      <c r="L919" s="830">
        <f ca="1">H919+I919</f>
        <v>0</v>
      </c>
      <c r="M919" s="831">
        <f ca="1">(G919/6)+F919</f>
        <v>8.6602633642801394E-2</v>
      </c>
      <c r="N919" s="831">
        <f ca="1">2 + RAND()</f>
        <v>2.2787930885970979</v>
      </c>
      <c r="O919" s="831">
        <f ca="1">1 + RAND()</f>
        <v>1.1515525325474045</v>
      </c>
      <c r="P919" s="831">
        <f ca="1">2.98 + (RAND() * (3.03 - 2.98))</f>
        <v>2.9958058084265895</v>
      </c>
      <c r="Q919" s="832" t="str">
        <f ca="1">IF(D919="130 × 130", (130 + RANDBETWEEN(-1,1)) &amp; " × " &amp; (130 + RANDBETWEEN(-1,1)),
   IF(D919="160 × 160", (160 + RANDBETWEEN(-1,1)) &amp; " × " &amp; (160 + RANDBETWEEN(-1,1)),
   IF(D919="110 × 110", (110 + RANDBETWEEN(-1,1)) &amp; " × " &amp; (110 + RANDBETWEEN(-1,1)),
   "Value not matched")))</f>
        <v>Value not matched</v>
      </c>
      <c r="R919" s="833" t="s">
        <v>213</v>
      </c>
      <c r="S919" s="834" t="str">
        <f ca="1">IF(G919&lt;0.6, "IS 14650 CPS 10748/GR2", "IS 14650 CPS 10748/GR3")</f>
        <v>IS 14650 CPS 10748/GR2</v>
      </c>
      <c r="T919" s="831" t="s">
        <v>769</v>
      </c>
      <c r="U919" s="825"/>
      <c r="V919" s="826"/>
      <c r="W919" s="206">
        <f>Prod.!B516</f>
        <v>0</v>
      </c>
      <c r="X919" s="469">
        <f>Prod.!C516</f>
        <v>0</v>
      </c>
      <c r="Y919" s="469">
        <f>Prod.!D516</f>
        <v>0</v>
      </c>
      <c r="Z919" s="469">
        <f>Prod.!E516</f>
        <v>0</v>
      </c>
      <c r="AA919" s="282">
        <f>Prod.!F516</f>
        <v>0</v>
      </c>
      <c r="AB919" s="282">
        <f>Prod.!G516</f>
        <v>0</v>
      </c>
      <c r="AC919" s="836">
        <f>Prod.!H516</f>
        <v>0</v>
      </c>
      <c r="AD919" s="282">
        <f>Prod.!AB516</f>
        <v>0</v>
      </c>
      <c r="AE919" s="282">
        <f>AD919-AF919</f>
        <v>0</v>
      </c>
      <c r="AF919" s="282">
        <f>Prod.!AA516</f>
        <v>0</v>
      </c>
    </row>
    <row r="920" spans="1:32" ht="15" customHeight="1">
      <c r="A920" s="1435">
        <v>10</v>
      </c>
      <c r="B920" s="818">
        <f>W921</f>
        <v>0</v>
      </c>
      <c r="C920" s="819" t="s">
        <v>765</v>
      </c>
      <c r="D920" s="822"/>
      <c r="E920" s="822"/>
      <c r="F920" s="821">
        <f ca="1">F921 + (RAND() * 0.02 - 0.01)</f>
        <v>-1.1418823129828448E-3</v>
      </c>
      <c r="G920" s="821">
        <f ca="1">G921 + (RAND() * 0.06 - 0.03)</f>
        <v>0.54205780922090974</v>
      </c>
      <c r="H920" s="822">
        <f ca="1">H921 + (RAND() * 0.006 - 0.003)</f>
        <v>-8.4350120757829394E-4</v>
      </c>
      <c r="I920" s="822">
        <f ca="1">I921 + (RAND() * 0.006 - 0.003)</f>
        <v>2.2799093998063244E-3</v>
      </c>
      <c r="J920" s="821">
        <f ca="1">J921 + (RAND() * 0.02 - 0.01)</f>
        <v>-4.8821458242084507E-3</v>
      </c>
      <c r="K920" s="821"/>
      <c r="L920" s="822"/>
      <c r="M920" s="821"/>
      <c r="N920" s="823"/>
      <c r="O920" s="823"/>
      <c r="P920" s="823"/>
      <c r="Q920" s="823"/>
      <c r="R920" s="839"/>
      <c r="S920" s="821"/>
      <c r="T920" s="821"/>
      <c r="U920" s="825"/>
      <c r="V920" s="826"/>
    </row>
    <row r="921" spans="1:32" ht="15" customHeight="1">
      <c r="A921" s="1435"/>
      <c r="B921" s="827">
        <f>B920</f>
        <v>0</v>
      </c>
      <c r="C921" s="828" t="s">
        <v>768</v>
      </c>
      <c r="D921" s="829" t="str">
        <f>IF(AC921=130, "130 × 130", IF(AC921=160, "160 × 160", IF(AC921=110, "110 × 110", "Value not 130, 160, or 110")))</f>
        <v>Value not 130, 160, or 110</v>
      </c>
      <c r="E921" s="830">
        <f>AD921</f>
        <v>0</v>
      </c>
      <c r="F921" s="831">
        <f ca="1">IF(X921 &gt; 0.1, RAND() * (0.1 - 0.06) + 0.06, X921)</f>
        <v>0</v>
      </c>
      <c r="G921" s="831">
        <f ca="1">IF(Y921 &lt; 0.5, 0.5 + RAND() * 0.1, Y921)</f>
        <v>0.55169175623855893</v>
      </c>
      <c r="H921" s="830">
        <f ca="1">IF(AB921&gt;0.04, 0.029 + (0.039-0.029)*RAND(), AB921)</f>
        <v>0</v>
      </c>
      <c r="I921" s="830">
        <f ca="1">IF(AA921&gt;0.04, 0.029 + (0.039-0.029)*RAND(), AA921)</f>
        <v>0</v>
      </c>
      <c r="J921" s="831">
        <f ca="1">IF(Z921&gt;0.15, 0.11 + (0.15-0.11) * RAND(), Z921)</f>
        <v>0</v>
      </c>
      <c r="K921" s="830">
        <f ca="1">0.004 + (RAND() * (0.001 - 0.004))</f>
        <v>1.5546489624191011E-3</v>
      </c>
      <c r="L921" s="830">
        <f ca="1">H921+I921</f>
        <v>0</v>
      </c>
      <c r="M921" s="831">
        <f ca="1">(G921/6)+F921</f>
        <v>9.1948626039759826E-2</v>
      </c>
      <c r="N921" s="831">
        <f ca="1">2 + RAND()</f>
        <v>2.5469130609309212</v>
      </c>
      <c r="O921" s="831">
        <f ca="1">1 + RAND()</f>
        <v>1.1974417878566457</v>
      </c>
      <c r="P921" s="831">
        <f ca="1">2.98 + (RAND() * (3.03 - 2.98))</f>
        <v>3.0019199926785212</v>
      </c>
      <c r="Q921" s="832" t="str">
        <f ca="1">IF(D921="130 × 130", (130 + RANDBETWEEN(-1,1)) &amp; " × " &amp; (130 + RANDBETWEEN(-1,1)),
   IF(D921="160 × 160", (160 + RANDBETWEEN(-1,1)) &amp; " × " &amp; (160 + RANDBETWEEN(-1,1)),
   IF(D921="110 × 110", (110 + RANDBETWEEN(-1,1)) &amp; " × " &amp; (110 + RANDBETWEEN(-1,1)),
   "Value not matched")))</f>
        <v>Value not matched</v>
      </c>
      <c r="R921" s="833" t="s">
        <v>213</v>
      </c>
      <c r="S921" s="834" t="str">
        <f ca="1">IF(G921&lt;0.6, "IS 14650 CPS 10748/GR2", "IS 14650 CPS 10748/GR3")</f>
        <v>IS 14650 CPS 10748/GR2</v>
      </c>
      <c r="T921" s="831" t="s">
        <v>769</v>
      </c>
      <c r="U921" s="825"/>
      <c r="V921" s="826"/>
      <c r="W921" s="206">
        <f>Prod.!B517</f>
        <v>0</v>
      </c>
      <c r="X921" s="469">
        <f>Prod.!C517</f>
        <v>0</v>
      </c>
      <c r="Y921" s="469">
        <f>Prod.!D517</f>
        <v>0</v>
      </c>
      <c r="Z921" s="469">
        <f>Prod.!E517</f>
        <v>0</v>
      </c>
      <c r="AA921" s="282">
        <f>Prod.!F517</f>
        <v>0</v>
      </c>
      <c r="AB921" s="282">
        <f>Prod.!G517</f>
        <v>0</v>
      </c>
      <c r="AC921" s="836">
        <f>Prod.!H517</f>
        <v>0</v>
      </c>
      <c r="AD921" s="282">
        <f>Prod.!AB517</f>
        <v>0</v>
      </c>
      <c r="AE921" s="282">
        <f>AD921-AF921</f>
        <v>0</v>
      </c>
      <c r="AF921" s="282">
        <f>Prod.!AA517</f>
        <v>0</v>
      </c>
    </row>
    <row r="922" spans="1:32" ht="15" customHeight="1">
      <c r="A922" s="1435">
        <v>11</v>
      </c>
      <c r="B922" s="818">
        <f>W923</f>
        <v>0</v>
      </c>
      <c r="C922" s="819" t="s">
        <v>765</v>
      </c>
      <c r="D922" s="822"/>
      <c r="E922" s="822"/>
      <c r="F922" s="821">
        <f ca="1">F923 + (RAND() * 0.02 - 0.01)</f>
        <v>-3.1680212265464604E-3</v>
      </c>
      <c r="G922" s="821">
        <f ca="1">G923 + (RAND() * 0.06 - 0.03)</f>
        <v>0.50719079605408379</v>
      </c>
      <c r="H922" s="822">
        <f ca="1">H923 + (RAND() * 0.006 - 0.003)</f>
        <v>-3.3007566114886828E-4</v>
      </c>
      <c r="I922" s="822">
        <f ca="1">I923 + (RAND() * 0.006 - 0.003)</f>
        <v>2.8149932669281506E-3</v>
      </c>
      <c r="J922" s="821">
        <f ca="1">J923 + (RAND() * 0.02 - 0.01)</f>
        <v>3.3031941583664907E-3</v>
      </c>
      <c r="K922" s="821"/>
      <c r="L922" s="822"/>
      <c r="M922" s="821"/>
      <c r="N922" s="823"/>
      <c r="O922" s="823"/>
      <c r="P922" s="823"/>
      <c r="Q922" s="823"/>
      <c r="R922" s="839"/>
      <c r="S922" s="821"/>
      <c r="T922" s="821"/>
      <c r="U922" s="825"/>
      <c r="V922" s="826"/>
    </row>
    <row r="923" spans="1:32" ht="15" customHeight="1">
      <c r="A923" s="1435"/>
      <c r="B923" s="827">
        <f>B922</f>
        <v>0</v>
      </c>
      <c r="C923" s="828" t="s">
        <v>768</v>
      </c>
      <c r="D923" s="829" t="str">
        <f>IF(AC923=130, "130 × 130", IF(AC923=160, "160 × 160", IF(AC923=110, "110 × 110", "Value not 130, 160, or 110")))</f>
        <v>Value not 130, 160, or 110</v>
      </c>
      <c r="E923" s="830">
        <f>AD923</f>
        <v>0</v>
      </c>
      <c r="F923" s="831">
        <f ca="1">IF(X923 &gt; 0.1, RAND() * (0.1 - 0.06) + 0.06, X923)</f>
        <v>0</v>
      </c>
      <c r="G923" s="831">
        <f ca="1">IF(Y923 &lt; 0.5, 0.5 + RAND() * 0.1, Y923)</f>
        <v>0.53231463747721053</v>
      </c>
      <c r="H923" s="830">
        <f ca="1">IF(AB923&gt;0.04, 0.029 + (0.039-0.029)*RAND(), AB923)</f>
        <v>0</v>
      </c>
      <c r="I923" s="830">
        <f ca="1">IF(AA923&gt;0.04, 0.029 + (0.039-0.029)*RAND(), AA923)</f>
        <v>0</v>
      </c>
      <c r="J923" s="831">
        <f ca="1">IF(Z923&gt;0.15, 0.11 + (0.15-0.11) * RAND(), Z923)</f>
        <v>0</v>
      </c>
      <c r="K923" s="830">
        <f ca="1">0.004 + (RAND() * (0.001 - 0.004))</f>
        <v>1.0167423166215681E-3</v>
      </c>
      <c r="L923" s="830">
        <f ca="1">H923+I923</f>
        <v>0</v>
      </c>
      <c r="M923" s="831">
        <f ca="1">(G923/6)+F923</f>
        <v>8.8719106246201759E-2</v>
      </c>
      <c r="N923" s="831">
        <f ca="1">2 + RAND()</f>
        <v>2.1822716330418666</v>
      </c>
      <c r="O923" s="831">
        <f ca="1">1 + RAND()</f>
        <v>1.4389836157292957</v>
      </c>
      <c r="P923" s="831">
        <f ca="1">2.98 + (RAND() * (3.03 - 2.98))</f>
        <v>2.9972473316323192</v>
      </c>
      <c r="Q923" s="832" t="str">
        <f ca="1">IF(D923="130 × 130", (130 + RANDBETWEEN(-1,1)) &amp; " × " &amp; (130 + RANDBETWEEN(-1,1)),
   IF(D923="160 × 160", (160 + RANDBETWEEN(-1,1)) &amp; " × " &amp; (160 + RANDBETWEEN(-1,1)),
   IF(D923="110 × 110", (110 + RANDBETWEEN(-1,1)) &amp; " × " &amp; (110 + RANDBETWEEN(-1,1)),
   "Value not matched")))</f>
        <v>Value not matched</v>
      </c>
      <c r="R923" s="833" t="s">
        <v>213</v>
      </c>
      <c r="S923" s="834" t="str">
        <f ca="1">IF(G923&lt;0.6, "IS 14650 CPS 10748/GR2", "IS 14650 CPS 10748/GR3")</f>
        <v>IS 14650 CPS 10748/GR2</v>
      </c>
      <c r="T923" s="831" t="s">
        <v>769</v>
      </c>
      <c r="U923" s="825"/>
      <c r="V923" s="826"/>
      <c r="W923" s="206">
        <f>Prod.!B518</f>
        <v>0</v>
      </c>
      <c r="X923" s="469">
        <f>Prod.!C518</f>
        <v>0</v>
      </c>
      <c r="Y923" s="469">
        <f>Prod.!D518</f>
        <v>0</v>
      </c>
      <c r="Z923" s="469">
        <f>Prod.!E518</f>
        <v>0</v>
      </c>
      <c r="AA923" s="282">
        <f>Prod.!F518</f>
        <v>0</v>
      </c>
      <c r="AB923" s="282">
        <f>Prod.!G518</f>
        <v>0</v>
      </c>
      <c r="AC923" s="836">
        <f>Prod.!H518</f>
        <v>0</v>
      </c>
      <c r="AD923" s="282">
        <f>Prod.!AB518</f>
        <v>0</v>
      </c>
      <c r="AE923" s="282">
        <f>AD923-AF923</f>
        <v>0</v>
      </c>
      <c r="AF923" s="282">
        <f>Prod.!AA518</f>
        <v>0</v>
      </c>
    </row>
    <row r="924" spans="1:32" ht="15" customHeight="1">
      <c r="A924" s="1435">
        <v>12</v>
      </c>
      <c r="B924" s="818">
        <f>W925</f>
        <v>0</v>
      </c>
      <c r="C924" s="819" t="s">
        <v>765</v>
      </c>
      <c r="D924" s="822"/>
      <c r="E924" s="822"/>
      <c r="F924" s="821">
        <f ca="1">F925 + (RAND() * 0.02 - 0.01)</f>
        <v>-1.0324162639751416E-4</v>
      </c>
      <c r="G924" s="821">
        <f ca="1">G925 + (RAND() * 0.06 - 0.03)</f>
        <v>0.51561844200593077</v>
      </c>
      <c r="H924" s="822">
        <f ca="1">H925 + (RAND() * 0.006 - 0.003)</f>
        <v>-2.6467601621350334E-4</v>
      </c>
      <c r="I924" s="822">
        <f ca="1">I925 + (RAND() * 0.006 - 0.003)</f>
        <v>-1.2201303796738595E-3</v>
      </c>
      <c r="J924" s="821">
        <f ca="1">J925 + (RAND() * 0.02 - 0.01)</f>
        <v>7.2521730039684842E-3</v>
      </c>
      <c r="K924" s="821"/>
      <c r="L924" s="822"/>
      <c r="M924" s="821"/>
      <c r="N924" s="823"/>
      <c r="O924" s="823"/>
      <c r="P924" s="823"/>
      <c r="Q924" s="823"/>
      <c r="R924" s="839"/>
      <c r="S924" s="821"/>
      <c r="T924" s="821"/>
      <c r="U924" s="825"/>
      <c r="V924" s="826"/>
    </row>
    <row r="925" spans="1:32" ht="15" customHeight="1">
      <c r="A925" s="1435"/>
      <c r="B925" s="827">
        <f>B924</f>
        <v>0</v>
      </c>
      <c r="C925" s="828" t="s">
        <v>768</v>
      </c>
      <c r="D925" s="829" t="str">
        <f>IF(AC925=130, "130 × 130", IF(AC925=160, "160 × 160", IF(AC925=110, "110 × 110", "Value not 130, 160, or 110")))</f>
        <v>Value not 130, 160, or 110</v>
      </c>
      <c r="E925" s="830">
        <f>AD925</f>
        <v>0</v>
      </c>
      <c r="F925" s="831">
        <f ca="1">IF(X925 &gt; 0.1, RAND() * (0.1 - 0.06) + 0.06, X925)</f>
        <v>0</v>
      </c>
      <c r="G925" s="831">
        <f ca="1">IF(Y925 &lt; 0.5, 0.5 + RAND() * 0.1, Y925)</f>
        <v>0.53600266483437597</v>
      </c>
      <c r="H925" s="830">
        <f ca="1">IF(AB925&gt;0.04, 0.029 + (0.039-0.029)*RAND(), AB925)</f>
        <v>0</v>
      </c>
      <c r="I925" s="830">
        <f ca="1">IF(AA925&gt;0.04, 0.029 + (0.039-0.029)*RAND(), AA925)</f>
        <v>0</v>
      </c>
      <c r="J925" s="831">
        <f ca="1">IF(Z925&gt;0.15, 0.11 + (0.15-0.11) * RAND(), Z925)</f>
        <v>0</v>
      </c>
      <c r="K925" s="830">
        <f ca="1">0.004 + (RAND() * (0.001 - 0.004))</f>
        <v>1.7571209498981246E-3</v>
      </c>
      <c r="L925" s="830">
        <f ca="1">H925+I925</f>
        <v>0</v>
      </c>
      <c r="M925" s="831">
        <f ca="1">(G925/6)+F925</f>
        <v>8.9333777472396E-2</v>
      </c>
      <c r="N925" s="831">
        <f ca="1">2 + RAND()</f>
        <v>2.2507610688031163</v>
      </c>
      <c r="O925" s="831">
        <f ca="1">1 + RAND()</f>
        <v>1.938488258480181</v>
      </c>
      <c r="P925" s="831">
        <f ca="1">2.98 + (RAND() * (3.03 - 2.98))</f>
        <v>2.9892075460962033</v>
      </c>
      <c r="Q925" s="832" t="str">
        <f ca="1">IF(D925="130 × 130", (130 + RANDBETWEEN(-1,1)) &amp; " × " &amp; (130 + RANDBETWEEN(-1,1)),
   IF(D925="160 × 160", (160 + RANDBETWEEN(-1,1)) &amp; " × " &amp; (160 + RANDBETWEEN(-1,1)),
   IF(D925="110 × 110", (110 + RANDBETWEEN(-1,1)) &amp; " × " &amp; (110 + RANDBETWEEN(-1,1)),
   "Value not matched")))</f>
        <v>Value not matched</v>
      </c>
      <c r="R925" s="833" t="s">
        <v>213</v>
      </c>
      <c r="S925" s="834" t="str">
        <f ca="1">IF(G925&lt;0.6, "IS 14650 CPS 10748/GR2", "IS 14650 CPS 10748/GR3")</f>
        <v>IS 14650 CPS 10748/GR2</v>
      </c>
      <c r="T925" s="831" t="s">
        <v>769</v>
      </c>
      <c r="U925" s="825"/>
      <c r="V925" s="826"/>
      <c r="W925" s="206">
        <f>Prod.!B519</f>
        <v>0</v>
      </c>
      <c r="X925" s="469">
        <f>Prod.!C519</f>
        <v>0</v>
      </c>
      <c r="Y925" s="469">
        <f>Prod.!D519</f>
        <v>0</v>
      </c>
      <c r="Z925" s="469">
        <f>Prod.!E519</f>
        <v>0</v>
      </c>
      <c r="AA925" s="282">
        <f>Prod.!F519</f>
        <v>0</v>
      </c>
      <c r="AB925" s="282">
        <f>Prod.!G519</f>
        <v>0</v>
      </c>
      <c r="AC925" s="836">
        <f>Prod.!H519</f>
        <v>0</v>
      </c>
      <c r="AD925" s="282">
        <f>Prod.!AB519</f>
        <v>0</v>
      </c>
      <c r="AE925" s="282">
        <f>AD925-AF925</f>
        <v>0</v>
      </c>
      <c r="AF925" s="282">
        <f>Prod.!AA519</f>
        <v>0</v>
      </c>
    </row>
    <row r="926" spans="1:32" ht="15" customHeight="1">
      <c r="A926" s="1435">
        <v>13</v>
      </c>
      <c r="B926" s="818">
        <f>W927</f>
        <v>0</v>
      </c>
      <c r="C926" s="819" t="s">
        <v>765</v>
      </c>
      <c r="D926" s="822"/>
      <c r="E926" s="822"/>
      <c r="F926" s="821">
        <f ca="1">F927 + (RAND() * 0.02 - 0.01)</f>
        <v>-4.3594371032859916E-5</v>
      </c>
      <c r="G926" s="821">
        <f ca="1">G927 + (RAND() * 0.06 - 0.03)</f>
        <v>0.61956969158506203</v>
      </c>
      <c r="H926" s="822">
        <f ca="1">H927 + (RAND() * 0.006 - 0.003)</f>
        <v>7.7526163895138547E-4</v>
      </c>
      <c r="I926" s="822">
        <f ca="1">I927 + (RAND() * 0.006 - 0.003)</f>
        <v>1.7260723531287298E-3</v>
      </c>
      <c r="J926" s="821">
        <f ca="1">J927 + (RAND() * 0.02 - 0.01)</f>
        <v>9.1217525478924557E-3</v>
      </c>
      <c r="K926" s="821"/>
      <c r="L926" s="822"/>
      <c r="M926" s="821"/>
      <c r="N926" s="823"/>
      <c r="O926" s="823"/>
      <c r="P926" s="823"/>
      <c r="Q926" s="823"/>
      <c r="R926" s="839"/>
      <c r="S926" s="821"/>
      <c r="T926" s="821"/>
      <c r="U926" s="825"/>
      <c r="V926" s="826"/>
    </row>
    <row r="927" spans="1:32" ht="15" customHeight="1">
      <c r="A927" s="1435"/>
      <c r="B927" s="827">
        <f>B926</f>
        <v>0</v>
      </c>
      <c r="C927" s="828" t="s">
        <v>768</v>
      </c>
      <c r="D927" s="829" t="str">
        <f>IF(AC927=130, "130 × 130", IF(AC927=160, "160 × 160", IF(AC927=110, "110 × 110", "Value not 130, 160, or 110")))</f>
        <v>Value not 130, 160, or 110</v>
      </c>
      <c r="E927" s="830">
        <f>AD927</f>
        <v>0</v>
      </c>
      <c r="F927" s="831">
        <f ca="1">IF(X927 &gt; 0.1, RAND() * (0.1 - 0.06) + 0.06, X927)</f>
        <v>0</v>
      </c>
      <c r="G927" s="831">
        <f ca="1">IF(Y927 &lt; 0.5, 0.5 + RAND() * 0.1, Y927)</f>
        <v>0.59605846984516109</v>
      </c>
      <c r="H927" s="830">
        <f ca="1">IF(AB927&gt;0.04, 0.029 + (0.039-0.029)*RAND(), AB927)</f>
        <v>0</v>
      </c>
      <c r="I927" s="830">
        <f ca="1">IF(AA927&gt;0.04, 0.029 + (0.039-0.029)*RAND(), AA927)</f>
        <v>0</v>
      </c>
      <c r="J927" s="831">
        <f ca="1">IF(Z927&gt;0.15, 0.11 + (0.15-0.11) * RAND(), Z927)</f>
        <v>0</v>
      </c>
      <c r="K927" s="830">
        <f ca="1">0.004 + (RAND() * (0.001 - 0.004))</f>
        <v>3.9398554857363781E-3</v>
      </c>
      <c r="L927" s="830">
        <f ca="1">H927+I927</f>
        <v>0</v>
      </c>
      <c r="M927" s="831">
        <f ca="1">(G927/6)+F927</f>
        <v>9.9343078307526853E-2</v>
      </c>
      <c r="N927" s="831">
        <f ca="1">2 + RAND()</f>
        <v>2.6013852031372515</v>
      </c>
      <c r="O927" s="831">
        <f ca="1">1 + RAND()</f>
        <v>1.7504495605740482</v>
      </c>
      <c r="P927" s="831">
        <f ca="1">2.98 + (RAND() * (3.03 - 2.98))</f>
        <v>3.0213508531707158</v>
      </c>
      <c r="Q927" s="832" t="str">
        <f ca="1">IF(D927="130 × 130", (130 + RANDBETWEEN(-1,1)) &amp; " × " &amp; (130 + RANDBETWEEN(-1,1)),
   IF(D927="160 × 160", (160 + RANDBETWEEN(-1,1)) &amp; " × " &amp; (160 + RANDBETWEEN(-1,1)),
   IF(D927="110 × 110", (110 + RANDBETWEEN(-1,1)) &amp; " × " &amp; (110 + RANDBETWEEN(-1,1)),
   "Value not matched")))</f>
        <v>Value not matched</v>
      </c>
      <c r="R927" s="833" t="s">
        <v>213</v>
      </c>
      <c r="S927" s="834" t="str">
        <f ca="1">IF(G927&lt;0.6, "IS 14650 CPS 10748/GR2", "IS 14650 CPS 10748/GR3")</f>
        <v>IS 14650 CPS 10748/GR2</v>
      </c>
      <c r="T927" s="831" t="s">
        <v>769</v>
      </c>
      <c r="U927" s="825"/>
      <c r="V927" s="826"/>
    </row>
    <row r="928" spans="1:32" ht="15" customHeight="1">
      <c r="A928" s="180"/>
      <c r="B928" s="180"/>
      <c r="C928" s="180" t="s">
        <v>770</v>
      </c>
      <c r="D928" s="395"/>
      <c r="E928" s="844">
        <f>SUM(E902:E927)</f>
        <v>0</v>
      </c>
      <c r="F928" s="180"/>
      <c r="G928" s="180"/>
      <c r="H928" s="844"/>
      <c r="I928" s="180"/>
      <c r="J928" s="845"/>
      <c r="K928" s="845"/>
      <c r="L928" s="180"/>
      <c r="M928" s="845"/>
      <c r="N928" s="180"/>
      <c r="O928" s="180"/>
      <c r="P928" s="180"/>
      <c r="Q928" s="180"/>
      <c r="R928" s="263"/>
      <c r="S928" s="180"/>
      <c r="T928" s="180"/>
    </row>
    <row r="929" spans="1:32" ht="28.5" customHeight="1">
      <c r="A929" s="1436" t="s">
        <v>746</v>
      </c>
      <c r="B929" s="1436"/>
      <c r="C929" s="1436"/>
      <c r="D929" s="1436"/>
      <c r="E929" s="1436"/>
      <c r="F929" s="1436"/>
      <c r="G929" s="1436"/>
      <c r="H929" s="1436"/>
      <c r="I929" s="1436"/>
      <c r="J929" s="1436"/>
      <c r="K929" s="1436"/>
      <c r="L929" s="1436"/>
      <c r="M929" s="1436"/>
      <c r="N929" s="1436"/>
      <c r="O929" s="1436"/>
      <c r="P929" s="1436"/>
      <c r="Q929" s="1436"/>
      <c r="R929" s="1436"/>
      <c r="S929" s="1436"/>
      <c r="T929" s="1436"/>
      <c r="U929" s="515"/>
      <c r="V929" s="846"/>
    </row>
    <row r="930" spans="1:32" ht="15" customHeight="1">
      <c r="A930" s="1437" t="s">
        <v>747</v>
      </c>
      <c r="B930" s="1437"/>
      <c r="C930" s="1437"/>
      <c r="D930" s="1437"/>
      <c r="E930" s="1437"/>
      <c r="F930" s="1437"/>
      <c r="G930" s="1437"/>
      <c r="H930" s="1437"/>
      <c r="I930" s="1437"/>
      <c r="J930" s="1437"/>
      <c r="K930" s="1437"/>
      <c r="L930" s="1437"/>
      <c r="M930" s="1437"/>
      <c r="N930" s="1437"/>
      <c r="O930" s="1437"/>
      <c r="P930" s="1437"/>
      <c r="Q930" s="1437"/>
      <c r="R930" s="1437"/>
      <c r="S930" s="1437"/>
      <c r="T930" s="1437"/>
      <c r="U930" s="806"/>
      <c r="V930" s="807"/>
    </row>
    <row r="931" spans="1:32" ht="15" customHeight="1">
      <c r="A931" s="1438" t="str">
        <f>"DATE OF MANUFACTURING : " &amp; TEXT(V935, "DD-MM-YYYY")</f>
        <v>DATE OF MANUFACTURING : 00-01-1900</v>
      </c>
      <c r="B931" s="1438"/>
      <c r="C931" s="1438"/>
      <c r="D931" s="1438"/>
      <c r="E931" s="1438"/>
      <c r="F931" s="1438"/>
      <c r="G931" s="1438"/>
      <c r="H931" s="1438"/>
      <c r="I931" s="1438"/>
      <c r="J931" s="1438"/>
      <c r="K931" s="1438"/>
      <c r="L931" s="1438"/>
      <c r="M931" s="1438"/>
      <c r="N931" s="1437" t="s">
        <v>748</v>
      </c>
      <c r="O931" s="1437"/>
      <c r="P931" s="1437"/>
      <c r="Q931" s="1437"/>
      <c r="R931" s="1437"/>
      <c r="S931" s="1437"/>
      <c r="T931" s="1437"/>
      <c r="U931" s="808"/>
      <c r="V931" s="809"/>
    </row>
    <row r="932" spans="1:32" ht="29.25" customHeight="1">
      <c r="A932" s="1439" t="s">
        <v>749</v>
      </c>
      <c r="B932" s="1440" t="s">
        <v>750</v>
      </c>
      <c r="C932" s="1440"/>
      <c r="D932" s="1440" t="s">
        <v>751</v>
      </c>
      <c r="E932" s="1441" t="s">
        <v>752</v>
      </c>
      <c r="F932" s="1442" t="s">
        <v>753</v>
      </c>
      <c r="G932" s="1442"/>
      <c r="H932" s="1442"/>
      <c r="I932" s="1442"/>
      <c r="J932" s="1442"/>
      <c r="K932" s="1442"/>
      <c r="L932" s="1442"/>
      <c r="M932" s="1442"/>
      <c r="N932" s="1442" t="s">
        <v>754</v>
      </c>
      <c r="O932" s="1442"/>
      <c r="P932" s="1442"/>
      <c r="Q932" s="1442"/>
      <c r="R932" s="1443" t="s">
        <v>771</v>
      </c>
      <c r="S932" s="1441" t="s">
        <v>756</v>
      </c>
      <c r="T932" s="1440" t="s">
        <v>104</v>
      </c>
      <c r="U932" s="810"/>
      <c r="V932" s="811"/>
    </row>
    <row r="933" spans="1:32" ht="42.75" customHeight="1">
      <c r="A933" s="1439"/>
      <c r="B933" s="1440"/>
      <c r="C933" s="1440"/>
      <c r="D933" s="1440"/>
      <c r="E933" s="1440"/>
      <c r="F933" s="812" t="s">
        <v>40</v>
      </c>
      <c r="G933" s="812" t="s">
        <v>757</v>
      </c>
      <c r="H933" s="813" t="s">
        <v>758</v>
      </c>
      <c r="I933" s="812" t="s">
        <v>43</v>
      </c>
      <c r="J933" s="812" t="s">
        <v>42</v>
      </c>
      <c r="K933" s="812" t="s">
        <v>759</v>
      </c>
      <c r="L933" s="812" t="s">
        <v>760</v>
      </c>
      <c r="M933" s="812" t="s">
        <v>761</v>
      </c>
      <c r="N933" s="814" t="s">
        <v>762</v>
      </c>
      <c r="O933" s="815" t="s">
        <v>772</v>
      </c>
      <c r="P933" s="816" t="s">
        <v>773</v>
      </c>
      <c r="Q933" s="817" t="s">
        <v>764</v>
      </c>
      <c r="R933" s="1443"/>
      <c r="S933" s="1443"/>
      <c r="T933" s="1443"/>
      <c r="U933" s="810"/>
      <c r="V933" s="811"/>
    </row>
    <row r="934" spans="1:32" ht="15" customHeight="1">
      <c r="A934" s="1435">
        <v>1</v>
      </c>
      <c r="B934" s="818">
        <f>W935</f>
        <v>0</v>
      </c>
      <c r="C934" s="819" t="s">
        <v>765</v>
      </c>
      <c r="D934" s="820"/>
      <c r="E934" s="821"/>
      <c r="F934" s="821">
        <f ca="1">F935 + (RAND() * 0.02 - 0.01)</f>
        <v>1.3574802328911693E-4</v>
      </c>
      <c r="G934" s="821">
        <f ca="1">G935 + (RAND() * 0.06 - 0.03)</f>
        <v>0.56463424664339312</v>
      </c>
      <c r="H934" s="822">
        <f ca="1">H935 + (RAND() * 0.006 - 0.003)</f>
        <v>2.3254865321931002E-3</v>
      </c>
      <c r="I934" s="822">
        <f ca="1">I935 + (RAND() * 0.006 - 0.003)</f>
        <v>1.2334908303606226E-3</v>
      </c>
      <c r="J934" s="821">
        <f ca="1">J935 + (RAND() * 0.02 - 0.01)</f>
        <v>6.0055325949445685E-3</v>
      </c>
      <c r="K934" s="821"/>
      <c r="L934" s="822"/>
      <c r="M934" s="821"/>
      <c r="N934" s="823"/>
      <c r="O934" s="823"/>
      <c r="P934" s="823"/>
      <c r="Q934" s="823"/>
      <c r="R934" s="824"/>
      <c r="S934" s="821"/>
      <c r="T934" s="821"/>
      <c r="U934" s="825"/>
      <c r="V934" s="826"/>
      <c r="AE934" t="s">
        <v>767</v>
      </c>
    </row>
    <row r="935" spans="1:32" ht="15" customHeight="1">
      <c r="A935" s="1435"/>
      <c r="B935" s="827">
        <f>B934</f>
        <v>0</v>
      </c>
      <c r="C935" s="828" t="s">
        <v>768</v>
      </c>
      <c r="D935" s="829" t="str">
        <f>IF(AC935=130, "130 × 130", IF(AC935=160, "160 × 160", IF(AC935=110, "110 × 110", "Value not 130, 160, or 110")))</f>
        <v>Value not 130, 160, or 110</v>
      </c>
      <c r="E935" s="830">
        <f>AD935</f>
        <v>0</v>
      </c>
      <c r="F935" s="831">
        <f ca="1">IF(X935 &gt; 0.1, RAND() * (0.1 - 0.06) + 0.06, X935)</f>
        <v>0</v>
      </c>
      <c r="G935" s="831">
        <f ca="1">IF(Y935 &lt; 0.5, 0.5 + RAND() * 0.1, Y935)</f>
        <v>0.56740564076985978</v>
      </c>
      <c r="H935" s="830">
        <f ca="1">IF(AB935&gt;0.04, 0.029 + (0.039-0.029)*RAND(), AB935)</f>
        <v>0</v>
      </c>
      <c r="I935" s="830">
        <f ca="1">IF(AA935&gt;0.04, 0.029 + (0.039-0.029)*RAND(), AA935)</f>
        <v>0</v>
      </c>
      <c r="J935" s="831">
        <f ca="1">IF(Z935&gt;0.15, 0.11 + (0.15-0.11) * RAND(), Z935)</f>
        <v>0</v>
      </c>
      <c r="K935" s="830">
        <f ca="1">0.004 + (RAND() * (0.001 - 0.004))</f>
        <v>3.5859552921848402E-3</v>
      </c>
      <c r="L935" s="830">
        <f ca="1">H935+I935</f>
        <v>0</v>
      </c>
      <c r="M935" s="831">
        <f ca="1">(G935/6)+F935</f>
        <v>9.4567606794976625E-2</v>
      </c>
      <c r="N935" s="831">
        <f ca="1">2 + RAND()</f>
        <v>2.7892344182691007</v>
      </c>
      <c r="O935" s="831">
        <f ca="1">1 + RAND()</f>
        <v>1.0295491427067631</v>
      </c>
      <c r="P935" s="831">
        <f ca="1">2.98 + (RAND() * (3.03 - 2.98))</f>
        <v>3.0200758658041744</v>
      </c>
      <c r="Q935" s="832" t="str">
        <f ca="1">IF(D935="130 × 130", (130 + RANDBETWEEN(-1,1)) &amp; " × " &amp; (130 + RANDBETWEEN(-1,1)),
   IF(D935="160 × 160", (160 + RANDBETWEEN(-1,1)) &amp; " × " &amp; (160 + RANDBETWEEN(-1,1)),
   IF(D935="110 × 110", (110 + RANDBETWEEN(-1,1)) &amp; " × " &amp; (110 + RANDBETWEEN(-1,1)),
   "Value not matched")))</f>
        <v>Value not matched</v>
      </c>
      <c r="R935" s="833" t="s">
        <v>213</v>
      </c>
      <c r="S935" s="834" t="str">
        <f ca="1">IF(G935&lt;0.6, "IS 14650 CPS 10748/GR2", "IS 14650 CPS 10748/GR3")</f>
        <v>IS 14650 CPS 10748/GR2</v>
      </c>
      <c r="T935" s="831" t="s">
        <v>769</v>
      </c>
      <c r="U935" s="825"/>
      <c r="V935" s="835">
        <f>Prod.!A526</f>
        <v>0</v>
      </c>
      <c r="W935" s="206">
        <f>Prod.!B526</f>
        <v>0</v>
      </c>
      <c r="X935" s="469">
        <f>Prod.!C526</f>
        <v>0</v>
      </c>
      <c r="Y935" s="469">
        <f>Prod.!D526</f>
        <v>0</v>
      </c>
      <c r="Z935" s="469">
        <f>Prod.!E526</f>
        <v>0</v>
      </c>
      <c r="AA935" s="282">
        <f>Prod.!F526</f>
        <v>0</v>
      </c>
      <c r="AB935" s="282">
        <f>Prod.!G526</f>
        <v>0</v>
      </c>
      <c r="AC935" s="836">
        <f>Prod.!H526</f>
        <v>0</v>
      </c>
      <c r="AD935" s="282">
        <f>Prod.!AB526</f>
        <v>0</v>
      </c>
      <c r="AE935" s="282">
        <f>AD935-AF935</f>
        <v>0</v>
      </c>
      <c r="AF935" s="282">
        <f>Prod.!AA526</f>
        <v>0</v>
      </c>
    </row>
    <row r="936" spans="1:32" ht="15" customHeight="1">
      <c r="A936" s="1435">
        <v>2</v>
      </c>
      <c r="B936" s="818">
        <f>W937</f>
        <v>0</v>
      </c>
      <c r="C936" s="819" t="s">
        <v>765</v>
      </c>
      <c r="D936" s="822"/>
      <c r="E936" s="822"/>
      <c r="F936" s="821">
        <f ca="1">F937 + (RAND() * 0.02 - 0.01)</f>
        <v>-6.0439199149214451E-3</v>
      </c>
      <c r="G936" s="821">
        <f ca="1">G937 + (RAND() * 0.06 - 0.03)</f>
        <v>0.48989330769368472</v>
      </c>
      <c r="H936" s="822">
        <f ca="1">H937 + (RAND() * 0.006 - 0.003)</f>
        <v>1.7842712120526441E-3</v>
      </c>
      <c r="I936" s="822">
        <f ca="1">I937 + (RAND() * 0.006 - 0.003)</f>
        <v>-8.2881660743878028E-4</v>
      </c>
      <c r="J936" s="821">
        <f ca="1">J937 + (RAND() * 0.02 - 0.01)</f>
        <v>8.0324976878045403E-3</v>
      </c>
      <c r="K936" s="821"/>
      <c r="L936" s="822"/>
      <c r="M936" s="821"/>
      <c r="N936" s="823"/>
      <c r="O936" s="823"/>
      <c r="P936" s="823"/>
      <c r="Q936" s="823"/>
      <c r="R936" s="837"/>
      <c r="S936" s="821"/>
      <c r="T936" s="838"/>
      <c r="U936" s="825"/>
      <c r="V936" s="826"/>
    </row>
    <row r="937" spans="1:32" ht="15" customHeight="1">
      <c r="A937" s="1435"/>
      <c r="B937" s="827">
        <f>B936</f>
        <v>0</v>
      </c>
      <c r="C937" s="828" t="s">
        <v>768</v>
      </c>
      <c r="D937" s="829" t="str">
        <f>IF(AC937=130, "130 × 130", IF(AC937=160, "160 × 160", IF(AC937=110, "110 × 110", "Value not 130, 160, or 110")))</f>
        <v>Value not 130, 160, or 110</v>
      </c>
      <c r="E937" s="830">
        <f>AD937</f>
        <v>0</v>
      </c>
      <c r="F937" s="831">
        <f ca="1">IF(X937 &gt; 0.1, RAND() * (0.1 - 0.06) + 0.06, X937)</f>
        <v>0</v>
      </c>
      <c r="G937" s="831">
        <f ca="1">IF(Y937 &lt; 0.5, 0.5 + RAND() * 0.1, Y937)</f>
        <v>0.51729028411723676</v>
      </c>
      <c r="H937" s="830">
        <f ca="1">IF(AB937&gt;0.04, 0.029 + (0.039-0.029)*RAND(), AB937)</f>
        <v>0</v>
      </c>
      <c r="I937" s="830">
        <f ca="1">IF(AA937&gt;0.04, 0.029 + (0.039-0.029)*RAND(), AA937)</f>
        <v>0</v>
      </c>
      <c r="J937" s="831">
        <f ca="1">IF(Z937&gt;0.15, 0.11 + (0.15-0.11) * RAND(), Z937)</f>
        <v>0</v>
      </c>
      <c r="K937" s="830">
        <f ca="1">0.004 + (RAND() * (0.001 - 0.004))</f>
        <v>1.8520831906408699E-3</v>
      </c>
      <c r="L937" s="830">
        <f ca="1">H937+I937</f>
        <v>0</v>
      </c>
      <c r="M937" s="831">
        <f ca="1">(G937/6)+F937</f>
        <v>8.621504735287279E-2</v>
      </c>
      <c r="N937" s="831">
        <f ca="1">2 + RAND()</f>
        <v>2.0149354047187247</v>
      </c>
      <c r="O937" s="831">
        <f ca="1">1 + RAND()</f>
        <v>1.5750173302593513</v>
      </c>
      <c r="P937" s="831">
        <f ca="1">2.98 + (RAND() * (3.03 - 2.98))</f>
        <v>3.0229916000858612</v>
      </c>
      <c r="Q937" s="832" t="str">
        <f ca="1">IF(D937="130 × 130", (130 + RANDBETWEEN(-1,1)) &amp; " × " &amp; (130 + RANDBETWEEN(-1,1)),
   IF(D937="160 × 160", (160 + RANDBETWEEN(-1,1)) &amp; " × " &amp; (160 + RANDBETWEEN(-1,1)),
   IF(D937="110 × 110", (110 + RANDBETWEEN(-1,1)) &amp; " × " &amp; (110 + RANDBETWEEN(-1,1)),
   "Value not matched")))</f>
        <v>Value not matched</v>
      </c>
      <c r="R937" s="833" t="s">
        <v>213</v>
      </c>
      <c r="S937" s="834" t="str">
        <f ca="1">IF(G937&lt;0.6, "IS 14650 CPS 10748/GR2", "IS 14650 CPS 10748/GR3")</f>
        <v>IS 14650 CPS 10748/GR2</v>
      </c>
      <c r="T937" s="831" t="s">
        <v>769</v>
      </c>
      <c r="U937" s="825"/>
      <c r="V937" s="826"/>
      <c r="W937" s="206">
        <f>Prod.!B527</f>
        <v>0</v>
      </c>
      <c r="X937" s="469">
        <f>Prod.!C527</f>
        <v>0</v>
      </c>
      <c r="Y937" s="469">
        <f>Prod.!D527</f>
        <v>0</v>
      </c>
      <c r="Z937" s="469">
        <f>Prod.!E527</f>
        <v>0</v>
      </c>
      <c r="AA937" s="282">
        <f>Prod.!F527</f>
        <v>0</v>
      </c>
      <c r="AB937" s="282">
        <f>Prod.!G527</f>
        <v>0</v>
      </c>
      <c r="AC937" s="836">
        <f>Prod.!H527</f>
        <v>0</v>
      </c>
      <c r="AD937" s="282">
        <f>Prod.!AB527</f>
        <v>0</v>
      </c>
      <c r="AE937" s="282">
        <f>AD937-AF937</f>
        <v>0</v>
      </c>
      <c r="AF937" s="282">
        <f>Prod.!AA527</f>
        <v>0</v>
      </c>
    </row>
    <row r="938" spans="1:32" ht="15" customHeight="1">
      <c r="A938" s="1435">
        <v>3</v>
      </c>
      <c r="B938" s="818">
        <f>W939</f>
        <v>0</v>
      </c>
      <c r="C938" s="819" t="s">
        <v>765</v>
      </c>
      <c r="D938" s="822"/>
      <c r="E938" s="822"/>
      <c r="F938" s="821">
        <f ca="1">F939 + (RAND() * 0.02 - 0.01)</f>
        <v>-1.4979391608477728E-3</v>
      </c>
      <c r="G938" s="821">
        <f ca="1">G939 + (RAND() * 0.06 - 0.03)</f>
        <v>0.56497406700782093</v>
      </c>
      <c r="H938" s="822">
        <f ca="1">H939 + (RAND() * 0.006 - 0.003)</f>
        <v>1.7628372596945399E-3</v>
      </c>
      <c r="I938" s="822">
        <f ca="1">I939 + (RAND() * 0.006 - 0.003)</f>
        <v>-2.3984669576788114E-3</v>
      </c>
      <c r="J938" s="821">
        <f ca="1">J939 + (RAND() * 0.02 - 0.01)</f>
        <v>-7.7865714738957559E-3</v>
      </c>
      <c r="K938" s="821"/>
      <c r="L938" s="822"/>
      <c r="M938" s="821"/>
      <c r="N938" s="823"/>
      <c r="O938" s="823"/>
      <c r="P938" s="823"/>
      <c r="Q938" s="823"/>
      <c r="R938" s="839"/>
      <c r="S938" s="821"/>
      <c r="T938" s="821"/>
      <c r="U938" s="825"/>
      <c r="V938" s="826"/>
    </row>
    <row r="939" spans="1:32" ht="15" customHeight="1">
      <c r="A939" s="1435"/>
      <c r="B939" s="827">
        <f>B938</f>
        <v>0</v>
      </c>
      <c r="C939" s="828" t="s">
        <v>768</v>
      </c>
      <c r="D939" s="829" t="str">
        <f>IF(AC939=130, "130 × 130", IF(AC939=160, "160 × 160", IF(AC939=110, "110 × 110", "Value not 130, 160, or 110")))</f>
        <v>Value not 130, 160, or 110</v>
      </c>
      <c r="E939" s="830">
        <f>AD939</f>
        <v>0</v>
      </c>
      <c r="F939" s="831">
        <f ca="1">IF(X939 &gt; 0.1, RAND() * (0.1 - 0.06) + 0.06, X939)</f>
        <v>0</v>
      </c>
      <c r="G939" s="831">
        <f ca="1">IF(Y939 &lt; 0.5, 0.5 + RAND() * 0.1, Y939)</f>
        <v>0.57338778067501917</v>
      </c>
      <c r="H939" s="830">
        <f ca="1">IF(AB939&gt;0.04, 0.029 + (0.039-0.029)*RAND(), AB939)</f>
        <v>0</v>
      </c>
      <c r="I939" s="830">
        <f ca="1">IF(AA939&gt;0.04, 0.029 + (0.039-0.029)*RAND(), AA939)</f>
        <v>0</v>
      </c>
      <c r="J939" s="831">
        <f ca="1">IF(Z939&gt;0.15, 0.11 + (0.15-0.11) * RAND(), Z939)</f>
        <v>0</v>
      </c>
      <c r="K939" s="830">
        <f ca="1">0.004 + (RAND() * (0.001 - 0.004))</f>
        <v>1.0432557470050853E-3</v>
      </c>
      <c r="L939" s="830">
        <f ca="1">H939+I939</f>
        <v>0</v>
      </c>
      <c r="M939" s="831">
        <f ca="1">(G939/6)+F939</f>
        <v>9.5564630112503199E-2</v>
      </c>
      <c r="N939" s="831">
        <f ca="1">2 + RAND()</f>
        <v>2.4801977375300486</v>
      </c>
      <c r="O939" s="831">
        <f ca="1">1 + RAND()</f>
        <v>1.5278600926366015</v>
      </c>
      <c r="P939" s="831">
        <f ca="1">2.98 + (RAND() * (3.03 - 2.98))</f>
        <v>2.9828404070377053</v>
      </c>
      <c r="Q939" s="832" t="str">
        <f ca="1">IF(D939="130 × 130", (130 + RANDBETWEEN(-1,1)) &amp; " × " &amp; (130 + RANDBETWEEN(-1,1)),
   IF(D939="160 × 160", (160 + RANDBETWEEN(-1,1)) &amp; " × " &amp; (160 + RANDBETWEEN(-1,1)),
   IF(D939="110 × 110", (110 + RANDBETWEEN(-1,1)) &amp; " × " &amp; (110 + RANDBETWEEN(-1,1)),
   "Value not matched")))</f>
        <v>Value not matched</v>
      </c>
      <c r="R939" s="833" t="s">
        <v>213</v>
      </c>
      <c r="S939" s="834" t="str">
        <f ca="1">IF(G939&lt;0.6, "IS 14650 CPS 10748/GR2", "IS 14650 CPS 10748/GR3")</f>
        <v>IS 14650 CPS 10748/GR2</v>
      </c>
      <c r="T939" s="831" t="s">
        <v>769</v>
      </c>
      <c r="U939" s="825"/>
      <c r="V939" s="826"/>
      <c r="W939" s="206">
        <f>Prod.!B528</f>
        <v>0</v>
      </c>
      <c r="X939" s="469">
        <f>Prod.!C528</f>
        <v>0</v>
      </c>
      <c r="Y939" s="469">
        <f>Prod.!D528</f>
        <v>0</v>
      </c>
      <c r="Z939" s="469">
        <f>Prod.!E528</f>
        <v>0</v>
      </c>
      <c r="AA939" s="282">
        <f>Prod.!F528</f>
        <v>0</v>
      </c>
      <c r="AB939" s="282">
        <f>Prod.!G528</f>
        <v>0</v>
      </c>
      <c r="AC939" s="836">
        <f>Prod.!H528</f>
        <v>0</v>
      </c>
      <c r="AD939" s="282">
        <f>Prod.!AB528</f>
        <v>0</v>
      </c>
      <c r="AE939" s="282">
        <f>AD939-AF939</f>
        <v>0</v>
      </c>
      <c r="AF939" s="282">
        <f>Prod.!AA528</f>
        <v>0</v>
      </c>
    </row>
    <row r="940" spans="1:32" ht="15" customHeight="1">
      <c r="A940" s="1435">
        <v>4</v>
      </c>
      <c r="B940" s="818">
        <f>W941</f>
        <v>0</v>
      </c>
      <c r="C940" s="819" t="s">
        <v>765</v>
      </c>
      <c r="D940" s="822"/>
      <c r="E940" s="822"/>
      <c r="F940" s="821">
        <f ca="1">F941 + (RAND() * 0.02 - 0.01)</f>
        <v>-6.038469589678257E-3</v>
      </c>
      <c r="G940" s="821">
        <f ca="1">G941 + (RAND() * 0.06 - 0.03)</f>
        <v>0.61235559200679546</v>
      </c>
      <c r="H940" s="822">
        <f ca="1">H941 + (RAND() * 0.006 - 0.003)</f>
        <v>2.0214508338861504E-3</v>
      </c>
      <c r="I940" s="822">
        <f ca="1">I941 + (RAND() * 0.006 - 0.003)</f>
        <v>2.1143126195678243E-3</v>
      </c>
      <c r="J940" s="821">
        <f ca="1">J941 + (RAND() * 0.02 - 0.01)</f>
        <v>1.4936544457453699E-3</v>
      </c>
      <c r="K940" s="821"/>
      <c r="L940" s="822"/>
      <c r="M940" s="821"/>
      <c r="N940" s="823"/>
      <c r="O940" s="823"/>
      <c r="P940" s="823"/>
      <c r="Q940" s="823"/>
      <c r="R940" s="839"/>
      <c r="S940" s="821"/>
      <c r="T940" s="821"/>
      <c r="U940" s="825"/>
      <c r="V940" s="826"/>
    </row>
    <row r="941" spans="1:32" ht="15" customHeight="1">
      <c r="A941" s="1435"/>
      <c r="B941" s="827">
        <f>B940</f>
        <v>0</v>
      </c>
      <c r="C941" s="828" t="s">
        <v>768</v>
      </c>
      <c r="D941" s="829" t="str">
        <f>IF(AC941=130, "130 × 130", IF(AC941=160, "160 × 160", IF(AC941=110, "110 × 110", "Value not 130, 160, or 110")))</f>
        <v>Value not 130, 160, or 110</v>
      </c>
      <c r="E941" s="830">
        <f>AD941</f>
        <v>0</v>
      </c>
      <c r="F941" s="831">
        <f ca="1">IF(X941 &gt; 0.1, RAND() * (0.1 - 0.06) + 0.06, X941)</f>
        <v>0</v>
      </c>
      <c r="G941" s="831">
        <f ca="1">IF(Y941 &lt; 0.5, 0.5 + RAND() * 0.1, Y941)</f>
        <v>0.58450081792896591</v>
      </c>
      <c r="H941" s="830">
        <f ca="1">IF(AB941&gt;0.04, 0.029 + (0.039-0.029)*RAND(), AB941)</f>
        <v>0</v>
      </c>
      <c r="I941" s="830">
        <f ca="1">IF(AA941&gt;0.04, 0.029 + (0.039-0.029)*RAND(), AA941)</f>
        <v>0</v>
      </c>
      <c r="J941" s="831">
        <f ca="1">IF(Z941&gt;0.15, 0.11 + (0.15-0.11) * RAND(), Z941)</f>
        <v>0</v>
      </c>
      <c r="K941" s="830">
        <f ca="1">0.004 + (RAND() * (0.001 - 0.004))</f>
        <v>2.8820400367260595E-3</v>
      </c>
      <c r="L941" s="830">
        <f ca="1">H941+I941</f>
        <v>0</v>
      </c>
      <c r="M941" s="831">
        <f ca="1">(G941/6)+F941</f>
        <v>9.741680298816098E-2</v>
      </c>
      <c r="N941" s="831">
        <f ca="1">2 + RAND()</f>
        <v>2.6444678168646769</v>
      </c>
      <c r="O941" s="831">
        <f ca="1">1 + RAND()</f>
        <v>1.6202278371379619</v>
      </c>
      <c r="P941" s="831">
        <f ca="1">2.98 + (RAND() * (3.03 - 2.98))</f>
        <v>2.9840307483525019</v>
      </c>
      <c r="Q941" s="832" t="str">
        <f ca="1">IF(D941="130 × 130", (130 + RANDBETWEEN(-1,1)) &amp; " × " &amp; (130 + RANDBETWEEN(-1,1)),
   IF(D941="160 × 160", (160 + RANDBETWEEN(-1,1)) &amp; " × " &amp; (160 + RANDBETWEEN(-1,1)),
   IF(D941="110 × 110", (110 + RANDBETWEEN(-1,1)) &amp; " × " &amp; (110 + RANDBETWEEN(-1,1)),
   "Value not matched")))</f>
        <v>Value not matched</v>
      </c>
      <c r="R941" s="833" t="s">
        <v>213</v>
      </c>
      <c r="S941" s="834" t="str">
        <f ca="1">IF(G941&lt;0.6, "IS 14650 CPS 10748/GR2", "IS 14650 CPS 10748/GR3")</f>
        <v>IS 14650 CPS 10748/GR2</v>
      </c>
      <c r="T941" s="831" t="s">
        <v>769</v>
      </c>
      <c r="U941" s="825"/>
      <c r="V941" s="826"/>
      <c r="W941" s="206">
        <f>Prod.!B529</f>
        <v>0</v>
      </c>
      <c r="X941" s="469">
        <f>Prod.!C529</f>
        <v>0</v>
      </c>
      <c r="Y941" s="469">
        <f>Prod.!D529</f>
        <v>0</v>
      </c>
      <c r="Z941" s="469">
        <f>Prod.!E529</f>
        <v>0</v>
      </c>
      <c r="AA941" s="282">
        <f>Prod.!F529</f>
        <v>0</v>
      </c>
      <c r="AB941" s="282">
        <f>Prod.!G529</f>
        <v>0</v>
      </c>
      <c r="AC941" s="836">
        <f>Prod.!H529</f>
        <v>0</v>
      </c>
      <c r="AD941" s="282">
        <f>Prod.!AB529</f>
        <v>0</v>
      </c>
      <c r="AE941" s="282">
        <f>AD941-AF941</f>
        <v>0</v>
      </c>
      <c r="AF941" s="282">
        <f>Prod.!AA529</f>
        <v>0</v>
      </c>
    </row>
    <row r="942" spans="1:32" ht="15" customHeight="1">
      <c r="A942" s="1435">
        <v>5</v>
      </c>
      <c r="B942" s="818">
        <f>W943</f>
        <v>0</v>
      </c>
      <c r="C942" s="819" t="s">
        <v>765</v>
      </c>
      <c r="D942" s="822"/>
      <c r="E942" s="822"/>
      <c r="F942" s="821">
        <f ca="1">F943 + (RAND() * 0.02 - 0.01)</f>
        <v>-7.7690849842135899E-3</v>
      </c>
      <c r="G942" s="821">
        <f ca="1">G943 + (RAND() * 0.06 - 0.03)</f>
        <v>0.59023913912472503</v>
      </c>
      <c r="H942" s="822">
        <f ca="1">H943 + (RAND() * 0.006 - 0.003)</f>
        <v>7.8403219714066929E-4</v>
      </c>
      <c r="I942" s="822">
        <f ca="1">I943 + (RAND() * 0.006 - 0.003)</f>
        <v>-2.8139930553016221E-3</v>
      </c>
      <c r="J942" s="821">
        <f ca="1">J943 + (RAND() * 0.02 - 0.01)</f>
        <v>8.7709907943154374E-3</v>
      </c>
      <c r="K942" s="821"/>
      <c r="L942" s="822"/>
      <c r="M942" s="821"/>
      <c r="N942" s="823"/>
      <c r="O942" s="823"/>
      <c r="P942" s="823"/>
      <c r="Q942" s="823"/>
      <c r="R942" s="839"/>
      <c r="S942" s="821"/>
      <c r="T942" s="821"/>
      <c r="U942" s="825"/>
      <c r="V942" s="826"/>
    </row>
    <row r="943" spans="1:32" ht="15" customHeight="1">
      <c r="A943" s="1435"/>
      <c r="B943" s="827">
        <f>B942</f>
        <v>0</v>
      </c>
      <c r="C943" s="828" t="s">
        <v>768</v>
      </c>
      <c r="D943" s="829" t="str">
        <f>IF(AC943=130, "130 × 130", IF(AC943=160, "160 × 160", IF(AC943=110, "110 × 110", "Value not 130, 160, or 110")))</f>
        <v>Value not 130, 160, or 110</v>
      </c>
      <c r="E943" s="830">
        <f>AD943</f>
        <v>0</v>
      </c>
      <c r="F943" s="831">
        <f ca="1">IF(X943 &gt; 0.1, RAND() * (0.1 - 0.06) + 0.06, X943)</f>
        <v>0</v>
      </c>
      <c r="G943" s="831">
        <f ca="1">IF(Y943 &lt; 0.5, 0.5 + RAND() * 0.1, Y943)</f>
        <v>0.5741145416287512</v>
      </c>
      <c r="H943" s="830">
        <f ca="1">IF(AB943&gt;0.04, 0.029 + (0.039-0.029)*RAND(), AB943)</f>
        <v>0</v>
      </c>
      <c r="I943" s="830">
        <f ca="1">IF(AA943&gt;0.04, 0.029 + (0.039-0.029)*RAND(), AA943)</f>
        <v>0</v>
      </c>
      <c r="J943" s="831">
        <f ca="1">IF(Z943&gt;0.15, 0.11 + (0.15-0.11) * RAND(), Z943)</f>
        <v>0</v>
      </c>
      <c r="K943" s="830">
        <f ca="1">0.004 + (RAND() * (0.001 - 0.004))</f>
        <v>1.549616935886261E-3</v>
      </c>
      <c r="L943" s="830">
        <f ca="1">H943+I943</f>
        <v>0</v>
      </c>
      <c r="M943" s="831">
        <f ca="1">(G943/6)+F943</f>
        <v>9.5685756938125199E-2</v>
      </c>
      <c r="N943" s="831">
        <f ca="1">2 + RAND()</f>
        <v>2.8632071296591701</v>
      </c>
      <c r="O943" s="831">
        <f ca="1">1 + RAND()</f>
        <v>1.2522836079135624</v>
      </c>
      <c r="P943" s="831">
        <f ca="1">2.98 + (RAND() * (3.03 - 2.98))</f>
        <v>3.0198744049532675</v>
      </c>
      <c r="Q943" s="832" t="str">
        <f ca="1">IF(D943="130 × 130", (130 + RANDBETWEEN(-1,1)) &amp; " × " &amp; (130 + RANDBETWEEN(-1,1)),
   IF(D943="160 × 160", (160 + RANDBETWEEN(-1,1)) &amp; " × " &amp; (160 + RANDBETWEEN(-1,1)),
   IF(D943="110 × 110", (110 + RANDBETWEEN(-1,1)) &amp; " × " &amp; (110 + RANDBETWEEN(-1,1)),
   "Value not matched")))</f>
        <v>Value not matched</v>
      </c>
      <c r="R943" s="833" t="s">
        <v>213</v>
      </c>
      <c r="S943" s="834" t="str">
        <f ca="1">IF(G943&lt;0.6, "IS 14650 CPS 10748/GR2", "IS 14650 CPS 10748/GR3")</f>
        <v>IS 14650 CPS 10748/GR2</v>
      </c>
      <c r="T943" s="831" t="s">
        <v>769</v>
      </c>
      <c r="U943" s="825"/>
      <c r="V943" s="826"/>
      <c r="W943" s="206">
        <f>Prod.!B530</f>
        <v>0</v>
      </c>
      <c r="X943" s="469">
        <f>Prod.!C530</f>
        <v>0</v>
      </c>
      <c r="Y943" s="469">
        <f>Prod.!D530</f>
        <v>0</v>
      </c>
      <c r="Z943" s="469">
        <f>Prod.!E530</f>
        <v>0</v>
      </c>
      <c r="AA943" s="282">
        <f>Prod.!F530</f>
        <v>0</v>
      </c>
      <c r="AB943" s="282">
        <f>Prod.!G530</f>
        <v>0</v>
      </c>
      <c r="AC943" s="836">
        <f>Prod.!H530</f>
        <v>0</v>
      </c>
      <c r="AD943" s="282">
        <f>Prod.!AB530</f>
        <v>0</v>
      </c>
      <c r="AE943" s="282">
        <f>AD943-AF943</f>
        <v>0</v>
      </c>
      <c r="AF943" s="282">
        <f>Prod.!AA530</f>
        <v>0</v>
      </c>
    </row>
    <row r="944" spans="1:32" ht="15" customHeight="1">
      <c r="A944" s="1435">
        <v>6</v>
      </c>
      <c r="B944" s="818">
        <f>W945</f>
        <v>0</v>
      </c>
      <c r="C944" s="819" t="s">
        <v>765</v>
      </c>
      <c r="D944" s="822"/>
      <c r="E944" s="822"/>
      <c r="F944" s="821">
        <f ca="1">F945 + (RAND() * 0.02 - 0.01)</f>
        <v>-9.5356788565851506E-3</v>
      </c>
      <c r="G944" s="821">
        <f ca="1">G945 + (RAND() * 0.06 - 0.03)</f>
        <v>0.57888805118770081</v>
      </c>
      <c r="H944" s="822">
        <f ca="1">H945 + (RAND() * 0.006 - 0.003)</f>
        <v>-1.882340064707159E-3</v>
      </c>
      <c r="I944" s="822">
        <f ca="1">I945 + (RAND() * 0.006 - 0.003)</f>
        <v>-3.7388173933560137E-4</v>
      </c>
      <c r="J944" s="821">
        <f ca="1">J945 + (RAND() * 0.02 - 0.01)</f>
        <v>-5.4808145862837625E-3</v>
      </c>
      <c r="K944" s="821"/>
      <c r="L944" s="822"/>
      <c r="M944" s="821"/>
      <c r="N944" s="823"/>
      <c r="O944" s="823"/>
      <c r="P944" s="823"/>
      <c r="Q944" s="823"/>
      <c r="R944" s="839"/>
      <c r="S944" s="821"/>
      <c r="T944" s="821"/>
      <c r="U944" s="825"/>
      <c r="V944" s="826"/>
    </row>
    <row r="945" spans="1:32" ht="15" customHeight="1">
      <c r="A945" s="1435"/>
      <c r="B945" s="827">
        <f>B944</f>
        <v>0</v>
      </c>
      <c r="C945" s="828" t="s">
        <v>768</v>
      </c>
      <c r="D945" s="829" t="str">
        <f>IF(AC945=130, "130 × 130", IF(AC945=160, "160 × 160", IF(AC945=110, "110 × 110", "Value not 130, 160, or 110")))</f>
        <v>Value not 130, 160, or 110</v>
      </c>
      <c r="E945" s="830">
        <f>AD945</f>
        <v>0</v>
      </c>
      <c r="F945" s="831">
        <f ca="1">IF(X945 &gt; 0.1, RAND() * (0.1 - 0.06) + 0.06, X945)</f>
        <v>0</v>
      </c>
      <c r="G945" s="831">
        <f ca="1">IF(Y945 &lt; 0.5, 0.5 + RAND() * 0.1, Y945)</f>
        <v>0.56066750833254875</v>
      </c>
      <c r="H945" s="830">
        <f ca="1">IF(AB945&gt;0.04, 0.029 + (0.039-0.029)*RAND(), AB945)</f>
        <v>0</v>
      </c>
      <c r="I945" s="830">
        <f ca="1">IF(AA945&gt;0.04, 0.029 + (0.039-0.029)*RAND(), AA945)</f>
        <v>0</v>
      </c>
      <c r="J945" s="831">
        <f ca="1">IF(Z945&gt;0.15, 0.11 + (0.15-0.11) * RAND(), Z945)</f>
        <v>0</v>
      </c>
      <c r="K945" s="830">
        <f ca="1">0.004 + (RAND() * (0.001 - 0.004))</f>
        <v>3.4933333498666434E-3</v>
      </c>
      <c r="L945" s="830">
        <f ca="1">H945+I945</f>
        <v>0</v>
      </c>
      <c r="M945" s="831">
        <f ca="1">(G945/6)+F945</f>
        <v>9.3444584722091453E-2</v>
      </c>
      <c r="N945" s="831">
        <f ca="1">2 + RAND()</f>
        <v>2.387492485089421</v>
      </c>
      <c r="O945" s="831">
        <f ca="1">1 + RAND()</f>
        <v>1.6385015277939632</v>
      </c>
      <c r="P945" s="831">
        <f ca="1">2.98 + (RAND() * (3.03 - 2.98))</f>
        <v>3.0142945297293573</v>
      </c>
      <c r="Q945" s="832" t="str">
        <f ca="1">IF(D945="130 × 130", (130 + RANDBETWEEN(-1,1)) &amp; " × " &amp; (130 + RANDBETWEEN(-1,1)),
   IF(D945="160 × 160", (160 + RANDBETWEEN(-1,1)) &amp; " × " &amp; (160 + RANDBETWEEN(-1,1)),
   IF(D945="110 × 110", (110 + RANDBETWEEN(-1,1)) &amp; " × " &amp; (110 + RANDBETWEEN(-1,1)),
   "Value not matched")))</f>
        <v>Value not matched</v>
      </c>
      <c r="R945" s="833" t="s">
        <v>213</v>
      </c>
      <c r="S945" s="834" t="str">
        <f ca="1">IF(G945&lt;0.6, "IS 14650 CPS 10748/GR2", "IS 14650 CPS 10748/GR3")</f>
        <v>IS 14650 CPS 10748/GR2</v>
      </c>
      <c r="T945" s="831" t="s">
        <v>769</v>
      </c>
      <c r="U945" s="825"/>
      <c r="V945" s="826"/>
      <c r="W945" s="206">
        <f>Prod.!B531</f>
        <v>0</v>
      </c>
      <c r="X945" s="469">
        <f>Prod.!C531</f>
        <v>0</v>
      </c>
      <c r="Y945" s="469">
        <f>Prod.!D531</f>
        <v>0</v>
      </c>
      <c r="Z945" s="469">
        <f>Prod.!E531</f>
        <v>0</v>
      </c>
      <c r="AA945" s="282">
        <f>Prod.!F531</f>
        <v>0</v>
      </c>
      <c r="AB945" s="282">
        <f>Prod.!G531</f>
        <v>0</v>
      </c>
      <c r="AC945" s="836">
        <f>Prod.!H531</f>
        <v>0</v>
      </c>
      <c r="AD945" s="282">
        <f>Prod.!AB531</f>
        <v>0</v>
      </c>
      <c r="AE945" s="282">
        <f>AD945-AF945</f>
        <v>0</v>
      </c>
      <c r="AF945" s="282">
        <f>Prod.!AA531</f>
        <v>0</v>
      </c>
    </row>
    <row r="946" spans="1:32" ht="15" customHeight="1">
      <c r="A946" s="1435">
        <v>7</v>
      </c>
      <c r="B946" s="818">
        <f>W947</f>
        <v>0</v>
      </c>
      <c r="C946" s="819" t="s">
        <v>765</v>
      </c>
      <c r="D946" s="822"/>
      <c r="E946" s="822"/>
      <c r="F946" s="821">
        <f ca="1">F947 + (RAND() * 0.02 - 0.01)</f>
        <v>6.9733679192122196E-3</v>
      </c>
      <c r="G946" s="821">
        <f ca="1">G947 + (RAND() * 0.06 - 0.03)</f>
        <v>0.53324282364265552</v>
      </c>
      <c r="H946" s="822">
        <f ca="1">H947 + (RAND() * 0.006 - 0.003)</f>
        <v>-1.8713211124829236E-3</v>
      </c>
      <c r="I946" s="822">
        <f ca="1">I947 + (RAND() * 0.006 - 0.003)</f>
        <v>-1.6411536062664162E-3</v>
      </c>
      <c r="J946" s="821">
        <f ca="1">J947 + (RAND() * 0.02 - 0.01)</f>
        <v>-8.526294656163988E-3</v>
      </c>
      <c r="K946" s="821"/>
      <c r="L946" s="822"/>
      <c r="M946" s="821"/>
      <c r="N946" s="823"/>
      <c r="O946" s="823"/>
      <c r="P946" s="823"/>
      <c r="Q946" s="823"/>
      <c r="R946" s="839"/>
      <c r="S946" s="821"/>
      <c r="T946" s="821"/>
      <c r="U946" s="825"/>
      <c r="V946" s="826"/>
    </row>
    <row r="947" spans="1:32" ht="15" customHeight="1">
      <c r="A947" s="1435"/>
      <c r="B947" s="827">
        <f>B946</f>
        <v>0</v>
      </c>
      <c r="C947" s="828" t="s">
        <v>768</v>
      </c>
      <c r="D947" s="829" t="str">
        <f>IF(AC947=130, "130 × 130", IF(AC947=160, "160 × 160", IF(AC947=110, "110 × 110", "Value not 130, 160, or 110")))</f>
        <v>Value not 130, 160, or 110</v>
      </c>
      <c r="E947" s="830">
        <f>AD947</f>
        <v>0</v>
      </c>
      <c r="F947" s="831">
        <f ca="1">IF(X947 &gt; 0.1, RAND() * (0.1 - 0.06) + 0.06, X947)</f>
        <v>0</v>
      </c>
      <c r="G947" s="831">
        <f ca="1">IF(Y947 &lt; 0.5, 0.5 + RAND() * 0.1, Y947)</f>
        <v>0.5230919486537764</v>
      </c>
      <c r="H947" s="830">
        <f ca="1">IF(AB947&gt;0.04, 0.029 + (0.039-0.029)*RAND(), AB947)</f>
        <v>0</v>
      </c>
      <c r="I947" s="830">
        <f ca="1">IF(AA947&gt;0.04, 0.029 + (0.039-0.029)*RAND(), AA947)</f>
        <v>0</v>
      </c>
      <c r="J947" s="831">
        <f ca="1">IF(Z947&gt;0.15, 0.11 + (0.15-0.11) * RAND(), Z947)</f>
        <v>0</v>
      </c>
      <c r="K947" s="830">
        <f ca="1">0.004 + (RAND() * (0.001 - 0.004))</f>
        <v>1.4846003027834324E-3</v>
      </c>
      <c r="L947" s="830">
        <f ca="1">H947+I947</f>
        <v>0</v>
      </c>
      <c r="M947" s="831">
        <f ca="1">(G947/6)+F947</f>
        <v>8.7181991442296061E-2</v>
      </c>
      <c r="N947" s="831">
        <f ca="1">2 + RAND()</f>
        <v>2.4842163221473208</v>
      </c>
      <c r="O947" s="831">
        <f ca="1">1 + RAND()</f>
        <v>1.9114733415862419</v>
      </c>
      <c r="P947" s="831">
        <f ca="1">2.98 + (RAND() * (3.03 - 2.98))</f>
        <v>3.0023886597178628</v>
      </c>
      <c r="Q947" s="832" t="str">
        <f ca="1">IF(D947="130 × 130", (130 + RANDBETWEEN(-1,1)) &amp; " × " &amp; (130 + RANDBETWEEN(-1,1)),
   IF(D947="160 × 160", (160 + RANDBETWEEN(-1,1)) &amp; " × " &amp; (160 + RANDBETWEEN(-1,1)),
   IF(D947="110 × 110", (110 + RANDBETWEEN(-1,1)) &amp; " × " &amp; (110 + RANDBETWEEN(-1,1)),
   "Value not matched")))</f>
        <v>Value not matched</v>
      </c>
      <c r="R947" s="833" t="s">
        <v>213</v>
      </c>
      <c r="S947" s="834" t="str">
        <f ca="1">IF(G947&lt;0.6, "IS 14650 CPS 10748/GR2", "IS 14650 CPS 10748/GR3")</f>
        <v>IS 14650 CPS 10748/GR2</v>
      </c>
      <c r="T947" s="831" t="s">
        <v>769</v>
      </c>
      <c r="U947" s="825"/>
      <c r="V947" s="826"/>
      <c r="W947" s="206">
        <f>Prod.!B532</f>
        <v>0</v>
      </c>
      <c r="X947" s="469">
        <f>Prod.!C532</f>
        <v>0</v>
      </c>
      <c r="Y947" s="469">
        <f>Prod.!D532</f>
        <v>0</v>
      </c>
      <c r="Z947" s="469">
        <f>Prod.!E532</f>
        <v>0</v>
      </c>
      <c r="AA947" s="282">
        <f>Prod.!F532</f>
        <v>0</v>
      </c>
      <c r="AB947" s="282">
        <f>Prod.!G532</f>
        <v>0</v>
      </c>
      <c r="AC947" s="836">
        <f>Prod.!H532</f>
        <v>0</v>
      </c>
      <c r="AD947" s="282">
        <f>Prod.!AB532</f>
        <v>0</v>
      </c>
      <c r="AE947" s="282">
        <f>AD947-AF947</f>
        <v>0</v>
      </c>
      <c r="AF947" s="282">
        <f>Prod.!AA532</f>
        <v>0</v>
      </c>
    </row>
    <row r="948" spans="1:32" ht="15" customHeight="1">
      <c r="A948" s="1435">
        <v>8</v>
      </c>
      <c r="B948" s="818">
        <f>W949</f>
        <v>0</v>
      </c>
      <c r="C948" s="819" t="s">
        <v>765</v>
      </c>
      <c r="D948" s="822"/>
      <c r="E948" s="822"/>
      <c r="F948" s="821">
        <f ca="1">F949 + (RAND() * 0.02 - 0.01)</f>
        <v>-7.3383034020265848E-3</v>
      </c>
      <c r="G948" s="821">
        <f ca="1">G949 + (RAND() * 0.06 - 0.03)</f>
        <v>0.60094923914779641</v>
      </c>
      <c r="H948" s="822">
        <f ca="1">H949 + (RAND() * 0.006 - 0.003)</f>
        <v>2.5846744286524958E-3</v>
      </c>
      <c r="I948" s="822">
        <f ca="1">I949 + (RAND() * 0.006 - 0.003)</f>
        <v>4.0645824332077212E-4</v>
      </c>
      <c r="J948" s="821">
        <f ca="1">J949 + (RAND() * 0.02 - 0.01)</f>
        <v>7.885819927320464E-3</v>
      </c>
      <c r="K948" s="821"/>
      <c r="L948" s="822"/>
      <c r="M948" s="821"/>
      <c r="N948" s="823"/>
      <c r="O948" s="823"/>
      <c r="P948" s="823"/>
      <c r="Q948" s="823"/>
      <c r="R948" s="839"/>
      <c r="S948" s="821"/>
      <c r="T948" s="821"/>
      <c r="U948" s="825"/>
      <c r="V948" s="826"/>
    </row>
    <row r="949" spans="1:32" ht="15" customHeight="1">
      <c r="A949" s="1435"/>
      <c r="B949" s="827">
        <f>B948</f>
        <v>0</v>
      </c>
      <c r="C949" s="828" t="s">
        <v>768</v>
      </c>
      <c r="D949" s="829" t="str">
        <f>IF(AC949=130, "130 × 130", IF(AC949=160, "160 × 160", IF(AC949=110, "110 × 110", "Value not 130, 160, or 110")))</f>
        <v>Value not 130, 160, or 110</v>
      </c>
      <c r="E949" s="830">
        <f>AD949</f>
        <v>0</v>
      </c>
      <c r="F949" s="831">
        <f ca="1">IF(X949 &gt; 0.1, RAND() * (0.1 - 0.06) + 0.06, X949)</f>
        <v>0</v>
      </c>
      <c r="G949" s="831">
        <f ca="1">IF(Y949 &lt; 0.5, 0.5 + RAND() * 0.1, Y949)</f>
        <v>0.59971560639534871</v>
      </c>
      <c r="H949" s="830">
        <f ca="1">IF(AB949&gt;0.04, 0.029 + (0.039-0.029)*RAND(), AB949)</f>
        <v>0</v>
      </c>
      <c r="I949" s="830">
        <f ca="1">IF(AA949&gt;0.04, 0.029 + (0.039-0.029)*RAND(), AA949)</f>
        <v>0</v>
      </c>
      <c r="J949" s="831">
        <f ca="1">IF(Z949&gt;0.15, 0.11 + (0.15-0.11) * RAND(), Z949)</f>
        <v>0</v>
      </c>
      <c r="K949" s="830">
        <f ca="1">0.004 + (RAND() * (0.001 - 0.004))</f>
        <v>3.5372000622301948E-3</v>
      </c>
      <c r="L949" s="830">
        <f ca="1">H949+I949</f>
        <v>0</v>
      </c>
      <c r="M949" s="831">
        <f ca="1">(G949/6)+F949</f>
        <v>9.9952601065891447E-2</v>
      </c>
      <c r="N949" s="831">
        <f ca="1">2 + RAND()</f>
        <v>2.8761027178491974</v>
      </c>
      <c r="O949" s="831">
        <f ca="1">1 + RAND()</f>
        <v>1.8175928885326966</v>
      </c>
      <c r="P949" s="831">
        <f ca="1">2.98 + (RAND() * (3.03 - 2.98))</f>
        <v>2.9918308707521164</v>
      </c>
      <c r="Q949" s="832" t="str">
        <f ca="1">IF(D949="130 × 130", (130 + RANDBETWEEN(-1,1)) &amp; " × " &amp; (130 + RANDBETWEEN(-1,1)),
   IF(D949="160 × 160", (160 + RANDBETWEEN(-1,1)) &amp; " × " &amp; (160 + RANDBETWEEN(-1,1)),
   IF(D949="110 × 110", (110 + RANDBETWEEN(-1,1)) &amp; " × " &amp; (110 + RANDBETWEEN(-1,1)),
   "Value not matched")))</f>
        <v>Value not matched</v>
      </c>
      <c r="R949" s="833" t="s">
        <v>213</v>
      </c>
      <c r="S949" s="834" t="str">
        <f ca="1">IF(G949&lt;0.6, "IS 14650 CPS 10748/GR2", "IS 14650 CPS 10748/GR3")</f>
        <v>IS 14650 CPS 10748/GR2</v>
      </c>
      <c r="T949" s="831" t="s">
        <v>769</v>
      </c>
      <c r="U949" s="825"/>
      <c r="V949" s="826"/>
      <c r="W949" s="206">
        <f>Prod.!B533</f>
        <v>0</v>
      </c>
      <c r="X949" s="469">
        <f>Prod.!C533</f>
        <v>0</v>
      </c>
      <c r="Y949" s="469">
        <f>Prod.!D533</f>
        <v>0</v>
      </c>
      <c r="Z949" s="469">
        <f>Prod.!E533</f>
        <v>0</v>
      </c>
      <c r="AA949" s="282">
        <f>Prod.!F533</f>
        <v>0</v>
      </c>
      <c r="AB949" s="282">
        <f>Prod.!G533</f>
        <v>0</v>
      </c>
      <c r="AC949" s="836">
        <f>Prod.!H533</f>
        <v>0</v>
      </c>
      <c r="AD949" s="282">
        <f>Prod.!AB533</f>
        <v>0</v>
      </c>
      <c r="AE949" s="282">
        <f>AD949-AF949</f>
        <v>0</v>
      </c>
      <c r="AF949" s="282">
        <f>Prod.!AA533</f>
        <v>0</v>
      </c>
    </row>
    <row r="950" spans="1:32" ht="15" customHeight="1">
      <c r="A950" s="1435">
        <v>9</v>
      </c>
      <c r="B950" s="818">
        <f>W951</f>
        <v>0</v>
      </c>
      <c r="C950" s="819" t="s">
        <v>765</v>
      </c>
      <c r="D950" s="822"/>
      <c r="E950" s="822"/>
      <c r="F950" s="821">
        <f ca="1">F951 + (RAND() * 0.02 - 0.01)</f>
        <v>4.6666019925035371E-3</v>
      </c>
      <c r="G950" s="821">
        <f ca="1">G951 + (RAND() * 0.06 - 0.03)</f>
        <v>0.4786824809333195</v>
      </c>
      <c r="H950" s="822">
        <f ca="1">H951 + (RAND() * 0.006 - 0.003)</f>
        <v>-1.7508961369128756E-3</v>
      </c>
      <c r="I950" s="822">
        <f ca="1">I951 + (RAND() * 0.006 - 0.003)</f>
        <v>-2.7398167433366465E-3</v>
      </c>
      <c r="J950" s="821">
        <f ca="1">J951 + (RAND() * 0.02 - 0.01)</f>
        <v>9.4017143884158969E-3</v>
      </c>
      <c r="K950" s="821"/>
      <c r="L950" s="822"/>
      <c r="M950" s="821"/>
      <c r="N950" s="823"/>
      <c r="O950" s="823"/>
      <c r="P950" s="823"/>
      <c r="Q950" s="823"/>
      <c r="R950" s="839"/>
      <c r="S950" s="821"/>
      <c r="T950" s="821"/>
      <c r="U950" s="825"/>
      <c r="V950" s="826"/>
    </row>
    <row r="951" spans="1:32" ht="15" customHeight="1">
      <c r="A951" s="1435"/>
      <c r="B951" s="827">
        <f>B950</f>
        <v>0</v>
      </c>
      <c r="C951" s="828" t="s">
        <v>768</v>
      </c>
      <c r="D951" s="829" t="str">
        <f>IF(AC951=130, "130 × 130", IF(AC951=160, "160 × 160", IF(AC951=110, "110 × 110", "Value not 130, 160, or 110")))</f>
        <v>Value not 130, 160, or 110</v>
      </c>
      <c r="E951" s="830">
        <f>AD951</f>
        <v>0</v>
      </c>
      <c r="F951" s="831">
        <f ca="1">IF(X951 &gt; 0.1, RAND() * (0.1 - 0.06) + 0.06, X951)</f>
        <v>0</v>
      </c>
      <c r="G951" s="831">
        <f ca="1">IF(Y951 &lt; 0.5, 0.5 + RAND() * 0.1, Y951)</f>
        <v>0.50816279357712046</v>
      </c>
      <c r="H951" s="830">
        <f ca="1">IF(AB951&gt;0.04, 0.029 + (0.039-0.029)*RAND(), AB951)</f>
        <v>0</v>
      </c>
      <c r="I951" s="830">
        <f ca="1">IF(AA951&gt;0.04, 0.029 + (0.039-0.029)*RAND(), AA951)</f>
        <v>0</v>
      </c>
      <c r="J951" s="831">
        <f ca="1">IF(Z951&gt;0.15, 0.11 + (0.15-0.11) * RAND(), Z951)</f>
        <v>0</v>
      </c>
      <c r="K951" s="830">
        <f ca="1">0.004 + (RAND() * (0.001 - 0.004))</f>
        <v>2.8973607391537736E-3</v>
      </c>
      <c r="L951" s="830">
        <f ca="1">H951+I951</f>
        <v>0</v>
      </c>
      <c r="M951" s="831">
        <f ca="1">(G951/6)+F951</f>
        <v>8.4693798929520073E-2</v>
      </c>
      <c r="N951" s="831">
        <f ca="1">2 + RAND()</f>
        <v>2.8926948121856273</v>
      </c>
      <c r="O951" s="831">
        <f ca="1">1 + RAND()</f>
        <v>1.2390925184142993</v>
      </c>
      <c r="P951" s="831">
        <f ca="1">2.98 + (RAND() * (3.03 - 2.98))</f>
        <v>3.0185207566773387</v>
      </c>
      <c r="Q951" s="832" t="str">
        <f ca="1">IF(D951="130 × 130", (130 + RANDBETWEEN(-1,1)) &amp; " × " &amp; (130 + RANDBETWEEN(-1,1)),
   IF(D951="160 × 160", (160 + RANDBETWEEN(-1,1)) &amp; " × " &amp; (160 + RANDBETWEEN(-1,1)),
   IF(D951="110 × 110", (110 + RANDBETWEEN(-1,1)) &amp; " × " &amp; (110 + RANDBETWEEN(-1,1)),
   "Value not matched")))</f>
        <v>Value not matched</v>
      </c>
      <c r="R951" s="833" t="s">
        <v>213</v>
      </c>
      <c r="S951" s="834" t="str">
        <f ca="1">IF(G951&lt;0.6, "IS 14650 CPS 10748/GR2", "IS 14650 CPS 10748/GR3")</f>
        <v>IS 14650 CPS 10748/GR2</v>
      </c>
      <c r="T951" s="831" t="s">
        <v>769</v>
      </c>
      <c r="U951" s="825"/>
      <c r="V951" s="826"/>
      <c r="W951" s="206">
        <f>Prod.!B534</f>
        <v>0</v>
      </c>
      <c r="X951" s="469">
        <f>Prod.!C534</f>
        <v>0</v>
      </c>
      <c r="Y951" s="469">
        <f>Prod.!D534</f>
        <v>0</v>
      </c>
      <c r="Z951" s="469">
        <f>Prod.!E534</f>
        <v>0</v>
      </c>
      <c r="AA951" s="282">
        <f>Prod.!F534</f>
        <v>0</v>
      </c>
      <c r="AB951" s="282">
        <f>Prod.!G534</f>
        <v>0</v>
      </c>
      <c r="AC951" s="836">
        <f>Prod.!H534</f>
        <v>0</v>
      </c>
      <c r="AD951" s="282">
        <f>Prod.!AB534</f>
        <v>0</v>
      </c>
      <c r="AE951" s="282">
        <f>AD951-AF951</f>
        <v>0</v>
      </c>
      <c r="AF951" s="282">
        <f>Prod.!AA534</f>
        <v>0</v>
      </c>
    </row>
    <row r="952" spans="1:32" ht="15" customHeight="1">
      <c r="A952" s="1435">
        <v>10</v>
      </c>
      <c r="B952" s="818">
        <f>W953</f>
        <v>0</v>
      </c>
      <c r="C952" s="819" t="s">
        <v>765</v>
      </c>
      <c r="D952" s="822"/>
      <c r="E952" s="822"/>
      <c r="F952" s="821">
        <f ca="1">F953 + (RAND() * 0.02 - 0.01)</f>
        <v>2.8039420325949548E-3</v>
      </c>
      <c r="G952" s="821">
        <f ca="1">G953 + (RAND() * 0.06 - 0.03)</f>
        <v>0.52987673530660018</v>
      </c>
      <c r="H952" s="822">
        <f ca="1">H953 + (RAND() * 0.006 - 0.003)</f>
        <v>-1.2940042729663395E-3</v>
      </c>
      <c r="I952" s="822">
        <f ca="1">I953 + (RAND() * 0.006 - 0.003)</f>
        <v>7.9683272232171929E-4</v>
      </c>
      <c r="J952" s="821">
        <f ca="1">J953 + (RAND() * 0.02 - 0.01)</f>
        <v>-6.9809796595103508E-3</v>
      </c>
      <c r="K952" s="821"/>
      <c r="L952" s="822"/>
      <c r="M952" s="821"/>
      <c r="N952" s="823"/>
      <c r="O952" s="823"/>
      <c r="P952" s="823"/>
      <c r="Q952" s="823"/>
      <c r="R952" s="839"/>
      <c r="S952" s="821"/>
      <c r="T952" s="821"/>
      <c r="U952" s="825"/>
      <c r="V952" s="826"/>
    </row>
    <row r="953" spans="1:32" ht="15" customHeight="1">
      <c r="A953" s="1435"/>
      <c r="B953" s="827">
        <f>B952</f>
        <v>0</v>
      </c>
      <c r="C953" s="828" t="s">
        <v>768</v>
      </c>
      <c r="D953" s="829" t="str">
        <f>IF(AC953=130, "130 × 130", IF(AC953=160, "160 × 160", IF(AC953=110, "110 × 110", "Value not 130, 160, or 110")))</f>
        <v>Value not 130, 160, or 110</v>
      </c>
      <c r="E953" s="830">
        <f>AD953</f>
        <v>0</v>
      </c>
      <c r="F953" s="831">
        <f ca="1">IF(X953 &gt; 0.1, RAND() * (0.1 - 0.06) + 0.06, X953)</f>
        <v>0</v>
      </c>
      <c r="G953" s="831">
        <f ca="1">IF(Y953 &lt; 0.5, 0.5 + RAND() * 0.1, Y953)</f>
        <v>0.53638964619913476</v>
      </c>
      <c r="H953" s="830">
        <f ca="1">IF(AB953&gt;0.04, 0.029 + (0.039-0.029)*RAND(), AB953)</f>
        <v>0</v>
      </c>
      <c r="I953" s="830">
        <f ca="1">IF(AA953&gt;0.04, 0.029 + (0.039-0.029)*RAND(), AA953)</f>
        <v>0</v>
      </c>
      <c r="J953" s="831">
        <f ca="1">IF(Z953&gt;0.15, 0.11 + (0.15-0.11) * RAND(), Z953)</f>
        <v>0</v>
      </c>
      <c r="K953" s="830">
        <f ca="1">0.004 + (RAND() * (0.001 - 0.004))</f>
        <v>1.0043924412686477E-3</v>
      </c>
      <c r="L953" s="830">
        <f ca="1">H953+I953</f>
        <v>0</v>
      </c>
      <c r="M953" s="831">
        <f ca="1">(G953/6)+F953</f>
        <v>8.9398274366522465E-2</v>
      </c>
      <c r="N953" s="831">
        <f ca="1">2 + RAND()</f>
        <v>2.9209134844151636</v>
      </c>
      <c r="O953" s="831">
        <f ca="1">1 + RAND()</f>
        <v>1.6825704380203081</v>
      </c>
      <c r="P953" s="831">
        <f ca="1">2.98 + (RAND() * (3.03 - 2.98))</f>
        <v>3.0254235493057875</v>
      </c>
      <c r="Q953" s="832" t="str">
        <f ca="1">IF(D953="130 × 130", (130 + RANDBETWEEN(-1,1)) &amp; " × " &amp; (130 + RANDBETWEEN(-1,1)),
   IF(D953="160 × 160", (160 + RANDBETWEEN(-1,1)) &amp; " × " &amp; (160 + RANDBETWEEN(-1,1)),
   IF(D953="110 × 110", (110 + RANDBETWEEN(-1,1)) &amp; " × " &amp; (110 + RANDBETWEEN(-1,1)),
   "Value not matched")))</f>
        <v>Value not matched</v>
      </c>
      <c r="R953" s="833" t="s">
        <v>213</v>
      </c>
      <c r="S953" s="834" t="str">
        <f ca="1">IF(G953&lt;0.6, "IS 14650 CPS 10748/GR2", "IS 14650 CPS 10748/GR3")</f>
        <v>IS 14650 CPS 10748/GR2</v>
      </c>
      <c r="T953" s="831" t="s">
        <v>769</v>
      </c>
      <c r="U953" s="825"/>
      <c r="V953" s="826"/>
      <c r="W953" s="206">
        <f>Prod.!B535</f>
        <v>0</v>
      </c>
      <c r="X953" s="469">
        <f>Prod.!C535</f>
        <v>0</v>
      </c>
      <c r="Y953" s="469">
        <f>Prod.!D535</f>
        <v>0</v>
      </c>
      <c r="Z953" s="469">
        <f>Prod.!E535</f>
        <v>0</v>
      </c>
      <c r="AA953" s="282">
        <f>Prod.!F535</f>
        <v>0</v>
      </c>
      <c r="AB953" s="282">
        <f>Prod.!G535</f>
        <v>0</v>
      </c>
      <c r="AC953" s="836">
        <f>Prod.!H535</f>
        <v>0</v>
      </c>
      <c r="AD953" s="282">
        <f>Prod.!AB535</f>
        <v>0</v>
      </c>
      <c r="AE953" s="282">
        <f>AD953-AF953</f>
        <v>0</v>
      </c>
      <c r="AF953" s="282">
        <f>Prod.!AA535</f>
        <v>0</v>
      </c>
    </row>
    <row r="954" spans="1:32" ht="15" customHeight="1">
      <c r="A954" s="1435">
        <v>11</v>
      </c>
      <c r="B954" s="818">
        <f>W955</f>
        <v>0</v>
      </c>
      <c r="C954" s="819" t="s">
        <v>765</v>
      </c>
      <c r="D954" s="822"/>
      <c r="E954" s="822"/>
      <c r="F954" s="821">
        <f ca="1">F955 + (RAND() * 0.02 - 0.01)</f>
        <v>-5.3156028467578895E-3</v>
      </c>
      <c r="G954" s="821">
        <f ca="1">G955 + (RAND() * 0.06 - 0.03)</f>
        <v>0.53410805999988675</v>
      </c>
      <c r="H954" s="822">
        <f ca="1">H955 + (RAND() * 0.006 - 0.003)</f>
        <v>-2.5445431755101574E-3</v>
      </c>
      <c r="I954" s="822">
        <f ca="1">I955 + (RAND() * 0.006 - 0.003)</f>
        <v>-2.6012831328293233E-3</v>
      </c>
      <c r="J954" s="821">
        <f ca="1">J955 + (RAND() * 0.02 - 0.01)</f>
        <v>1.3276632899843713E-3</v>
      </c>
      <c r="K954" s="821"/>
      <c r="L954" s="822"/>
      <c r="M954" s="821"/>
      <c r="N954" s="823"/>
      <c r="O954" s="823"/>
      <c r="P954" s="823"/>
      <c r="Q954" s="823"/>
      <c r="R954" s="839"/>
      <c r="S954" s="821"/>
      <c r="T954" s="821"/>
      <c r="U954" s="825"/>
      <c r="V954" s="826"/>
    </row>
    <row r="955" spans="1:32" ht="15" customHeight="1">
      <c r="A955" s="1435"/>
      <c r="B955" s="827">
        <f>B954</f>
        <v>0</v>
      </c>
      <c r="C955" s="828" t="s">
        <v>768</v>
      </c>
      <c r="D955" s="829" t="str">
        <f>IF(AC955=130, "130 × 130", IF(AC955=160, "160 × 160", IF(AC955=110, "110 × 110", "Value not 130, 160, or 110")))</f>
        <v>Value not 130, 160, or 110</v>
      </c>
      <c r="E955" s="830">
        <f>AD955</f>
        <v>0</v>
      </c>
      <c r="F955" s="831">
        <f ca="1">IF(X955 &gt; 0.1, RAND() * (0.1 - 0.06) + 0.06, X955)</f>
        <v>0</v>
      </c>
      <c r="G955" s="831">
        <f ca="1">IF(Y955 &lt; 0.5, 0.5 + RAND() * 0.1, Y955)</f>
        <v>0.54665019760961542</v>
      </c>
      <c r="H955" s="830">
        <f ca="1">IF(AB955&gt;0.04, 0.029 + (0.039-0.029)*RAND(), AB955)</f>
        <v>0</v>
      </c>
      <c r="I955" s="830">
        <f ca="1">IF(AA955&gt;0.04, 0.029 + (0.039-0.029)*RAND(), AA955)</f>
        <v>0</v>
      </c>
      <c r="J955" s="831">
        <f ca="1">IF(Z955&gt;0.15, 0.11 + (0.15-0.11) * RAND(), Z955)</f>
        <v>0</v>
      </c>
      <c r="K955" s="830">
        <f ca="1">0.004 + (RAND() * (0.001 - 0.004))</f>
        <v>3.2956660191271522E-3</v>
      </c>
      <c r="L955" s="830">
        <f ca="1">H955+I955</f>
        <v>0</v>
      </c>
      <c r="M955" s="831">
        <f ca="1">(G955/6)+F955</f>
        <v>9.1108366268269236E-2</v>
      </c>
      <c r="N955" s="831">
        <f ca="1">2 + RAND()</f>
        <v>2.8206835673050814</v>
      </c>
      <c r="O955" s="831">
        <f ca="1">1 + RAND()</f>
        <v>1.0793103703717435</v>
      </c>
      <c r="P955" s="831">
        <f ca="1">2.98 + (RAND() * (3.03 - 2.98))</f>
        <v>3.0078588581799326</v>
      </c>
      <c r="Q955" s="832" t="str">
        <f ca="1">IF(D955="130 × 130", (130 + RANDBETWEEN(-1,1)) &amp; " × " &amp; (130 + RANDBETWEEN(-1,1)),
   IF(D955="160 × 160", (160 + RANDBETWEEN(-1,1)) &amp; " × " &amp; (160 + RANDBETWEEN(-1,1)),
   IF(D955="110 × 110", (110 + RANDBETWEEN(-1,1)) &amp; " × " &amp; (110 + RANDBETWEEN(-1,1)),
   "Value not matched")))</f>
        <v>Value not matched</v>
      </c>
      <c r="R955" s="833" t="s">
        <v>213</v>
      </c>
      <c r="S955" s="834" t="str">
        <f ca="1">IF(G955&lt;0.6, "IS 14650 CPS 10748/GR2", "IS 14650 CPS 10748/GR3")</f>
        <v>IS 14650 CPS 10748/GR2</v>
      </c>
      <c r="T955" s="831" t="s">
        <v>769</v>
      </c>
      <c r="U955" s="825"/>
      <c r="V955" s="826"/>
      <c r="W955" s="206">
        <f>Prod.!B536</f>
        <v>0</v>
      </c>
      <c r="X955" s="469">
        <f>Prod.!C536</f>
        <v>0</v>
      </c>
      <c r="Y955" s="469">
        <f>Prod.!D536</f>
        <v>0</v>
      </c>
      <c r="Z955" s="469">
        <f>Prod.!E536</f>
        <v>0</v>
      </c>
      <c r="AA955" s="282">
        <f>Prod.!F536</f>
        <v>0</v>
      </c>
      <c r="AB955" s="282">
        <f>Prod.!G536</f>
        <v>0</v>
      </c>
      <c r="AC955" s="836">
        <f>Prod.!H536</f>
        <v>0</v>
      </c>
      <c r="AD955" s="282">
        <f>Prod.!AB536</f>
        <v>0</v>
      </c>
      <c r="AE955" s="282">
        <f>AD955-AF955</f>
        <v>0</v>
      </c>
      <c r="AF955" s="282">
        <f>Prod.!AA536</f>
        <v>0</v>
      </c>
    </row>
    <row r="956" spans="1:32" ht="15" customHeight="1">
      <c r="A956" s="1435">
        <v>12</v>
      </c>
      <c r="B956" s="818">
        <f>W957</f>
        <v>0</v>
      </c>
      <c r="C956" s="819" t="s">
        <v>765</v>
      </c>
      <c r="D956" s="822"/>
      <c r="E956" s="822"/>
      <c r="F956" s="821">
        <f ca="1">F957 + (RAND() * 0.02 - 0.01)</f>
        <v>-7.8939331786828416E-3</v>
      </c>
      <c r="G956" s="821">
        <f ca="1">G957 + (RAND() * 0.06 - 0.03)</f>
        <v>0.5675604619835497</v>
      </c>
      <c r="H956" s="822">
        <f ca="1">H957 + (RAND() * 0.006 - 0.003)</f>
        <v>1.7185351268107669E-3</v>
      </c>
      <c r="I956" s="822">
        <f ca="1">I957 + (RAND() * 0.006 - 0.003)</f>
        <v>2.8358526075500465E-3</v>
      </c>
      <c r="J956" s="821">
        <f ca="1">J957 + (RAND() * 0.02 - 0.01)</f>
        <v>7.8702222916681407E-4</v>
      </c>
      <c r="K956" s="821"/>
      <c r="L956" s="822"/>
      <c r="M956" s="821"/>
      <c r="N956" s="823"/>
      <c r="O956" s="823"/>
      <c r="P956" s="823"/>
      <c r="Q956" s="823"/>
      <c r="R956" s="839"/>
      <c r="S956" s="821"/>
      <c r="T956" s="821"/>
      <c r="U956" s="825"/>
      <c r="V956" s="826"/>
    </row>
    <row r="957" spans="1:32" ht="15" customHeight="1">
      <c r="A957" s="1435"/>
      <c r="B957" s="827">
        <f>B956</f>
        <v>0</v>
      </c>
      <c r="C957" s="828" t="s">
        <v>768</v>
      </c>
      <c r="D957" s="829" t="str">
        <f>IF(AC957=130, "130 × 130", IF(AC957=160, "160 × 160", IF(AC957=110, "110 × 110", "Value not 130, 160, or 110")))</f>
        <v>Value not 130, 160, or 110</v>
      </c>
      <c r="E957" s="830">
        <f>AD957</f>
        <v>0</v>
      </c>
      <c r="F957" s="831">
        <f ca="1">IF(X957 &gt; 0.1, RAND() * (0.1 - 0.06) + 0.06, X957)</f>
        <v>0</v>
      </c>
      <c r="G957" s="831">
        <f ca="1">IF(Y957 &lt; 0.5, 0.5 + RAND() * 0.1, Y957)</f>
        <v>0.56417666222386453</v>
      </c>
      <c r="H957" s="830">
        <f ca="1">IF(AB957&gt;0.04, 0.029 + (0.039-0.029)*RAND(), AB957)</f>
        <v>0</v>
      </c>
      <c r="I957" s="830">
        <f ca="1">IF(AA957&gt;0.04, 0.029 + (0.039-0.029)*RAND(), AA957)</f>
        <v>0</v>
      </c>
      <c r="J957" s="831">
        <f ca="1">IF(Z957&gt;0.15, 0.11 + (0.15-0.11) * RAND(), Z957)</f>
        <v>0</v>
      </c>
      <c r="K957" s="830">
        <f ca="1">0.004 + (RAND() * (0.001 - 0.004))</f>
        <v>3.8757548467691825E-3</v>
      </c>
      <c r="L957" s="830">
        <f ca="1">H957+I957</f>
        <v>0</v>
      </c>
      <c r="M957" s="831">
        <f ca="1">(G957/6)+F957</f>
        <v>9.4029443703977422E-2</v>
      </c>
      <c r="N957" s="831">
        <f ca="1">2 + RAND()</f>
        <v>2.517131782495186</v>
      </c>
      <c r="O957" s="831">
        <f ca="1">1 + RAND()</f>
        <v>1.6161441217080954</v>
      </c>
      <c r="P957" s="831">
        <f ca="1">2.98 + (RAND() * (3.03 - 2.98))</f>
        <v>3.0078619630377577</v>
      </c>
      <c r="Q957" s="832" t="str">
        <f ca="1">IF(D957="130 × 130", (130 + RANDBETWEEN(-1,1)) &amp; " × " &amp; (130 + RANDBETWEEN(-1,1)),
   IF(D957="160 × 160", (160 + RANDBETWEEN(-1,1)) &amp; " × " &amp; (160 + RANDBETWEEN(-1,1)),
   IF(D957="110 × 110", (110 + RANDBETWEEN(-1,1)) &amp; " × " &amp; (110 + RANDBETWEEN(-1,1)),
   "Value not matched")))</f>
        <v>Value not matched</v>
      </c>
      <c r="R957" s="833" t="s">
        <v>213</v>
      </c>
      <c r="S957" s="834" t="str">
        <f ca="1">IF(G957&lt;0.6, "IS 14650 CPS 10748/GR2", "IS 14650 CPS 10748/GR3")</f>
        <v>IS 14650 CPS 10748/GR2</v>
      </c>
      <c r="T957" s="831" t="s">
        <v>769</v>
      </c>
      <c r="U957" s="825"/>
      <c r="V957" s="826"/>
      <c r="W957" s="206">
        <f>Prod.!B537</f>
        <v>0</v>
      </c>
      <c r="X957" s="469">
        <f>Prod.!C537</f>
        <v>0</v>
      </c>
      <c r="Y957" s="469">
        <f>Prod.!D537</f>
        <v>0</v>
      </c>
      <c r="Z957" s="469">
        <f>Prod.!E537</f>
        <v>0</v>
      </c>
      <c r="AA957" s="282">
        <f>Prod.!F537</f>
        <v>0</v>
      </c>
      <c r="AB957" s="282">
        <f>Prod.!G537</f>
        <v>0</v>
      </c>
      <c r="AC957" s="836">
        <f>Prod.!H537</f>
        <v>0</v>
      </c>
      <c r="AD957" s="282">
        <f>Prod.!AB537</f>
        <v>0</v>
      </c>
      <c r="AE957" s="282">
        <f>AD957-AF957</f>
        <v>0</v>
      </c>
      <c r="AF957" s="282">
        <f>Prod.!AA537</f>
        <v>0</v>
      </c>
    </row>
    <row r="958" spans="1:32" ht="15" customHeight="1">
      <c r="A958" s="1435"/>
      <c r="B958" s="818"/>
      <c r="C958" s="819"/>
      <c r="D958" s="822"/>
      <c r="E958" s="822"/>
      <c r="F958" s="821"/>
      <c r="G958" s="821"/>
      <c r="H958" s="840"/>
      <c r="I958" s="840"/>
      <c r="J958" s="821"/>
      <c r="K958" s="821"/>
      <c r="L958" s="822"/>
      <c r="M958" s="838"/>
      <c r="N958" s="821"/>
      <c r="O958" s="821"/>
      <c r="P958" s="821"/>
      <c r="Q958" s="821"/>
      <c r="R958" s="839"/>
      <c r="S958" s="841"/>
      <c r="T958" s="821"/>
      <c r="U958" s="825"/>
      <c r="V958" s="826"/>
    </row>
    <row r="959" spans="1:32" ht="15" customHeight="1">
      <c r="A959" s="1435"/>
      <c r="B959" s="827"/>
      <c r="C959" s="828"/>
      <c r="D959" s="842"/>
      <c r="E959" s="830"/>
      <c r="F959" s="831"/>
      <c r="G959" s="831"/>
      <c r="H959" s="843"/>
      <c r="I959" s="843"/>
      <c r="J959" s="831"/>
      <c r="K959" s="831"/>
      <c r="L959" s="830"/>
      <c r="M959" s="831"/>
      <c r="N959" s="831"/>
      <c r="O959" s="831"/>
      <c r="P959" s="831"/>
      <c r="Q959" s="831"/>
      <c r="R959" s="833"/>
      <c r="S959" s="834"/>
      <c r="T959" s="831"/>
      <c r="U959" s="825"/>
      <c r="V959" s="826"/>
    </row>
    <row r="960" spans="1:32" ht="15" customHeight="1">
      <c r="A960" s="180"/>
      <c r="B960" s="180"/>
      <c r="C960" s="180" t="s">
        <v>770</v>
      </c>
      <c r="D960" s="395"/>
      <c r="E960" s="844">
        <f>SUM(E934:E957)</f>
        <v>0</v>
      </c>
      <c r="F960" s="180"/>
      <c r="G960" s="180"/>
      <c r="H960" s="844"/>
      <c r="I960" s="180"/>
      <c r="J960" s="845"/>
      <c r="K960" s="845"/>
      <c r="L960" s="180"/>
      <c r="M960" s="845"/>
      <c r="N960" s="180"/>
      <c r="O960" s="180"/>
      <c r="P960" s="180"/>
      <c r="Q960" s="180"/>
      <c r="R960" s="263"/>
      <c r="S960" s="180"/>
      <c r="T960" s="180"/>
    </row>
    <row r="961" spans="1:32" ht="28.5" customHeight="1">
      <c r="A961" s="1436" t="s">
        <v>746</v>
      </c>
      <c r="B961" s="1436"/>
      <c r="C961" s="1436"/>
      <c r="D961" s="1436"/>
      <c r="E961" s="1436"/>
      <c r="F961" s="1436"/>
      <c r="G961" s="1436"/>
      <c r="H961" s="1436"/>
      <c r="I961" s="1436"/>
      <c r="J961" s="1436"/>
      <c r="K961" s="1436"/>
      <c r="L961" s="1436"/>
      <c r="M961" s="1436"/>
      <c r="N961" s="1436"/>
      <c r="O961" s="1436"/>
      <c r="P961" s="1436"/>
      <c r="Q961" s="1436"/>
      <c r="R961" s="1436"/>
      <c r="S961" s="1436"/>
      <c r="T961" s="1436"/>
      <c r="U961" s="515"/>
      <c r="V961" s="846"/>
    </row>
    <row r="962" spans="1:32" ht="15" customHeight="1">
      <c r="A962" s="1437" t="s">
        <v>747</v>
      </c>
      <c r="B962" s="1437"/>
      <c r="C962" s="1437"/>
      <c r="D962" s="1437"/>
      <c r="E962" s="1437"/>
      <c r="F962" s="1437"/>
      <c r="G962" s="1437"/>
      <c r="H962" s="1437"/>
      <c r="I962" s="1437"/>
      <c r="J962" s="1437"/>
      <c r="K962" s="1437"/>
      <c r="L962" s="1437"/>
      <c r="M962" s="1437"/>
      <c r="N962" s="1437"/>
      <c r="O962" s="1437"/>
      <c r="P962" s="1437"/>
      <c r="Q962" s="1437"/>
      <c r="R962" s="1437"/>
      <c r="S962" s="1437"/>
      <c r="T962" s="1437"/>
      <c r="U962" s="806"/>
      <c r="V962" s="807"/>
    </row>
    <row r="963" spans="1:32" ht="15" customHeight="1">
      <c r="A963" s="1438" t="str">
        <f>"DATE OF MANUFACTURING : " &amp; TEXT(V967, "DD-MM-YYYY")</f>
        <v>DATE OF MANUFACTURING : 00-01-1900</v>
      </c>
      <c r="B963" s="1438"/>
      <c r="C963" s="1438"/>
      <c r="D963" s="1438"/>
      <c r="E963" s="1438"/>
      <c r="F963" s="1438"/>
      <c r="G963" s="1438"/>
      <c r="H963" s="1438"/>
      <c r="I963" s="1438"/>
      <c r="J963" s="1438"/>
      <c r="K963" s="1438"/>
      <c r="L963" s="1438"/>
      <c r="M963" s="1438"/>
      <c r="N963" s="1437" t="s">
        <v>748</v>
      </c>
      <c r="O963" s="1437"/>
      <c r="P963" s="1437"/>
      <c r="Q963" s="1437"/>
      <c r="R963" s="1437"/>
      <c r="S963" s="1437"/>
      <c r="T963" s="1437"/>
      <c r="U963" s="808"/>
      <c r="V963" s="809"/>
    </row>
    <row r="964" spans="1:32" ht="29.25" customHeight="1">
      <c r="A964" s="1439" t="s">
        <v>749</v>
      </c>
      <c r="B964" s="1440" t="s">
        <v>750</v>
      </c>
      <c r="C964" s="1440"/>
      <c r="D964" s="1440" t="s">
        <v>751</v>
      </c>
      <c r="E964" s="1441" t="s">
        <v>752</v>
      </c>
      <c r="F964" s="1442" t="s">
        <v>753</v>
      </c>
      <c r="G964" s="1442"/>
      <c r="H964" s="1442"/>
      <c r="I964" s="1442"/>
      <c r="J964" s="1442"/>
      <c r="K964" s="1442"/>
      <c r="L964" s="1442"/>
      <c r="M964" s="1442"/>
      <c r="N964" s="1442" t="s">
        <v>754</v>
      </c>
      <c r="O964" s="1442"/>
      <c r="P964" s="1442"/>
      <c r="Q964" s="1442"/>
      <c r="R964" s="1443" t="s">
        <v>771</v>
      </c>
      <c r="S964" s="1441" t="s">
        <v>756</v>
      </c>
      <c r="T964" s="1440" t="s">
        <v>104</v>
      </c>
      <c r="U964" s="810"/>
      <c r="V964" s="811"/>
    </row>
    <row r="965" spans="1:32" ht="42.75" customHeight="1">
      <c r="A965" s="1439"/>
      <c r="B965" s="1440"/>
      <c r="C965" s="1440"/>
      <c r="D965" s="1440"/>
      <c r="E965" s="1440"/>
      <c r="F965" s="812" t="s">
        <v>40</v>
      </c>
      <c r="G965" s="812" t="s">
        <v>757</v>
      </c>
      <c r="H965" s="813" t="s">
        <v>758</v>
      </c>
      <c r="I965" s="812" t="s">
        <v>43</v>
      </c>
      <c r="J965" s="812" t="s">
        <v>42</v>
      </c>
      <c r="K965" s="812" t="s">
        <v>759</v>
      </c>
      <c r="L965" s="812" t="s">
        <v>760</v>
      </c>
      <c r="M965" s="812" t="s">
        <v>761</v>
      </c>
      <c r="N965" s="814" t="s">
        <v>762</v>
      </c>
      <c r="O965" s="815" t="s">
        <v>772</v>
      </c>
      <c r="P965" s="816" t="s">
        <v>773</v>
      </c>
      <c r="Q965" s="817" t="s">
        <v>764</v>
      </c>
      <c r="R965" s="1443"/>
      <c r="S965" s="1443"/>
      <c r="T965" s="1443"/>
      <c r="U965" s="810"/>
      <c r="V965" s="811"/>
    </row>
    <row r="966" spans="1:32" ht="15" customHeight="1">
      <c r="A966" s="1435">
        <v>1</v>
      </c>
      <c r="B966" s="818">
        <f>W967</f>
        <v>0</v>
      </c>
      <c r="C966" s="819" t="s">
        <v>765</v>
      </c>
      <c r="D966" s="820"/>
      <c r="E966" s="821"/>
      <c r="F966" s="821">
        <f ca="1">F967 + (RAND() * 0.02 - 0.01)</f>
        <v>-6.024390528343835E-3</v>
      </c>
      <c r="G966" s="821">
        <f ca="1">G967 + (RAND() * 0.06 - 0.03)</f>
        <v>0.53713837109216267</v>
      </c>
      <c r="H966" s="822">
        <f ca="1">H967 + (RAND() * 0.006 - 0.003)</f>
        <v>1.7355690834311181E-3</v>
      </c>
      <c r="I966" s="822">
        <f ca="1">I967 + (RAND() * 0.006 - 0.003)</f>
        <v>1.1375322832310681E-4</v>
      </c>
      <c r="J966" s="821">
        <f ca="1">J967 + (RAND() * 0.02 - 0.01)</f>
        <v>9.2660863840912638E-3</v>
      </c>
      <c r="K966" s="821"/>
      <c r="L966" s="822"/>
      <c r="M966" s="821"/>
      <c r="N966" s="823"/>
      <c r="O966" s="823"/>
      <c r="P966" s="823"/>
      <c r="Q966" s="823"/>
      <c r="R966" s="824"/>
      <c r="S966" s="821"/>
      <c r="T966" s="821"/>
      <c r="U966" s="825"/>
      <c r="V966" s="826"/>
      <c r="AE966" t="s">
        <v>767</v>
      </c>
    </row>
    <row r="967" spans="1:32" ht="15" customHeight="1">
      <c r="A967" s="1435"/>
      <c r="B967" s="827">
        <f>B966</f>
        <v>0</v>
      </c>
      <c r="C967" s="828" t="s">
        <v>768</v>
      </c>
      <c r="D967" s="829" t="str">
        <f>IF(AC967=130, "130 × 130", IF(AC967=160, "160 × 160", IF(AC967=110, "110 × 110", "Value not 130, 160, or 110")))</f>
        <v>Value not 130, 160, or 110</v>
      </c>
      <c r="E967" s="830">
        <f>AD967</f>
        <v>0</v>
      </c>
      <c r="F967" s="831">
        <f ca="1">IF(X967 &gt; 0.1, RAND() * (0.1 - 0.06) + 0.06, X967)</f>
        <v>0</v>
      </c>
      <c r="G967" s="831">
        <f ca="1">IF(Y967 &lt; 0.5, 0.5 + RAND() * 0.1, Y967)</f>
        <v>0.52722029131663628</v>
      </c>
      <c r="H967" s="830">
        <f ca="1">IF(AB967&gt;0.04, 0.029 + (0.039-0.029)*RAND(), AB967)</f>
        <v>0</v>
      </c>
      <c r="I967" s="830">
        <f ca="1">IF(AA967&gt;0.04, 0.029 + (0.039-0.029)*RAND(), AA967)</f>
        <v>0</v>
      </c>
      <c r="J967" s="831">
        <f ca="1">IF(Z967&gt;0.15, 0.11 + (0.15-0.11) * RAND(), Z967)</f>
        <v>0</v>
      </c>
      <c r="K967" s="830">
        <f ca="1">0.004 + (RAND() * (0.001 - 0.004))</f>
        <v>1.3104330480204428E-3</v>
      </c>
      <c r="L967" s="830">
        <f ca="1">H967+I967</f>
        <v>0</v>
      </c>
      <c r="M967" s="831">
        <f ca="1">(G967/6)+F967</f>
        <v>8.7870048552772709E-2</v>
      </c>
      <c r="N967" s="831">
        <f ca="1">2 + RAND()</f>
        <v>2.7228339978302118</v>
      </c>
      <c r="O967" s="831">
        <f ca="1">1 + RAND()</f>
        <v>1.7166290363631651</v>
      </c>
      <c r="P967" s="831">
        <f ca="1">2.98 + (RAND() * (3.03 - 2.98))</f>
        <v>3.0247780422781312</v>
      </c>
      <c r="Q967" s="832" t="str">
        <f ca="1">IF(D967="130 × 130", (130 + RANDBETWEEN(-1,1)) &amp; " × " &amp; (130 + RANDBETWEEN(-1,1)),
   IF(D967="160 × 160", (160 + RANDBETWEEN(-1,1)) &amp; " × " &amp; (160 + RANDBETWEEN(-1,1)),
   IF(D967="110 × 110", (110 + RANDBETWEEN(-1,1)) &amp; " × " &amp; (110 + RANDBETWEEN(-1,1)),
   "Value not matched")))</f>
        <v>Value not matched</v>
      </c>
      <c r="R967" s="833" t="s">
        <v>213</v>
      </c>
      <c r="S967" s="834" t="str">
        <f ca="1">IF(G967&lt;0.6, "IS 14650 CPS 10748/GR2", "IS 14650 CPS 10748/GR3")</f>
        <v>IS 14650 CPS 10748/GR2</v>
      </c>
      <c r="T967" s="831" t="s">
        <v>769</v>
      </c>
      <c r="U967" s="825"/>
      <c r="V967" s="835">
        <f>Prod.!A544</f>
        <v>0</v>
      </c>
      <c r="W967" s="206">
        <f>Prod.!B544</f>
        <v>0</v>
      </c>
      <c r="X967" s="469">
        <f>Prod.!C544</f>
        <v>0</v>
      </c>
      <c r="Y967" s="469">
        <f>Prod.!D544</f>
        <v>0</v>
      </c>
      <c r="Z967" s="469">
        <f>Prod.!E544</f>
        <v>0</v>
      </c>
      <c r="AA967" s="282">
        <f>Prod.!F544</f>
        <v>0</v>
      </c>
      <c r="AB967" s="282">
        <f>Prod.!G544</f>
        <v>0</v>
      </c>
      <c r="AC967" s="836">
        <f>Prod.!H544</f>
        <v>0</v>
      </c>
      <c r="AD967" s="282">
        <f>Prod.!AB544</f>
        <v>0</v>
      </c>
      <c r="AE967" s="282">
        <f>AD967-AF967</f>
        <v>0</v>
      </c>
      <c r="AF967" s="282">
        <f>Prod.!AA544</f>
        <v>0</v>
      </c>
    </row>
    <row r="968" spans="1:32" ht="15" customHeight="1">
      <c r="A968" s="1435">
        <v>2</v>
      </c>
      <c r="B968" s="818">
        <f>W969</f>
        <v>0</v>
      </c>
      <c r="C968" s="819" t="s">
        <v>765</v>
      </c>
      <c r="D968" s="822"/>
      <c r="E968" s="822"/>
      <c r="F968" s="821">
        <f ca="1">F969 + (RAND() * 0.02 - 0.01)</f>
        <v>1.3133046808471889E-3</v>
      </c>
      <c r="G968" s="821">
        <f ca="1">G969 + (RAND() * 0.06 - 0.03)</f>
        <v>0.57757655521321671</v>
      </c>
      <c r="H968" s="822">
        <f ca="1">H969 + (RAND() * 0.006 - 0.003)</f>
        <v>-1.1494260197512849E-3</v>
      </c>
      <c r="I968" s="822">
        <f ca="1">I969 + (RAND() * 0.006 - 0.003)</f>
        <v>1.5388076959991703E-3</v>
      </c>
      <c r="J968" s="821">
        <f ca="1">J969 + (RAND() * 0.02 - 0.01)</f>
        <v>5.8778622118907213E-4</v>
      </c>
      <c r="K968" s="821"/>
      <c r="L968" s="822"/>
      <c r="M968" s="821"/>
      <c r="N968" s="823"/>
      <c r="O968" s="823"/>
      <c r="P968" s="823"/>
      <c r="Q968" s="823"/>
      <c r="R968" s="837"/>
      <c r="S968" s="821"/>
      <c r="T968" s="838"/>
      <c r="U968" s="825"/>
      <c r="V968" s="826"/>
    </row>
    <row r="969" spans="1:32" ht="15" customHeight="1">
      <c r="A969" s="1435"/>
      <c r="B969" s="827">
        <f>B968</f>
        <v>0</v>
      </c>
      <c r="C969" s="828" t="s">
        <v>768</v>
      </c>
      <c r="D969" s="829" t="str">
        <f>IF(AC969=130, "130 × 130", IF(AC969=160, "160 × 160", IF(AC969=110, "110 × 110", "Value not 130, 160, or 110")))</f>
        <v>Value not 130, 160, or 110</v>
      </c>
      <c r="E969" s="830">
        <f>AD969</f>
        <v>0</v>
      </c>
      <c r="F969" s="831">
        <f ca="1">IF(X969 &gt; 0.1, RAND() * (0.1 - 0.06) + 0.06, X969)</f>
        <v>0</v>
      </c>
      <c r="G969" s="831">
        <f ca="1">IF(Y969 &lt; 0.5, 0.5 + RAND() * 0.1, Y969)</f>
        <v>0.56333392450066899</v>
      </c>
      <c r="H969" s="830">
        <f ca="1">IF(AB969&gt;0.04, 0.029 + (0.039-0.029)*RAND(), AB969)</f>
        <v>0</v>
      </c>
      <c r="I969" s="830">
        <f ca="1">IF(AA969&gt;0.04, 0.029 + (0.039-0.029)*RAND(), AA969)</f>
        <v>0</v>
      </c>
      <c r="J969" s="831">
        <f ca="1">IF(Z969&gt;0.15, 0.11 + (0.15-0.11) * RAND(), Z969)</f>
        <v>0</v>
      </c>
      <c r="K969" s="830">
        <f ca="1">0.004 + (RAND() * (0.001 - 0.004))</f>
        <v>1.2950677820992729E-3</v>
      </c>
      <c r="L969" s="830">
        <f ca="1">H969+I969</f>
        <v>0</v>
      </c>
      <c r="M969" s="831">
        <f ca="1">(G969/6)+F969</f>
        <v>9.3888987416778161E-2</v>
      </c>
      <c r="N969" s="831">
        <f ca="1">2 + RAND()</f>
        <v>2.6380746977179337</v>
      </c>
      <c r="O969" s="831">
        <f ca="1">1 + RAND()</f>
        <v>1.8822829015103619</v>
      </c>
      <c r="P969" s="831">
        <f ca="1">2.98 + (RAND() * (3.03 - 2.98))</f>
        <v>2.9997840869962413</v>
      </c>
      <c r="Q969" s="832" t="str">
        <f ca="1">IF(D969="130 × 130", (130 + RANDBETWEEN(-1,1)) &amp; " × " &amp; (130 + RANDBETWEEN(-1,1)),
   IF(D969="160 × 160", (160 + RANDBETWEEN(-1,1)) &amp; " × " &amp; (160 + RANDBETWEEN(-1,1)),
   IF(D969="110 × 110", (110 + RANDBETWEEN(-1,1)) &amp; " × " &amp; (110 + RANDBETWEEN(-1,1)),
   "Value not matched")))</f>
        <v>Value not matched</v>
      </c>
      <c r="R969" s="833" t="s">
        <v>213</v>
      </c>
      <c r="S969" s="834" t="str">
        <f ca="1">IF(G969&lt;0.6, "IS 14650 CPS 10748/GR2", "IS 14650 CPS 10748/GR3")</f>
        <v>IS 14650 CPS 10748/GR2</v>
      </c>
      <c r="T969" s="831" t="s">
        <v>769</v>
      </c>
      <c r="U969" s="825"/>
      <c r="V969" s="826"/>
      <c r="W969" s="206">
        <f>Prod.!B545</f>
        <v>0</v>
      </c>
      <c r="X969" s="469">
        <f>Prod.!C545</f>
        <v>0</v>
      </c>
      <c r="Y969" s="469">
        <f>Prod.!D545</f>
        <v>0</v>
      </c>
      <c r="Z969" s="469">
        <f>Prod.!E545</f>
        <v>0</v>
      </c>
      <c r="AA969" s="282">
        <f>Prod.!F545</f>
        <v>0</v>
      </c>
      <c r="AB969" s="282">
        <f>Prod.!G545</f>
        <v>0</v>
      </c>
      <c r="AC969" s="836">
        <f>Prod.!H545</f>
        <v>0</v>
      </c>
      <c r="AD969" s="282">
        <f>Prod.!AB545</f>
        <v>0</v>
      </c>
      <c r="AE969" s="282">
        <f>AD969-AF969</f>
        <v>0</v>
      </c>
      <c r="AF969" s="282">
        <f>Prod.!AA545</f>
        <v>0</v>
      </c>
    </row>
    <row r="970" spans="1:32" ht="15" customHeight="1">
      <c r="A970" s="1435">
        <v>3</v>
      </c>
      <c r="B970" s="818">
        <f>W971</f>
        <v>0</v>
      </c>
      <c r="C970" s="819" t="s">
        <v>765</v>
      </c>
      <c r="D970" s="822"/>
      <c r="E970" s="822"/>
      <c r="F970" s="821">
        <f ca="1">F971 + (RAND() * 0.02 - 0.01)</f>
        <v>-6.3995136564032971E-3</v>
      </c>
      <c r="G970" s="821">
        <f ca="1">G971 + (RAND() * 0.06 - 0.03)</f>
        <v>0.55629896017892289</v>
      </c>
      <c r="H970" s="822">
        <f ca="1">H971 + (RAND() * 0.006 - 0.003)</f>
        <v>-2.2820059670891099E-3</v>
      </c>
      <c r="I970" s="822">
        <f ca="1">I971 + (RAND() * 0.006 - 0.003)</f>
        <v>-1.0566881840262149E-3</v>
      </c>
      <c r="J970" s="821">
        <f ca="1">J971 + (RAND() * 0.02 - 0.01)</f>
        <v>8.0513110332214258E-3</v>
      </c>
      <c r="K970" s="821"/>
      <c r="L970" s="822"/>
      <c r="M970" s="821"/>
      <c r="N970" s="823"/>
      <c r="O970" s="823"/>
      <c r="P970" s="823"/>
      <c r="Q970" s="823"/>
      <c r="R970" s="839"/>
      <c r="S970" s="821"/>
      <c r="T970" s="821"/>
      <c r="U970" s="825"/>
      <c r="V970" s="826"/>
    </row>
    <row r="971" spans="1:32" ht="15" customHeight="1">
      <c r="A971" s="1435"/>
      <c r="B971" s="827">
        <f>B970</f>
        <v>0</v>
      </c>
      <c r="C971" s="828" t="s">
        <v>768</v>
      </c>
      <c r="D971" s="829" t="str">
        <f>IF(AC971=130, "130 × 130", IF(AC971=160, "160 × 160", IF(AC971=110, "110 × 110", "Value not 130, 160, or 110")))</f>
        <v>Value not 130, 160, or 110</v>
      </c>
      <c r="E971" s="830">
        <f>AD971</f>
        <v>0</v>
      </c>
      <c r="F971" s="831">
        <f ca="1">IF(X971 &gt; 0.1, RAND() * (0.1 - 0.06) + 0.06, X971)</f>
        <v>0</v>
      </c>
      <c r="G971" s="831">
        <f ca="1">IF(Y971 &lt; 0.5, 0.5 + RAND() * 0.1, Y971)</f>
        <v>0.53063523134997959</v>
      </c>
      <c r="H971" s="830">
        <f ca="1">IF(AB971&gt;0.04, 0.029 + (0.039-0.029)*RAND(), AB971)</f>
        <v>0</v>
      </c>
      <c r="I971" s="830">
        <f ca="1">IF(AA971&gt;0.04, 0.029 + (0.039-0.029)*RAND(), AA971)</f>
        <v>0</v>
      </c>
      <c r="J971" s="831">
        <f ca="1">IF(Z971&gt;0.15, 0.11 + (0.15-0.11) * RAND(), Z971)</f>
        <v>0</v>
      </c>
      <c r="K971" s="830">
        <f ca="1">0.004 + (RAND() * (0.001 - 0.004))</f>
        <v>3.9278923202851592E-3</v>
      </c>
      <c r="L971" s="830">
        <f ca="1">H971+I971</f>
        <v>0</v>
      </c>
      <c r="M971" s="831">
        <f ca="1">(G971/6)+F971</f>
        <v>8.8439205224996598E-2</v>
      </c>
      <c r="N971" s="831">
        <f ca="1">2 + RAND()</f>
        <v>2.7489658715170329</v>
      </c>
      <c r="O971" s="831">
        <f ca="1">1 + RAND()</f>
        <v>1.8477584553598583</v>
      </c>
      <c r="P971" s="831">
        <f ca="1">2.98 + (RAND() * (3.03 - 2.98))</f>
        <v>3.0164725535940833</v>
      </c>
      <c r="Q971" s="832" t="str">
        <f ca="1">IF(D971="130 × 130", (130 + RANDBETWEEN(-1,1)) &amp; " × " &amp; (130 + RANDBETWEEN(-1,1)),
   IF(D971="160 × 160", (160 + RANDBETWEEN(-1,1)) &amp; " × " &amp; (160 + RANDBETWEEN(-1,1)),
   IF(D971="110 × 110", (110 + RANDBETWEEN(-1,1)) &amp; " × " &amp; (110 + RANDBETWEEN(-1,1)),
   "Value not matched")))</f>
        <v>Value not matched</v>
      </c>
      <c r="R971" s="833" t="s">
        <v>213</v>
      </c>
      <c r="S971" s="834" t="str">
        <f ca="1">IF(G971&lt;0.6, "IS 14650 CPS 10748/GR2", "IS 14650 CPS 10748/GR3")</f>
        <v>IS 14650 CPS 10748/GR2</v>
      </c>
      <c r="T971" s="831" t="s">
        <v>769</v>
      </c>
      <c r="U971" s="825"/>
      <c r="V971" s="826"/>
      <c r="W971" s="206">
        <f>Prod.!B546</f>
        <v>0</v>
      </c>
      <c r="X971" s="469">
        <f>Prod.!C546</f>
        <v>0</v>
      </c>
      <c r="Y971" s="469">
        <f>Prod.!D546</f>
        <v>0</v>
      </c>
      <c r="Z971" s="469">
        <f>Prod.!E546</f>
        <v>0</v>
      </c>
      <c r="AA971" s="282">
        <f>Prod.!F546</f>
        <v>0</v>
      </c>
      <c r="AB971" s="282">
        <f>Prod.!G546</f>
        <v>0</v>
      </c>
      <c r="AC971" s="836">
        <f>Prod.!H546</f>
        <v>0</v>
      </c>
      <c r="AD971" s="282">
        <f>Prod.!AB546</f>
        <v>0</v>
      </c>
      <c r="AE971" s="282">
        <f>AD971-AF971</f>
        <v>0</v>
      </c>
      <c r="AF971" s="282">
        <f>Prod.!AA546</f>
        <v>0</v>
      </c>
    </row>
    <row r="972" spans="1:32" ht="15" customHeight="1">
      <c r="A972" s="1435">
        <v>4</v>
      </c>
      <c r="B972" s="818">
        <f>W973</f>
        <v>0</v>
      </c>
      <c r="C972" s="819" t="s">
        <v>765</v>
      </c>
      <c r="D972" s="822"/>
      <c r="E972" s="822"/>
      <c r="F972" s="821">
        <f ca="1">F973 + (RAND() * 0.02 - 0.01)</f>
        <v>-6.504741333448933E-3</v>
      </c>
      <c r="G972" s="821">
        <f ca="1">G973 + (RAND() * 0.06 - 0.03)</f>
        <v>0.6152389413267858</v>
      </c>
      <c r="H972" s="822">
        <f ca="1">H973 + (RAND() * 0.006 - 0.003)</f>
        <v>-1.3702712224461988E-4</v>
      </c>
      <c r="I972" s="822">
        <f ca="1">I973 + (RAND() * 0.006 - 0.003)</f>
        <v>-1.3325086613299119E-3</v>
      </c>
      <c r="J972" s="821">
        <f ca="1">J973 + (RAND() * 0.02 - 0.01)</f>
        <v>-1.8636522928559048E-3</v>
      </c>
      <c r="K972" s="821"/>
      <c r="L972" s="822"/>
      <c r="M972" s="821"/>
      <c r="N972" s="823"/>
      <c r="O972" s="823"/>
      <c r="P972" s="823"/>
      <c r="Q972" s="823"/>
      <c r="R972" s="839"/>
      <c r="S972" s="821"/>
      <c r="T972" s="821"/>
      <c r="U972" s="825"/>
      <c r="V972" s="826"/>
    </row>
    <row r="973" spans="1:32" ht="15" customHeight="1">
      <c r="A973" s="1435"/>
      <c r="B973" s="827">
        <f>B972</f>
        <v>0</v>
      </c>
      <c r="C973" s="828" t="s">
        <v>768</v>
      </c>
      <c r="D973" s="829" t="str">
        <f>IF(AC973=130, "130 × 130", IF(AC973=160, "160 × 160", IF(AC973=110, "110 × 110", "Value not 130, 160, or 110")))</f>
        <v>Value not 130, 160, or 110</v>
      </c>
      <c r="E973" s="830">
        <f>AD973</f>
        <v>0</v>
      </c>
      <c r="F973" s="831">
        <f ca="1">IF(X973 &gt; 0.1, RAND() * (0.1 - 0.06) + 0.06, X973)</f>
        <v>0</v>
      </c>
      <c r="G973" s="831">
        <f ca="1">IF(Y973 &lt; 0.5, 0.5 + RAND() * 0.1, Y973)</f>
        <v>0.59799137012356207</v>
      </c>
      <c r="H973" s="830">
        <f ca="1">IF(AB973&gt;0.04, 0.029 + (0.039-0.029)*RAND(), AB973)</f>
        <v>0</v>
      </c>
      <c r="I973" s="830">
        <f ca="1">IF(AA973&gt;0.04, 0.029 + (0.039-0.029)*RAND(), AA973)</f>
        <v>0</v>
      </c>
      <c r="J973" s="831">
        <f ca="1">IF(Z973&gt;0.15, 0.11 + (0.15-0.11) * RAND(), Z973)</f>
        <v>0</v>
      </c>
      <c r="K973" s="830">
        <f ca="1">0.004 + (RAND() * (0.001 - 0.004))</f>
        <v>1.8855084865571285E-3</v>
      </c>
      <c r="L973" s="830">
        <f ca="1">H973+I973</f>
        <v>0</v>
      </c>
      <c r="M973" s="831">
        <f ca="1">(G973/6)+F973</f>
        <v>9.9665228353927007E-2</v>
      </c>
      <c r="N973" s="831">
        <f ca="1">2 + RAND()</f>
        <v>2.6436309654744563</v>
      </c>
      <c r="O973" s="831">
        <f ca="1">1 + RAND()</f>
        <v>1.5768203277013799</v>
      </c>
      <c r="P973" s="831">
        <f ca="1">2.98 + (RAND() * (3.03 - 2.98))</f>
        <v>2.9848661602108675</v>
      </c>
      <c r="Q973" s="832" t="str">
        <f ca="1">IF(D973="130 × 130", (130 + RANDBETWEEN(-1,1)) &amp; " × " &amp; (130 + RANDBETWEEN(-1,1)),
   IF(D973="160 × 160", (160 + RANDBETWEEN(-1,1)) &amp; " × " &amp; (160 + RANDBETWEEN(-1,1)),
   IF(D973="110 × 110", (110 + RANDBETWEEN(-1,1)) &amp; " × " &amp; (110 + RANDBETWEEN(-1,1)),
   "Value not matched")))</f>
        <v>Value not matched</v>
      </c>
      <c r="R973" s="833" t="s">
        <v>213</v>
      </c>
      <c r="S973" s="834" t="str">
        <f ca="1">IF(G973&lt;0.6, "IS 14650 CPS 10748/GR2", "IS 14650 CPS 10748/GR3")</f>
        <v>IS 14650 CPS 10748/GR2</v>
      </c>
      <c r="T973" s="831" t="s">
        <v>769</v>
      </c>
      <c r="U973" s="825"/>
      <c r="V973" s="826"/>
      <c r="W973" s="206">
        <f>Prod.!B547</f>
        <v>0</v>
      </c>
      <c r="X973" s="469">
        <f>Prod.!C547</f>
        <v>0</v>
      </c>
      <c r="Y973" s="469">
        <f>Prod.!D547</f>
        <v>0</v>
      </c>
      <c r="Z973" s="469">
        <f>Prod.!E547</f>
        <v>0</v>
      </c>
      <c r="AA973" s="282">
        <f>Prod.!F547</f>
        <v>0</v>
      </c>
      <c r="AB973" s="282">
        <f>Prod.!G547</f>
        <v>0</v>
      </c>
      <c r="AC973" s="836">
        <f>Prod.!H547</f>
        <v>0</v>
      </c>
      <c r="AD973" s="282">
        <f>Prod.!AB547</f>
        <v>0</v>
      </c>
      <c r="AE973" s="282">
        <f>AD973-AF973</f>
        <v>0</v>
      </c>
      <c r="AF973" s="282">
        <f>Prod.!AA547</f>
        <v>0</v>
      </c>
    </row>
    <row r="974" spans="1:32" ht="15" customHeight="1">
      <c r="A974" s="1435">
        <v>5</v>
      </c>
      <c r="B974" s="818">
        <f>W975</f>
        <v>0</v>
      </c>
      <c r="C974" s="819" t="s">
        <v>765</v>
      </c>
      <c r="D974" s="822"/>
      <c r="E974" s="822"/>
      <c r="F974" s="821">
        <f ca="1">F975 + (RAND() * 0.02 - 0.01)</f>
        <v>-6.7101673208878965E-3</v>
      </c>
      <c r="G974" s="821">
        <f ca="1">G975 + (RAND() * 0.06 - 0.03)</f>
        <v>0.50927808228144245</v>
      </c>
      <c r="H974" s="822">
        <f ca="1">H975 + (RAND() * 0.006 - 0.003)</f>
        <v>-2.4910858780485424E-3</v>
      </c>
      <c r="I974" s="822">
        <f ca="1">I975 + (RAND() * 0.006 - 0.003)</f>
        <v>1.3165646291536407E-3</v>
      </c>
      <c r="J974" s="821">
        <f ca="1">J975 + (RAND() * 0.02 - 0.01)</f>
        <v>4.0872452726331537E-3</v>
      </c>
      <c r="K974" s="821"/>
      <c r="L974" s="822"/>
      <c r="M974" s="821"/>
      <c r="N974" s="823"/>
      <c r="O974" s="823"/>
      <c r="P974" s="823"/>
      <c r="Q974" s="823"/>
      <c r="R974" s="839"/>
      <c r="S974" s="821"/>
      <c r="T974" s="821"/>
      <c r="U974" s="825"/>
      <c r="V974" s="826"/>
    </row>
    <row r="975" spans="1:32" ht="15" customHeight="1">
      <c r="A975" s="1435"/>
      <c r="B975" s="827">
        <f>B974</f>
        <v>0</v>
      </c>
      <c r="C975" s="828" t="s">
        <v>768</v>
      </c>
      <c r="D975" s="829" t="str">
        <f>IF(AC975=130, "130 × 130", IF(AC975=160, "160 × 160", IF(AC975=110, "110 × 110", "Value not 130, 160, or 110")))</f>
        <v>Value not 130, 160, or 110</v>
      </c>
      <c r="E975" s="830">
        <f>AD975</f>
        <v>0</v>
      </c>
      <c r="F975" s="831">
        <f ca="1">IF(X975 &gt; 0.1, RAND() * (0.1 - 0.06) + 0.06, X975)</f>
        <v>0</v>
      </c>
      <c r="G975" s="831">
        <f ca="1">IF(Y975 &lt; 0.5, 0.5 + RAND() * 0.1, Y975)</f>
        <v>0.51644962282372309</v>
      </c>
      <c r="H975" s="830">
        <f ca="1">IF(AB975&gt;0.04, 0.029 + (0.039-0.029)*RAND(), AB975)</f>
        <v>0</v>
      </c>
      <c r="I975" s="830">
        <f ca="1">IF(AA975&gt;0.04, 0.029 + (0.039-0.029)*RAND(), AA975)</f>
        <v>0</v>
      </c>
      <c r="J975" s="831">
        <f ca="1">IF(Z975&gt;0.15, 0.11 + (0.15-0.11) * RAND(), Z975)</f>
        <v>0</v>
      </c>
      <c r="K975" s="830">
        <f ca="1">0.004 + (RAND() * (0.001 - 0.004))</f>
        <v>3.2917742999627251E-3</v>
      </c>
      <c r="L975" s="830">
        <f ca="1">H975+I975</f>
        <v>0</v>
      </c>
      <c r="M975" s="831">
        <f ca="1">(G975/6)+F975</f>
        <v>8.6074937137287186E-2</v>
      </c>
      <c r="N975" s="831">
        <f ca="1">2 + RAND()</f>
        <v>2.8580897941701875</v>
      </c>
      <c r="O975" s="831">
        <f ca="1">1 + RAND()</f>
        <v>1.4524812214485019</v>
      </c>
      <c r="P975" s="831">
        <f ca="1">2.98 + (RAND() * (3.03 - 2.98))</f>
        <v>3.0271321372116251</v>
      </c>
      <c r="Q975" s="832" t="str">
        <f ca="1">IF(D975="130 × 130", (130 + RANDBETWEEN(-1,1)) &amp; " × " &amp; (130 + RANDBETWEEN(-1,1)),
   IF(D975="160 × 160", (160 + RANDBETWEEN(-1,1)) &amp; " × " &amp; (160 + RANDBETWEEN(-1,1)),
   IF(D975="110 × 110", (110 + RANDBETWEEN(-1,1)) &amp; " × " &amp; (110 + RANDBETWEEN(-1,1)),
   "Value not matched")))</f>
        <v>Value not matched</v>
      </c>
      <c r="R975" s="833" t="s">
        <v>213</v>
      </c>
      <c r="S975" s="834" t="str">
        <f ca="1">IF(G975&lt;0.6, "IS 14650 CPS 10748/GR2", "IS 14650 CPS 10748/GR3")</f>
        <v>IS 14650 CPS 10748/GR2</v>
      </c>
      <c r="T975" s="831" t="s">
        <v>769</v>
      </c>
      <c r="U975" s="825"/>
      <c r="V975" s="826"/>
      <c r="W975" s="206">
        <f>Prod.!B548</f>
        <v>0</v>
      </c>
      <c r="X975" s="469">
        <f>Prod.!C548</f>
        <v>0</v>
      </c>
      <c r="Y975" s="469">
        <f>Prod.!D548</f>
        <v>0</v>
      </c>
      <c r="Z975" s="469">
        <f>Prod.!E548</f>
        <v>0</v>
      </c>
      <c r="AA975" s="282">
        <f>Prod.!F548</f>
        <v>0</v>
      </c>
      <c r="AB975" s="282">
        <f>Prod.!G548</f>
        <v>0</v>
      </c>
      <c r="AC975" s="836">
        <f>Prod.!H548</f>
        <v>0</v>
      </c>
      <c r="AD975" s="282">
        <f>Prod.!AB548</f>
        <v>0</v>
      </c>
      <c r="AE975" s="282">
        <f>AD975-AF975</f>
        <v>0</v>
      </c>
      <c r="AF975" s="282">
        <f>Prod.!AA548</f>
        <v>0</v>
      </c>
    </row>
    <row r="976" spans="1:32" ht="15" customHeight="1">
      <c r="A976" s="1435">
        <v>6</v>
      </c>
      <c r="B976" s="818">
        <f>W977</f>
        <v>0</v>
      </c>
      <c r="C976" s="819" t="s">
        <v>765</v>
      </c>
      <c r="D976" s="822"/>
      <c r="E976" s="822"/>
      <c r="F976" s="821">
        <f ca="1">F977 + (RAND() * 0.02 - 0.01)</f>
        <v>3.4346235811773349E-3</v>
      </c>
      <c r="G976" s="821">
        <f ca="1">G977 + (RAND() * 0.06 - 0.03)</f>
        <v>0.53738413879305835</v>
      </c>
      <c r="H976" s="822">
        <f ca="1">H977 + (RAND() * 0.006 - 0.003)</f>
        <v>1.7381679538465917E-3</v>
      </c>
      <c r="I976" s="822">
        <f ca="1">I977 + (RAND() * 0.006 - 0.003)</f>
        <v>9.5167305435056321E-5</v>
      </c>
      <c r="J976" s="821">
        <f ca="1">J977 + (RAND() * 0.02 - 0.01)</f>
        <v>6.4680806544103273E-3</v>
      </c>
      <c r="K976" s="821"/>
      <c r="L976" s="822"/>
      <c r="M976" s="821"/>
      <c r="N976" s="823"/>
      <c r="O976" s="823"/>
      <c r="P976" s="823"/>
      <c r="Q976" s="823"/>
      <c r="R976" s="839"/>
      <c r="S976" s="821"/>
      <c r="T976" s="821"/>
      <c r="U976" s="825"/>
      <c r="V976" s="826"/>
    </row>
    <row r="977" spans="1:32" ht="15" customHeight="1">
      <c r="A977" s="1435"/>
      <c r="B977" s="827">
        <f>B976</f>
        <v>0</v>
      </c>
      <c r="C977" s="828" t="s">
        <v>768</v>
      </c>
      <c r="D977" s="829" t="str">
        <f>IF(AC977=130, "130 × 130", IF(AC977=160, "160 × 160", IF(AC977=110, "110 × 110", "Value not 130, 160, or 110")))</f>
        <v>Value not 130, 160, or 110</v>
      </c>
      <c r="E977" s="830">
        <f>AD977</f>
        <v>0</v>
      </c>
      <c r="F977" s="831">
        <f ca="1">IF(X977 &gt; 0.1, RAND() * (0.1 - 0.06) + 0.06, X977)</f>
        <v>0</v>
      </c>
      <c r="G977" s="831">
        <f ca="1">IF(Y977 &lt; 0.5, 0.5 + RAND() * 0.1, Y977)</f>
        <v>0.54865402498077642</v>
      </c>
      <c r="H977" s="830">
        <f ca="1">IF(AB977&gt;0.04, 0.029 + (0.039-0.029)*RAND(), AB977)</f>
        <v>0</v>
      </c>
      <c r="I977" s="830">
        <f ca="1">IF(AA977&gt;0.04, 0.029 + (0.039-0.029)*RAND(), AA977)</f>
        <v>0</v>
      </c>
      <c r="J977" s="831">
        <f ca="1">IF(Z977&gt;0.15, 0.11 + (0.15-0.11) * RAND(), Z977)</f>
        <v>0</v>
      </c>
      <c r="K977" s="830">
        <f ca="1">0.004 + (RAND() * (0.001 - 0.004))</f>
        <v>3.7510890888496078E-3</v>
      </c>
      <c r="L977" s="830">
        <f ca="1">H977+I977</f>
        <v>0</v>
      </c>
      <c r="M977" s="831">
        <f ca="1">(G977/6)+F977</f>
        <v>9.1442337496796075E-2</v>
      </c>
      <c r="N977" s="831">
        <f ca="1">2 + RAND()</f>
        <v>2.0149682876871848</v>
      </c>
      <c r="O977" s="831">
        <f ca="1">1 + RAND()</f>
        <v>1.2056927788279106</v>
      </c>
      <c r="P977" s="831">
        <f ca="1">2.98 + (RAND() * (3.03 - 2.98))</f>
        <v>2.989147441570204</v>
      </c>
      <c r="Q977" s="832" t="str">
        <f ca="1">IF(D977="130 × 130", (130 + RANDBETWEEN(-1,1)) &amp; " × " &amp; (130 + RANDBETWEEN(-1,1)),
   IF(D977="160 × 160", (160 + RANDBETWEEN(-1,1)) &amp; " × " &amp; (160 + RANDBETWEEN(-1,1)),
   IF(D977="110 × 110", (110 + RANDBETWEEN(-1,1)) &amp; " × " &amp; (110 + RANDBETWEEN(-1,1)),
   "Value not matched")))</f>
        <v>Value not matched</v>
      </c>
      <c r="R977" s="833" t="s">
        <v>213</v>
      </c>
      <c r="S977" s="834" t="str">
        <f ca="1">IF(G977&lt;0.6, "IS 14650 CPS 10748/GR2", "IS 14650 CPS 10748/GR3")</f>
        <v>IS 14650 CPS 10748/GR2</v>
      </c>
      <c r="T977" s="831" t="s">
        <v>769</v>
      </c>
      <c r="U977" s="825"/>
      <c r="V977" s="826"/>
      <c r="W977" s="206">
        <f>Prod.!B549</f>
        <v>0</v>
      </c>
      <c r="X977" s="469">
        <f>Prod.!C549</f>
        <v>0</v>
      </c>
      <c r="Y977" s="469">
        <f>Prod.!D549</f>
        <v>0</v>
      </c>
      <c r="Z977" s="469">
        <f>Prod.!E549</f>
        <v>0</v>
      </c>
      <c r="AA977" s="282">
        <f>Prod.!F549</f>
        <v>0</v>
      </c>
      <c r="AB977" s="282">
        <f>Prod.!G549</f>
        <v>0</v>
      </c>
      <c r="AC977" s="836">
        <f>Prod.!H549</f>
        <v>0</v>
      </c>
      <c r="AD977" s="282">
        <f>Prod.!AB549</f>
        <v>0</v>
      </c>
      <c r="AE977" s="282">
        <f>AD977-AF977</f>
        <v>0</v>
      </c>
      <c r="AF977" s="282">
        <f>Prod.!AA549</f>
        <v>0</v>
      </c>
    </row>
    <row r="978" spans="1:32" ht="15" customHeight="1">
      <c r="A978" s="1435">
        <v>7</v>
      </c>
      <c r="B978" s="818">
        <f>W979</f>
        <v>0</v>
      </c>
      <c r="C978" s="819" t="s">
        <v>765</v>
      </c>
      <c r="D978" s="822"/>
      <c r="E978" s="822"/>
      <c r="F978" s="821">
        <f ca="1">F979 + (RAND() * 0.02 - 0.01)</f>
        <v>3.2491427599283789E-3</v>
      </c>
      <c r="G978" s="821">
        <f ca="1">G979 + (RAND() * 0.06 - 0.03)</f>
        <v>0.60213537764234892</v>
      </c>
      <c r="H978" s="822">
        <f ca="1">H979 + (RAND() * 0.006 - 0.003)</f>
        <v>-1.2366035271807771E-3</v>
      </c>
      <c r="I978" s="822">
        <f ca="1">I979 + (RAND() * 0.006 - 0.003)</f>
        <v>2.9825459165949983E-3</v>
      </c>
      <c r="J978" s="821">
        <f ca="1">J979 + (RAND() * 0.02 - 0.01)</f>
        <v>-5.495700291743468E-3</v>
      </c>
      <c r="K978" s="821"/>
      <c r="L978" s="822"/>
      <c r="M978" s="821"/>
      <c r="N978" s="823"/>
      <c r="O978" s="823"/>
      <c r="P978" s="823"/>
      <c r="Q978" s="823"/>
      <c r="R978" s="839"/>
      <c r="S978" s="821"/>
      <c r="T978" s="821"/>
      <c r="U978" s="825"/>
      <c r="V978" s="826"/>
    </row>
    <row r="979" spans="1:32" ht="15" customHeight="1">
      <c r="A979" s="1435"/>
      <c r="B979" s="827">
        <f>B978</f>
        <v>0</v>
      </c>
      <c r="C979" s="828" t="s">
        <v>768</v>
      </c>
      <c r="D979" s="829" t="str">
        <f>IF(AC979=130, "130 × 130", IF(AC979=160, "160 × 160", IF(AC979=110, "110 × 110", "Value not 130, 160, or 110")))</f>
        <v>Value not 130, 160, or 110</v>
      </c>
      <c r="E979" s="830">
        <f>AD979</f>
        <v>0</v>
      </c>
      <c r="F979" s="831">
        <f ca="1">IF(X979 &gt; 0.1, RAND() * (0.1 - 0.06) + 0.06, X979)</f>
        <v>0</v>
      </c>
      <c r="G979" s="831">
        <f ca="1">IF(Y979 &lt; 0.5, 0.5 + RAND() * 0.1, Y979)</f>
        <v>0.59024704744199097</v>
      </c>
      <c r="H979" s="830">
        <f ca="1">IF(AB979&gt;0.04, 0.029 + (0.039-0.029)*RAND(), AB979)</f>
        <v>0</v>
      </c>
      <c r="I979" s="830">
        <f ca="1">IF(AA979&gt;0.04, 0.029 + (0.039-0.029)*RAND(), AA979)</f>
        <v>0</v>
      </c>
      <c r="J979" s="831">
        <f ca="1">IF(Z979&gt;0.15, 0.11 + (0.15-0.11) * RAND(), Z979)</f>
        <v>0</v>
      </c>
      <c r="K979" s="830">
        <f ca="1">0.004 + (RAND() * (0.001 - 0.004))</f>
        <v>1.9745412889494878E-3</v>
      </c>
      <c r="L979" s="830">
        <f ca="1">H979+I979</f>
        <v>0</v>
      </c>
      <c r="M979" s="831">
        <f ca="1">(G979/6)+F979</f>
        <v>9.837450790699849E-2</v>
      </c>
      <c r="N979" s="831">
        <f ca="1">2 + RAND()</f>
        <v>2.1036470403470613</v>
      </c>
      <c r="O979" s="831">
        <f ca="1">1 + RAND()</f>
        <v>1.9899347558711953</v>
      </c>
      <c r="P979" s="831">
        <f ca="1">2.98 + (RAND() * (3.03 - 2.98))</f>
        <v>3.00413275295795</v>
      </c>
      <c r="Q979" s="832" t="str">
        <f ca="1">IF(D979="130 × 130", (130 + RANDBETWEEN(-1,1)) &amp; " × " &amp; (130 + RANDBETWEEN(-1,1)),
   IF(D979="160 × 160", (160 + RANDBETWEEN(-1,1)) &amp; " × " &amp; (160 + RANDBETWEEN(-1,1)),
   IF(D979="110 × 110", (110 + RANDBETWEEN(-1,1)) &amp; " × " &amp; (110 + RANDBETWEEN(-1,1)),
   "Value not matched")))</f>
        <v>Value not matched</v>
      </c>
      <c r="R979" s="833" t="s">
        <v>213</v>
      </c>
      <c r="S979" s="834" t="str">
        <f ca="1">IF(G979&lt;0.6, "IS 14650 CPS 10748/GR2", "IS 14650 CPS 10748/GR3")</f>
        <v>IS 14650 CPS 10748/GR2</v>
      </c>
      <c r="T979" s="831" t="s">
        <v>769</v>
      </c>
      <c r="U979" s="825"/>
      <c r="V979" s="826"/>
      <c r="W979" s="206">
        <f>Prod.!B550</f>
        <v>0</v>
      </c>
      <c r="X979" s="469">
        <f>Prod.!C550</f>
        <v>0</v>
      </c>
      <c r="Y979" s="469">
        <f>Prod.!D550</f>
        <v>0</v>
      </c>
      <c r="Z979" s="469">
        <f>Prod.!E550</f>
        <v>0</v>
      </c>
      <c r="AA979" s="282">
        <f>Prod.!F550</f>
        <v>0</v>
      </c>
      <c r="AB979" s="282">
        <f>Prod.!G550</f>
        <v>0</v>
      </c>
      <c r="AC979" s="836">
        <f>Prod.!H550</f>
        <v>0</v>
      </c>
      <c r="AD979" s="282">
        <f>Prod.!AB550</f>
        <v>0</v>
      </c>
      <c r="AE979" s="282">
        <f>AD979-AF979</f>
        <v>0</v>
      </c>
      <c r="AF979" s="282">
        <f>Prod.!AA550</f>
        <v>0</v>
      </c>
    </row>
    <row r="980" spans="1:32" ht="15" customHeight="1">
      <c r="A980" s="1435">
        <v>8</v>
      </c>
      <c r="B980" s="818">
        <f>W981</f>
        <v>0</v>
      </c>
      <c r="C980" s="819" t="s">
        <v>765</v>
      </c>
      <c r="D980" s="822"/>
      <c r="E980" s="822"/>
      <c r="F980" s="821">
        <f ca="1">F981 + (RAND() * 0.02 - 0.01)</f>
        <v>5.7682561016923761E-5</v>
      </c>
      <c r="G980" s="821">
        <f ca="1">G981 + (RAND() * 0.06 - 0.03)</f>
        <v>0.60162677018665511</v>
      </c>
      <c r="H980" s="822">
        <f ca="1">H981 + (RAND() * 0.006 - 0.003)</f>
        <v>-1.7281283470271711E-3</v>
      </c>
      <c r="I980" s="822">
        <f ca="1">I981 + (RAND() * 0.006 - 0.003)</f>
        <v>9.01297557714658E-4</v>
      </c>
      <c r="J980" s="821">
        <f ca="1">J981 + (RAND() * 0.02 - 0.01)</f>
        <v>2.9632708838580133E-3</v>
      </c>
      <c r="K980" s="821"/>
      <c r="L980" s="822"/>
      <c r="M980" s="821"/>
      <c r="N980" s="823"/>
      <c r="O980" s="823"/>
      <c r="P980" s="823"/>
      <c r="Q980" s="823"/>
      <c r="R980" s="839"/>
      <c r="S980" s="821"/>
      <c r="T980" s="821"/>
      <c r="U980" s="825"/>
      <c r="V980" s="826"/>
    </row>
    <row r="981" spans="1:32" ht="15" customHeight="1">
      <c r="A981" s="1435"/>
      <c r="B981" s="827">
        <f>B980</f>
        <v>0</v>
      </c>
      <c r="C981" s="828" t="s">
        <v>768</v>
      </c>
      <c r="D981" s="829" t="str">
        <f>IF(AC981=130, "130 × 130", IF(AC981=160, "160 × 160", IF(AC981=110, "110 × 110", "Value not 130, 160, or 110")))</f>
        <v>Value not 130, 160, or 110</v>
      </c>
      <c r="E981" s="830">
        <f>AD981</f>
        <v>0</v>
      </c>
      <c r="F981" s="831">
        <f ca="1">IF(X981 &gt; 0.1, RAND() * (0.1 - 0.06) + 0.06, X981)</f>
        <v>0</v>
      </c>
      <c r="G981" s="831">
        <f ca="1">IF(Y981 &lt; 0.5, 0.5 + RAND() * 0.1, Y981)</f>
        <v>0.59966240115522806</v>
      </c>
      <c r="H981" s="830">
        <f ca="1">IF(AB981&gt;0.04, 0.029 + (0.039-0.029)*RAND(), AB981)</f>
        <v>0</v>
      </c>
      <c r="I981" s="830">
        <f ca="1">IF(AA981&gt;0.04, 0.029 + (0.039-0.029)*RAND(), AA981)</f>
        <v>0</v>
      </c>
      <c r="J981" s="831">
        <f ca="1">IF(Z981&gt;0.15, 0.11 + (0.15-0.11) * RAND(), Z981)</f>
        <v>0</v>
      </c>
      <c r="K981" s="830">
        <f ca="1">0.004 + (RAND() * (0.001 - 0.004))</f>
        <v>2.3606078560485739E-3</v>
      </c>
      <c r="L981" s="830">
        <f ca="1">H981+I981</f>
        <v>0</v>
      </c>
      <c r="M981" s="831">
        <f ca="1">(G981/6)+F981</f>
        <v>9.9943733525871339E-2</v>
      </c>
      <c r="N981" s="831">
        <f ca="1">2 + RAND()</f>
        <v>2.5952086279336091</v>
      </c>
      <c r="O981" s="831">
        <f ca="1">1 + RAND()</f>
        <v>1.4885825073687633</v>
      </c>
      <c r="P981" s="831">
        <f ca="1">2.98 + (RAND() * (3.03 - 2.98))</f>
        <v>3.0081149567434657</v>
      </c>
      <c r="Q981" s="832" t="str">
        <f ca="1">IF(D981="130 × 130", (130 + RANDBETWEEN(-1,1)) &amp; " × " &amp; (130 + RANDBETWEEN(-1,1)),
   IF(D981="160 × 160", (160 + RANDBETWEEN(-1,1)) &amp; " × " &amp; (160 + RANDBETWEEN(-1,1)),
   IF(D981="110 × 110", (110 + RANDBETWEEN(-1,1)) &amp; " × " &amp; (110 + RANDBETWEEN(-1,1)),
   "Value not matched")))</f>
        <v>Value not matched</v>
      </c>
      <c r="R981" s="833" t="s">
        <v>213</v>
      </c>
      <c r="S981" s="834" t="str">
        <f ca="1">IF(G981&lt;0.6, "IS 14650 CPS 10748/GR2", "IS 14650 CPS 10748/GR3")</f>
        <v>IS 14650 CPS 10748/GR2</v>
      </c>
      <c r="T981" s="831" t="s">
        <v>769</v>
      </c>
      <c r="U981" s="825"/>
      <c r="V981" s="826"/>
      <c r="W981" s="206">
        <f>Prod.!B551</f>
        <v>0</v>
      </c>
      <c r="X981" s="469">
        <f>Prod.!C551</f>
        <v>0</v>
      </c>
      <c r="Y981" s="469">
        <f>Prod.!D551</f>
        <v>0</v>
      </c>
      <c r="Z981" s="469">
        <f>Prod.!E551</f>
        <v>0</v>
      </c>
      <c r="AA981" s="282">
        <f>Prod.!F551</f>
        <v>0</v>
      </c>
      <c r="AB981" s="282">
        <f>Prod.!G551</f>
        <v>0</v>
      </c>
      <c r="AC981" s="836">
        <f>Prod.!H551</f>
        <v>0</v>
      </c>
      <c r="AD981" s="282">
        <f>Prod.!AB551</f>
        <v>0</v>
      </c>
      <c r="AE981" s="282">
        <f>AD981-AF981</f>
        <v>0</v>
      </c>
      <c r="AF981" s="282">
        <f>Prod.!AA551</f>
        <v>0</v>
      </c>
    </row>
    <row r="982" spans="1:32" ht="15" customHeight="1">
      <c r="A982" s="1435">
        <v>9</v>
      </c>
      <c r="B982" s="818">
        <f>W983</f>
        <v>0</v>
      </c>
      <c r="C982" s="819" t="s">
        <v>765</v>
      </c>
      <c r="D982" s="822"/>
      <c r="E982" s="822"/>
      <c r="F982" s="821">
        <f ca="1">F983 + (RAND() * 0.02 - 0.01)</f>
        <v>2.2086765899362888E-3</v>
      </c>
      <c r="G982" s="821">
        <f ca="1">G983 + (RAND() * 0.06 - 0.03)</f>
        <v>0.57690021028849936</v>
      </c>
      <c r="H982" s="822">
        <f ca="1">H983 + (RAND() * 0.006 - 0.003)</f>
        <v>1.2907736319143319E-3</v>
      </c>
      <c r="I982" s="822">
        <f ca="1">I983 + (RAND() * 0.006 - 0.003)</f>
        <v>7.1724627614430398E-4</v>
      </c>
      <c r="J982" s="821">
        <f ca="1">J983 + (RAND() * 0.02 - 0.01)</f>
        <v>2.210605477287424E-3</v>
      </c>
      <c r="K982" s="821"/>
      <c r="L982" s="822"/>
      <c r="M982" s="821"/>
      <c r="N982" s="823"/>
      <c r="O982" s="823"/>
      <c r="P982" s="823"/>
      <c r="Q982" s="823"/>
      <c r="R982" s="839"/>
      <c r="S982" s="821"/>
      <c r="T982" s="821"/>
      <c r="U982" s="825"/>
      <c r="V982" s="826"/>
    </row>
    <row r="983" spans="1:32" ht="15" customHeight="1">
      <c r="A983" s="1435"/>
      <c r="B983" s="827">
        <f>B982</f>
        <v>0</v>
      </c>
      <c r="C983" s="828" t="s">
        <v>768</v>
      </c>
      <c r="D983" s="829" t="str">
        <f>IF(AC983=130, "130 × 130", IF(AC983=160, "160 × 160", IF(AC983=110, "110 × 110", "Value not 130, 160, or 110")))</f>
        <v>Value not 130, 160, or 110</v>
      </c>
      <c r="E983" s="830">
        <f>AD983</f>
        <v>0</v>
      </c>
      <c r="F983" s="831">
        <f ca="1">IF(X983 &gt; 0.1, RAND() * (0.1 - 0.06) + 0.06, X983)</f>
        <v>0</v>
      </c>
      <c r="G983" s="831">
        <f ca="1">IF(Y983 &lt; 0.5, 0.5 + RAND() * 0.1, Y983)</f>
        <v>0.5626692688750774</v>
      </c>
      <c r="H983" s="830">
        <f ca="1">IF(AB983&gt;0.04, 0.029 + (0.039-0.029)*RAND(), AB983)</f>
        <v>0</v>
      </c>
      <c r="I983" s="830">
        <f ca="1">IF(AA983&gt;0.04, 0.029 + (0.039-0.029)*RAND(), AA983)</f>
        <v>0</v>
      </c>
      <c r="J983" s="831">
        <f ca="1">IF(Z983&gt;0.15, 0.11 + (0.15-0.11) * RAND(), Z983)</f>
        <v>0</v>
      </c>
      <c r="K983" s="830">
        <f ca="1">0.004 + (RAND() * (0.001 - 0.004))</f>
        <v>3.2261819566279347E-3</v>
      </c>
      <c r="L983" s="830">
        <f ca="1">H983+I983</f>
        <v>0</v>
      </c>
      <c r="M983" s="831">
        <f ca="1">(G983/6)+F983</f>
        <v>9.3778211479179571E-2</v>
      </c>
      <c r="N983" s="831">
        <f ca="1">2 + RAND()</f>
        <v>2.6265782730374108</v>
      </c>
      <c r="O983" s="831">
        <f ca="1">1 + RAND()</f>
        <v>1.6261703292992653</v>
      </c>
      <c r="P983" s="831">
        <f ca="1">2.98 + (RAND() * (3.03 - 2.98))</f>
        <v>2.9954311563240736</v>
      </c>
      <c r="Q983" s="832" t="str">
        <f ca="1">IF(D983="130 × 130", (130 + RANDBETWEEN(-1,1)) &amp; " × " &amp; (130 + RANDBETWEEN(-1,1)),
   IF(D983="160 × 160", (160 + RANDBETWEEN(-1,1)) &amp; " × " &amp; (160 + RANDBETWEEN(-1,1)),
   IF(D983="110 × 110", (110 + RANDBETWEEN(-1,1)) &amp; " × " &amp; (110 + RANDBETWEEN(-1,1)),
   "Value not matched")))</f>
        <v>Value not matched</v>
      </c>
      <c r="R983" s="833" t="s">
        <v>213</v>
      </c>
      <c r="S983" s="834" t="str">
        <f ca="1">IF(G983&lt;0.6, "IS 14650 CPS 10748/GR2", "IS 14650 CPS 10748/GR3")</f>
        <v>IS 14650 CPS 10748/GR2</v>
      </c>
      <c r="T983" s="831" t="s">
        <v>769</v>
      </c>
      <c r="U983" s="825"/>
      <c r="V983" s="826"/>
      <c r="W983" s="206">
        <f>Prod.!B552</f>
        <v>0</v>
      </c>
      <c r="X983" s="469">
        <f>Prod.!C552</f>
        <v>0</v>
      </c>
      <c r="Y983" s="469">
        <f>Prod.!D552</f>
        <v>0</v>
      </c>
      <c r="Z983" s="469">
        <f>Prod.!E552</f>
        <v>0</v>
      </c>
      <c r="AA983" s="282">
        <f>Prod.!F552</f>
        <v>0</v>
      </c>
      <c r="AB983" s="282">
        <f>Prod.!G552</f>
        <v>0</v>
      </c>
      <c r="AC983" s="836">
        <f>Prod.!H552</f>
        <v>0</v>
      </c>
      <c r="AD983" s="282">
        <f>Prod.!AB552</f>
        <v>0</v>
      </c>
      <c r="AE983" s="282">
        <f>AD983-AF983</f>
        <v>0</v>
      </c>
      <c r="AF983" s="282">
        <f>Prod.!AA552</f>
        <v>0</v>
      </c>
    </row>
    <row r="984" spans="1:32" ht="15" customHeight="1">
      <c r="A984" s="1435">
        <v>10</v>
      </c>
      <c r="B984" s="818">
        <f>W985</f>
        <v>0</v>
      </c>
      <c r="C984" s="819" t="s">
        <v>765</v>
      </c>
      <c r="D984" s="822"/>
      <c r="E984" s="822"/>
      <c r="F984" s="821">
        <f ca="1">F985 + (RAND() * 0.02 - 0.01)</f>
        <v>1.8160656383060213E-3</v>
      </c>
      <c r="G984" s="821">
        <f ca="1">G985 + (RAND() * 0.06 - 0.03)</f>
        <v>0.51583919310980542</v>
      </c>
      <c r="H984" s="822">
        <f ca="1">H985 + (RAND() * 0.006 - 0.003)</f>
        <v>-9.7958908398316103E-4</v>
      </c>
      <c r="I984" s="822">
        <f ca="1">I985 + (RAND() * 0.006 - 0.003)</f>
        <v>3.0500780914415092E-4</v>
      </c>
      <c r="J984" s="821">
        <f ca="1">J985 + (RAND() * 0.02 - 0.01)</f>
        <v>1.9968809952107241E-3</v>
      </c>
      <c r="K984" s="821"/>
      <c r="L984" s="822"/>
      <c r="M984" s="821"/>
      <c r="N984" s="823"/>
      <c r="O984" s="823"/>
      <c r="P984" s="823"/>
      <c r="Q984" s="823"/>
      <c r="R984" s="839"/>
      <c r="S984" s="821"/>
      <c r="T984" s="821"/>
      <c r="U984" s="825"/>
      <c r="V984" s="826"/>
    </row>
    <row r="985" spans="1:32" ht="15" customHeight="1">
      <c r="A985" s="1435"/>
      <c r="B985" s="827">
        <f>B984</f>
        <v>0</v>
      </c>
      <c r="C985" s="828" t="s">
        <v>768</v>
      </c>
      <c r="D985" s="829" t="str">
        <f>IF(AC985=130, "130 × 130", IF(AC985=160, "160 × 160", IF(AC985=110, "110 × 110", "Value not 130, 160, or 110")))</f>
        <v>Value not 130, 160, or 110</v>
      </c>
      <c r="E985" s="830">
        <f>AD985</f>
        <v>0</v>
      </c>
      <c r="F985" s="831">
        <f ca="1">IF(X985 &gt; 0.1, RAND() * (0.1 - 0.06) + 0.06, X985)</f>
        <v>0</v>
      </c>
      <c r="G985" s="831">
        <f ca="1">IF(Y985 &lt; 0.5, 0.5 + RAND() * 0.1, Y985)</f>
        <v>0.5368817025860364</v>
      </c>
      <c r="H985" s="830">
        <f ca="1">IF(AB985&gt;0.04, 0.029 + (0.039-0.029)*RAND(), AB985)</f>
        <v>0</v>
      </c>
      <c r="I985" s="830">
        <f ca="1">IF(AA985&gt;0.04, 0.029 + (0.039-0.029)*RAND(), AA985)</f>
        <v>0</v>
      </c>
      <c r="J985" s="831">
        <f ca="1">IF(Z985&gt;0.15, 0.11 + (0.15-0.11) * RAND(), Z985)</f>
        <v>0</v>
      </c>
      <c r="K985" s="830">
        <f ca="1">0.004 + (RAND() * (0.001 - 0.004))</f>
        <v>2.5394361932537723E-3</v>
      </c>
      <c r="L985" s="830">
        <f ca="1">H985+I985</f>
        <v>0</v>
      </c>
      <c r="M985" s="831">
        <f ca="1">(G985/6)+F985</f>
        <v>8.9480283764339405E-2</v>
      </c>
      <c r="N985" s="831">
        <f ca="1">2 + RAND()</f>
        <v>2.9667584591558103</v>
      </c>
      <c r="O985" s="831">
        <f ca="1">1 + RAND()</f>
        <v>1.3538569948388346</v>
      </c>
      <c r="P985" s="831">
        <f ca="1">2.98 + (RAND() * (3.03 - 2.98))</f>
        <v>3.0072901005743313</v>
      </c>
      <c r="Q985" s="832" t="str">
        <f ca="1">IF(D985="130 × 130", (130 + RANDBETWEEN(-1,1)) &amp; " × " &amp; (130 + RANDBETWEEN(-1,1)),
   IF(D985="160 × 160", (160 + RANDBETWEEN(-1,1)) &amp; " × " &amp; (160 + RANDBETWEEN(-1,1)),
   IF(D985="110 × 110", (110 + RANDBETWEEN(-1,1)) &amp; " × " &amp; (110 + RANDBETWEEN(-1,1)),
   "Value not matched")))</f>
        <v>Value not matched</v>
      </c>
      <c r="R985" s="833" t="s">
        <v>213</v>
      </c>
      <c r="S985" s="834" t="str">
        <f ca="1">IF(G985&lt;0.6, "IS 14650 CPS 10748/GR2", "IS 14650 CPS 10748/GR3")</f>
        <v>IS 14650 CPS 10748/GR2</v>
      </c>
      <c r="T985" s="831" t="s">
        <v>769</v>
      </c>
      <c r="U985" s="825"/>
      <c r="V985" s="826"/>
      <c r="W985" s="206">
        <f>Prod.!B553</f>
        <v>0</v>
      </c>
      <c r="X985" s="469">
        <f>Prod.!C553</f>
        <v>0</v>
      </c>
      <c r="Y985" s="469">
        <f>Prod.!D553</f>
        <v>0</v>
      </c>
      <c r="Z985" s="469">
        <f>Prod.!E553</f>
        <v>0</v>
      </c>
      <c r="AA985" s="282">
        <f>Prod.!F553</f>
        <v>0</v>
      </c>
      <c r="AB985" s="282">
        <f>Prod.!G553</f>
        <v>0</v>
      </c>
      <c r="AC985" s="836">
        <f>Prod.!H553</f>
        <v>0</v>
      </c>
      <c r="AD985" s="282">
        <f>Prod.!AB553</f>
        <v>0</v>
      </c>
      <c r="AE985" s="282">
        <f>AD985-AF985</f>
        <v>0</v>
      </c>
      <c r="AF985" s="282">
        <f>Prod.!AA553</f>
        <v>0</v>
      </c>
    </row>
    <row r="986" spans="1:32" ht="15" customHeight="1">
      <c r="A986" s="1435">
        <v>11</v>
      </c>
      <c r="B986" s="818">
        <f>W987</f>
        <v>0</v>
      </c>
      <c r="C986" s="819" t="s">
        <v>765</v>
      </c>
      <c r="D986" s="822"/>
      <c r="E986" s="822"/>
      <c r="F986" s="821">
        <f ca="1">F987 + (RAND() * 0.02 - 0.01)</f>
        <v>2.6692677077080566E-3</v>
      </c>
      <c r="G986" s="821">
        <f ca="1">G987 + (RAND() * 0.06 - 0.03)</f>
        <v>0.5632590950216273</v>
      </c>
      <c r="H986" s="822">
        <f ca="1">H987 + (RAND() * 0.006 - 0.003)</f>
        <v>-1.7706123652981216E-3</v>
      </c>
      <c r="I986" s="822">
        <f ca="1">I987 + (RAND() * 0.006 - 0.003)</f>
        <v>-1.6835387976072275E-3</v>
      </c>
      <c r="J986" s="821">
        <f ca="1">J987 + (RAND() * 0.02 - 0.01)</f>
        <v>7.7860362914884979E-3</v>
      </c>
      <c r="K986" s="821"/>
      <c r="L986" s="822"/>
      <c r="M986" s="821"/>
      <c r="N986" s="823"/>
      <c r="O986" s="823"/>
      <c r="P986" s="823"/>
      <c r="Q986" s="823"/>
      <c r="R986" s="839"/>
      <c r="S986" s="821"/>
      <c r="T986" s="821"/>
      <c r="U986" s="825"/>
      <c r="V986" s="826"/>
    </row>
    <row r="987" spans="1:32" ht="15" customHeight="1">
      <c r="A987" s="1435"/>
      <c r="B987" s="827">
        <f>B986</f>
        <v>0</v>
      </c>
      <c r="C987" s="828" t="s">
        <v>768</v>
      </c>
      <c r="D987" s="829" t="str">
        <f>IF(AC987=130, "130 × 130", IF(AC987=160, "160 × 160", IF(AC987=110, "110 × 110", "Value not 130, 160, or 110")))</f>
        <v>Value not 130, 160, or 110</v>
      </c>
      <c r="E987" s="830">
        <f>AD987</f>
        <v>0</v>
      </c>
      <c r="F987" s="831">
        <f ca="1">IF(X987 &gt; 0.1, RAND() * (0.1 - 0.06) + 0.06, X987)</f>
        <v>0</v>
      </c>
      <c r="G987" s="831">
        <f ca="1">IF(Y987 &lt; 0.5, 0.5 + RAND() * 0.1, Y987)</f>
        <v>0.55650116187569387</v>
      </c>
      <c r="H987" s="830">
        <f ca="1">IF(AB987&gt;0.04, 0.029 + (0.039-0.029)*RAND(), AB987)</f>
        <v>0</v>
      </c>
      <c r="I987" s="830">
        <f ca="1">IF(AA987&gt;0.04, 0.029 + (0.039-0.029)*RAND(), AA987)</f>
        <v>0</v>
      </c>
      <c r="J987" s="831">
        <f ca="1">IF(Z987&gt;0.15, 0.11 + (0.15-0.11) * RAND(), Z987)</f>
        <v>0</v>
      </c>
      <c r="K987" s="830">
        <f ca="1">0.004 + (RAND() * (0.001 - 0.004))</f>
        <v>3.3464627417821987E-3</v>
      </c>
      <c r="L987" s="830">
        <f ca="1">H987+I987</f>
        <v>0</v>
      </c>
      <c r="M987" s="831">
        <f ca="1">(G987/6)+F987</f>
        <v>9.2750193645948983E-2</v>
      </c>
      <c r="N987" s="831">
        <f ca="1">2 + RAND()</f>
        <v>2.4885047113880781</v>
      </c>
      <c r="O987" s="831">
        <f ca="1">1 + RAND()</f>
        <v>1.7411555856315499</v>
      </c>
      <c r="P987" s="831">
        <f ca="1">2.98 + (RAND() * (3.03 - 2.98))</f>
        <v>3.0268997122911196</v>
      </c>
      <c r="Q987" s="832" t="str">
        <f ca="1">IF(D987="130 × 130", (130 + RANDBETWEEN(-1,1)) &amp; " × " &amp; (130 + RANDBETWEEN(-1,1)),
   IF(D987="160 × 160", (160 + RANDBETWEEN(-1,1)) &amp; " × " &amp; (160 + RANDBETWEEN(-1,1)),
   IF(D987="110 × 110", (110 + RANDBETWEEN(-1,1)) &amp; " × " &amp; (110 + RANDBETWEEN(-1,1)),
   "Value not matched")))</f>
        <v>Value not matched</v>
      </c>
      <c r="R987" s="833" t="s">
        <v>213</v>
      </c>
      <c r="S987" s="834" t="str">
        <f ca="1">IF(G987&lt;0.6, "IS 14650 CPS 10748/GR2", "IS 14650 CPS 10748/GR3")</f>
        <v>IS 14650 CPS 10748/GR2</v>
      </c>
      <c r="T987" s="831" t="s">
        <v>769</v>
      </c>
      <c r="U987" s="825"/>
      <c r="V987" s="826"/>
      <c r="W987" s="206">
        <f>Prod.!B554</f>
        <v>0</v>
      </c>
      <c r="X987" s="469">
        <f>Prod.!C554</f>
        <v>0</v>
      </c>
      <c r="Y987" s="469">
        <f>Prod.!D554</f>
        <v>0</v>
      </c>
      <c r="Z987" s="469">
        <f>Prod.!E554</f>
        <v>0</v>
      </c>
      <c r="AA987" s="282">
        <f>Prod.!F554</f>
        <v>0</v>
      </c>
      <c r="AB987" s="282">
        <f>Prod.!G554</f>
        <v>0</v>
      </c>
      <c r="AC987" s="836">
        <f>Prod.!H554</f>
        <v>0</v>
      </c>
      <c r="AD987" s="282">
        <f>Prod.!AB554</f>
        <v>0</v>
      </c>
      <c r="AE987" s="282">
        <f>AD987-AF987</f>
        <v>0</v>
      </c>
      <c r="AF987" s="282">
        <f>Prod.!AA554</f>
        <v>0</v>
      </c>
    </row>
    <row r="988" spans="1:32" ht="15" customHeight="1">
      <c r="A988" s="1435">
        <v>12</v>
      </c>
      <c r="B988" s="818">
        <f>W989</f>
        <v>0</v>
      </c>
      <c r="C988" s="819" t="s">
        <v>765</v>
      </c>
      <c r="D988" s="822"/>
      <c r="E988" s="822"/>
      <c r="F988" s="821">
        <f ca="1">F989 + (RAND() * 0.02 - 0.01)</f>
        <v>-7.4724526258917786E-3</v>
      </c>
      <c r="G988" s="821">
        <f ca="1">G989 + (RAND() * 0.06 - 0.03)</f>
        <v>0.58919020741277595</v>
      </c>
      <c r="H988" s="822">
        <f ca="1">H989 + (RAND() * 0.006 - 0.003)</f>
        <v>-2.1619790348381164E-3</v>
      </c>
      <c r="I988" s="822">
        <f ca="1">I989 + (RAND() * 0.006 - 0.003)</f>
        <v>-1.4889890658642145E-3</v>
      </c>
      <c r="J988" s="821">
        <f ca="1">J989 + (RAND() * 0.02 - 0.01)</f>
        <v>-3.9604133937184054E-3</v>
      </c>
      <c r="K988" s="821"/>
      <c r="L988" s="822"/>
      <c r="M988" s="821"/>
      <c r="N988" s="823"/>
      <c r="O988" s="823"/>
      <c r="P988" s="823"/>
      <c r="Q988" s="823"/>
      <c r="R988" s="839"/>
      <c r="S988" s="821"/>
      <c r="T988" s="821"/>
      <c r="U988" s="825"/>
      <c r="V988" s="826"/>
    </row>
    <row r="989" spans="1:32" ht="15" customHeight="1">
      <c r="A989" s="1435"/>
      <c r="B989" s="827">
        <f>B988</f>
        <v>0</v>
      </c>
      <c r="C989" s="828" t="s">
        <v>768</v>
      </c>
      <c r="D989" s="829" t="str">
        <f>IF(AC989=130, "130 × 130", IF(AC989=160, "160 × 160", IF(AC989=110, "110 × 110", "Value not 130, 160, or 110")))</f>
        <v>Value not 130, 160, or 110</v>
      </c>
      <c r="E989" s="830">
        <f>AD989</f>
        <v>0</v>
      </c>
      <c r="F989" s="831">
        <f ca="1">IF(X989 &gt; 0.1, RAND() * (0.1 - 0.06) + 0.06, X989)</f>
        <v>0</v>
      </c>
      <c r="G989" s="831">
        <f ca="1">IF(Y989 &lt; 0.5, 0.5 + RAND() * 0.1, Y989)</f>
        <v>0.56190244834782221</v>
      </c>
      <c r="H989" s="830">
        <f ca="1">IF(AB989&gt;0.04, 0.029 + (0.039-0.029)*RAND(), AB989)</f>
        <v>0</v>
      </c>
      <c r="I989" s="830">
        <f ca="1">IF(AA989&gt;0.04, 0.029 + (0.039-0.029)*RAND(), AA989)</f>
        <v>0</v>
      </c>
      <c r="J989" s="831">
        <f ca="1">IF(Z989&gt;0.15, 0.11 + (0.15-0.11) * RAND(), Z989)</f>
        <v>0</v>
      </c>
      <c r="K989" s="830">
        <f ca="1">0.004 + (RAND() * (0.001 - 0.004))</f>
        <v>1.3693480165443131E-3</v>
      </c>
      <c r="L989" s="830">
        <f ca="1">H989+I989</f>
        <v>0</v>
      </c>
      <c r="M989" s="831">
        <f ca="1">(G989/6)+F989</f>
        <v>9.3650408057970369E-2</v>
      </c>
      <c r="N989" s="831">
        <f ca="1">2 + RAND()</f>
        <v>2.0928045668589736</v>
      </c>
      <c r="O989" s="831">
        <f ca="1">1 + RAND()</f>
        <v>1.9692681694359042</v>
      </c>
      <c r="P989" s="831">
        <f ca="1">2.98 + (RAND() * (3.03 - 2.98))</f>
        <v>3.0133313117466964</v>
      </c>
      <c r="Q989" s="832" t="str">
        <f ca="1">IF(D989="130 × 130", (130 + RANDBETWEEN(-1,1)) &amp; " × " &amp; (130 + RANDBETWEEN(-1,1)),
   IF(D989="160 × 160", (160 + RANDBETWEEN(-1,1)) &amp; " × " &amp; (160 + RANDBETWEEN(-1,1)),
   IF(D989="110 × 110", (110 + RANDBETWEEN(-1,1)) &amp; " × " &amp; (110 + RANDBETWEEN(-1,1)),
   "Value not matched")))</f>
        <v>Value not matched</v>
      </c>
      <c r="R989" s="833" t="s">
        <v>213</v>
      </c>
      <c r="S989" s="834" t="str">
        <f ca="1">IF(G989&lt;0.6, "IS 14650 CPS 10748/GR2", "IS 14650 CPS 10748/GR3")</f>
        <v>IS 14650 CPS 10748/GR2</v>
      </c>
      <c r="T989" s="831" t="s">
        <v>769</v>
      </c>
      <c r="U989" s="825"/>
      <c r="V989" s="826"/>
      <c r="W989" s="206">
        <f>Prod.!B555</f>
        <v>0</v>
      </c>
      <c r="X989" s="469">
        <f>Prod.!C555</f>
        <v>0</v>
      </c>
      <c r="Y989" s="469">
        <f>Prod.!D555</f>
        <v>0</v>
      </c>
      <c r="Z989" s="469">
        <f>Prod.!E555</f>
        <v>0</v>
      </c>
      <c r="AA989" s="282">
        <f>Prod.!F555</f>
        <v>0</v>
      </c>
      <c r="AB989" s="282">
        <f>Prod.!G555</f>
        <v>0</v>
      </c>
      <c r="AC989" s="836">
        <f>Prod.!H555</f>
        <v>0</v>
      </c>
      <c r="AD989" s="282">
        <f>Prod.!AB555</f>
        <v>0</v>
      </c>
      <c r="AE989" s="282">
        <f>AD989-AF989</f>
        <v>0</v>
      </c>
      <c r="AF989" s="282">
        <f>Prod.!AA555</f>
        <v>0</v>
      </c>
    </row>
    <row r="990" spans="1:32" ht="15" customHeight="1">
      <c r="A990" s="1435"/>
      <c r="B990" s="818"/>
      <c r="C990" s="819"/>
      <c r="D990" s="822"/>
      <c r="E990" s="822"/>
      <c r="F990" s="821"/>
      <c r="G990" s="821"/>
      <c r="H990" s="840"/>
      <c r="I990" s="840"/>
      <c r="J990" s="821"/>
      <c r="K990" s="821"/>
      <c r="L990" s="822"/>
      <c r="M990" s="838"/>
      <c r="N990" s="821"/>
      <c r="O990" s="821"/>
      <c r="P990" s="821"/>
      <c r="Q990" s="821"/>
      <c r="R990" s="839"/>
      <c r="S990" s="841"/>
      <c r="T990" s="821"/>
      <c r="U990" s="825"/>
      <c r="V990" s="826"/>
    </row>
    <row r="991" spans="1:32" ht="15" customHeight="1">
      <c r="A991" s="1435"/>
      <c r="B991" s="827"/>
      <c r="C991" s="828"/>
      <c r="D991" s="842"/>
      <c r="E991" s="830"/>
      <c r="F991" s="831"/>
      <c r="G991" s="831"/>
      <c r="H991" s="843"/>
      <c r="I991" s="843"/>
      <c r="J991" s="831"/>
      <c r="K991" s="831"/>
      <c r="L991" s="830"/>
      <c r="M991" s="831"/>
      <c r="N991" s="831"/>
      <c r="O991" s="831"/>
      <c r="P991" s="831"/>
      <c r="Q991" s="831"/>
      <c r="R991" s="833"/>
      <c r="S991" s="834"/>
      <c r="T991" s="831"/>
      <c r="U991" s="825"/>
      <c r="V991" s="826"/>
    </row>
    <row r="992" spans="1:32" ht="15" customHeight="1">
      <c r="A992" s="180"/>
      <c r="B992" s="180"/>
      <c r="C992" s="180" t="s">
        <v>770</v>
      </c>
      <c r="D992" s="395"/>
      <c r="E992" s="844">
        <f>SUM(E966:E989)</f>
        <v>0</v>
      </c>
      <c r="F992" s="180"/>
      <c r="G992" s="180"/>
      <c r="H992" s="844"/>
      <c r="I992" s="180"/>
      <c r="J992" s="845"/>
      <c r="K992" s="845"/>
      <c r="L992" s="180"/>
      <c r="M992" s="845"/>
      <c r="N992" s="180"/>
      <c r="O992" s="180"/>
      <c r="P992" s="180"/>
      <c r="Q992" s="180"/>
      <c r="R992" s="263"/>
      <c r="S992" s="180"/>
      <c r="T992" s="180"/>
    </row>
  </sheetData>
  <mergeCells count="806">
    <mergeCell ref="A1:T1"/>
    <mergeCell ref="A2:T2"/>
    <mergeCell ref="A3:M3"/>
    <mergeCell ref="N3:T3"/>
    <mergeCell ref="A4:A5"/>
    <mergeCell ref="B4:C5"/>
    <mergeCell ref="D4:D5"/>
    <mergeCell ref="E4:E5"/>
    <mergeCell ref="F4:M4"/>
    <mergeCell ref="N4:Q4"/>
    <mergeCell ref="R4:R5"/>
    <mergeCell ref="S4:S5"/>
    <mergeCell ref="T4:T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3:T33"/>
    <mergeCell ref="A34:T34"/>
    <mergeCell ref="A35:M35"/>
    <mergeCell ref="N35:T35"/>
    <mergeCell ref="A36:A37"/>
    <mergeCell ref="B36:C37"/>
    <mergeCell ref="D36:D37"/>
    <mergeCell ref="E36:E37"/>
    <mergeCell ref="F36:M36"/>
    <mergeCell ref="N36:Q36"/>
    <mergeCell ref="R36:R37"/>
    <mergeCell ref="S36:S37"/>
    <mergeCell ref="T36:T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5:T65"/>
    <mergeCell ref="A66:T66"/>
    <mergeCell ref="A67:M67"/>
    <mergeCell ref="N67:T67"/>
    <mergeCell ref="A68:A69"/>
    <mergeCell ref="B68:C69"/>
    <mergeCell ref="D68:D69"/>
    <mergeCell ref="E68:E69"/>
    <mergeCell ref="F68:M68"/>
    <mergeCell ref="N68:Q68"/>
    <mergeCell ref="R68:R69"/>
    <mergeCell ref="S68:S69"/>
    <mergeCell ref="T68:T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7:T97"/>
    <mergeCell ref="A98:T98"/>
    <mergeCell ref="A99:M99"/>
    <mergeCell ref="N99:T99"/>
    <mergeCell ref="A100:A101"/>
    <mergeCell ref="B100:C101"/>
    <mergeCell ref="D100:D101"/>
    <mergeCell ref="E100:E101"/>
    <mergeCell ref="F100:M100"/>
    <mergeCell ref="N100:Q100"/>
    <mergeCell ref="R100:R101"/>
    <mergeCell ref="S100:S101"/>
    <mergeCell ref="T100:T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9:T129"/>
    <mergeCell ref="A130:T130"/>
    <mergeCell ref="A131:M131"/>
    <mergeCell ref="N131:T131"/>
    <mergeCell ref="A132:A133"/>
    <mergeCell ref="B132:C133"/>
    <mergeCell ref="D132:D133"/>
    <mergeCell ref="E132:E133"/>
    <mergeCell ref="F132:M132"/>
    <mergeCell ref="N132:Q132"/>
    <mergeCell ref="R132:R133"/>
    <mergeCell ref="S132:S133"/>
    <mergeCell ref="T132:T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1:T161"/>
    <mergeCell ref="A162:T162"/>
    <mergeCell ref="A163:M163"/>
    <mergeCell ref="N163:T163"/>
    <mergeCell ref="A164:A165"/>
    <mergeCell ref="B164:C165"/>
    <mergeCell ref="D164:D165"/>
    <mergeCell ref="E164:E165"/>
    <mergeCell ref="F164:M164"/>
    <mergeCell ref="N164:Q164"/>
    <mergeCell ref="R164:R165"/>
    <mergeCell ref="S164:S165"/>
    <mergeCell ref="T164:T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3:T193"/>
    <mergeCell ref="A194:T194"/>
    <mergeCell ref="A195:M195"/>
    <mergeCell ref="N195:T195"/>
    <mergeCell ref="A196:A197"/>
    <mergeCell ref="B196:C197"/>
    <mergeCell ref="D196:D197"/>
    <mergeCell ref="E196:E197"/>
    <mergeCell ref="F196:M196"/>
    <mergeCell ref="N196:Q196"/>
    <mergeCell ref="R196:R197"/>
    <mergeCell ref="S196:S197"/>
    <mergeCell ref="T196:T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5:T225"/>
    <mergeCell ref="A226:T226"/>
    <mergeCell ref="A227:M227"/>
    <mergeCell ref="N227:T227"/>
    <mergeCell ref="A228:A229"/>
    <mergeCell ref="B228:C229"/>
    <mergeCell ref="D228:D229"/>
    <mergeCell ref="E228:E229"/>
    <mergeCell ref="F228:M228"/>
    <mergeCell ref="N228:Q228"/>
    <mergeCell ref="R228:R229"/>
    <mergeCell ref="S228:S229"/>
    <mergeCell ref="T228:T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7:T257"/>
    <mergeCell ref="A258:T258"/>
    <mergeCell ref="A259:M259"/>
    <mergeCell ref="N259:T259"/>
    <mergeCell ref="A260:A261"/>
    <mergeCell ref="B260:C261"/>
    <mergeCell ref="D260:D261"/>
    <mergeCell ref="E260:E261"/>
    <mergeCell ref="F260:M260"/>
    <mergeCell ref="N260:Q260"/>
    <mergeCell ref="R260:R261"/>
    <mergeCell ref="S260:S261"/>
    <mergeCell ref="T260:T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9:T289"/>
    <mergeCell ref="A290:T290"/>
    <mergeCell ref="A291:M291"/>
    <mergeCell ref="N291:T291"/>
    <mergeCell ref="A292:A293"/>
    <mergeCell ref="B292:C293"/>
    <mergeCell ref="D292:D293"/>
    <mergeCell ref="E292:E293"/>
    <mergeCell ref="F292:M292"/>
    <mergeCell ref="N292:Q292"/>
    <mergeCell ref="R292:R293"/>
    <mergeCell ref="S292:S293"/>
    <mergeCell ref="T292:T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1:T321"/>
    <mergeCell ref="A322:T322"/>
    <mergeCell ref="A323:M323"/>
    <mergeCell ref="N323:T323"/>
    <mergeCell ref="A324:A325"/>
    <mergeCell ref="B324:C325"/>
    <mergeCell ref="D324:D325"/>
    <mergeCell ref="E324:E325"/>
    <mergeCell ref="F324:M324"/>
    <mergeCell ref="N324:Q324"/>
    <mergeCell ref="R324:R325"/>
    <mergeCell ref="S324:S325"/>
    <mergeCell ref="T324:T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3:T353"/>
    <mergeCell ref="A354:T354"/>
    <mergeCell ref="A355:M355"/>
    <mergeCell ref="N355:T355"/>
    <mergeCell ref="A356:A357"/>
    <mergeCell ref="B356:C357"/>
    <mergeCell ref="D356:D357"/>
    <mergeCell ref="E356:E357"/>
    <mergeCell ref="F356:M356"/>
    <mergeCell ref="N356:Q356"/>
    <mergeCell ref="R356:R357"/>
    <mergeCell ref="S356:S357"/>
    <mergeCell ref="T356:T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5:T385"/>
    <mergeCell ref="A386:T386"/>
    <mergeCell ref="A387:M387"/>
    <mergeCell ref="N387:T387"/>
    <mergeCell ref="A388:A389"/>
    <mergeCell ref="B388:C389"/>
    <mergeCell ref="D388:D389"/>
    <mergeCell ref="E388:E389"/>
    <mergeCell ref="F388:M388"/>
    <mergeCell ref="N388:Q388"/>
    <mergeCell ref="R388:R389"/>
    <mergeCell ref="S388:S389"/>
    <mergeCell ref="T388:T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7:T417"/>
    <mergeCell ref="A418:T418"/>
    <mergeCell ref="A419:M419"/>
    <mergeCell ref="N419:T419"/>
    <mergeCell ref="A420:A421"/>
    <mergeCell ref="B420:C421"/>
    <mergeCell ref="D420:D421"/>
    <mergeCell ref="E420:E421"/>
    <mergeCell ref="F420:M420"/>
    <mergeCell ref="N420:Q420"/>
    <mergeCell ref="R420:R421"/>
    <mergeCell ref="S420:S421"/>
    <mergeCell ref="T420:T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9:T449"/>
    <mergeCell ref="A450:T450"/>
    <mergeCell ref="A451:M451"/>
    <mergeCell ref="N451:T451"/>
    <mergeCell ref="A452:A453"/>
    <mergeCell ref="B452:C453"/>
    <mergeCell ref="D452:D453"/>
    <mergeCell ref="E452:E453"/>
    <mergeCell ref="F452:M452"/>
    <mergeCell ref="N452:Q452"/>
    <mergeCell ref="R452:R453"/>
    <mergeCell ref="S452:S453"/>
    <mergeCell ref="T452:T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1:T481"/>
    <mergeCell ref="A482:T482"/>
    <mergeCell ref="A483:M483"/>
    <mergeCell ref="N483:T483"/>
    <mergeCell ref="A484:A485"/>
    <mergeCell ref="B484:C485"/>
    <mergeCell ref="D484:D485"/>
    <mergeCell ref="E484:E485"/>
    <mergeCell ref="F484:M484"/>
    <mergeCell ref="N484:Q484"/>
    <mergeCell ref="R484:R485"/>
    <mergeCell ref="S484:S485"/>
    <mergeCell ref="T484:T485"/>
    <mergeCell ref="A486:A487"/>
    <mergeCell ref="A488:A489"/>
    <mergeCell ref="A490:A491"/>
    <mergeCell ref="A492:A493"/>
    <mergeCell ref="A494:A495"/>
    <mergeCell ref="A496:A497"/>
    <mergeCell ref="A498:A499"/>
    <mergeCell ref="A500:A501"/>
    <mergeCell ref="A502:A503"/>
    <mergeCell ref="A504:A505"/>
    <mergeCell ref="A506:A507"/>
    <mergeCell ref="A508:A509"/>
    <mergeCell ref="A510:A511"/>
    <mergeCell ref="A513:T513"/>
    <mergeCell ref="A514:T514"/>
    <mergeCell ref="A515:M515"/>
    <mergeCell ref="N515:T515"/>
    <mergeCell ref="A516:A517"/>
    <mergeCell ref="B516:C517"/>
    <mergeCell ref="D516:D517"/>
    <mergeCell ref="E516:E517"/>
    <mergeCell ref="F516:M516"/>
    <mergeCell ref="N516:Q516"/>
    <mergeCell ref="R516:R517"/>
    <mergeCell ref="S516:S517"/>
    <mergeCell ref="T516:T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5:T545"/>
    <mergeCell ref="A546:T546"/>
    <mergeCell ref="A547:M547"/>
    <mergeCell ref="N547:T547"/>
    <mergeCell ref="A548:A549"/>
    <mergeCell ref="B548:C549"/>
    <mergeCell ref="D548:D549"/>
    <mergeCell ref="E548:E549"/>
    <mergeCell ref="F548:M548"/>
    <mergeCell ref="N548:Q548"/>
    <mergeCell ref="R548:R549"/>
    <mergeCell ref="S548:S549"/>
    <mergeCell ref="T548:T549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7:T577"/>
    <mergeCell ref="A578:T578"/>
    <mergeCell ref="A579:M579"/>
    <mergeCell ref="N579:T579"/>
    <mergeCell ref="A580:A581"/>
    <mergeCell ref="B580:C581"/>
    <mergeCell ref="D580:D581"/>
    <mergeCell ref="E580:E581"/>
    <mergeCell ref="F580:M580"/>
    <mergeCell ref="N580:Q580"/>
    <mergeCell ref="R580:R581"/>
    <mergeCell ref="S580:S581"/>
    <mergeCell ref="T580:T581"/>
    <mergeCell ref="A582:A583"/>
    <mergeCell ref="A584:A585"/>
    <mergeCell ref="A586:A587"/>
    <mergeCell ref="A588:A589"/>
    <mergeCell ref="A590:A591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09:T609"/>
    <mergeCell ref="A610:T610"/>
    <mergeCell ref="A611:M611"/>
    <mergeCell ref="N611:T611"/>
    <mergeCell ref="A612:A613"/>
    <mergeCell ref="B612:C613"/>
    <mergeCell ref="D612:D613"/>
    <mergeCell ref="E612:E613"/>
    <mergeCell ref="F612:M612"/>
    <mergeCell ref="N612:Q612"/>
    <mergeCell ref="R612:R613"/>
    <mergeCell ref="S612:S613"/>
    <mergeCell ref="T612:T613"/>
    <mergeCell ref="A614:A615"/>
    <mergeCell ref="A616:A617"/>
    <mergeCell ref="A618:A619"/>
    <mergeCell ref="A620:A621"/>
    <mergeCell ref="A622:A623"/>
    <mergeCell ref="A624:A625"/>
    <mergeCell ref="A626:A627"/>
    <mergeCell ref="A628:A629"/>
    <mergeCell ref="A630:A631"/>
    <mergeCell ref="A632:A633"/>
    <mergeCell ref="A634:A635"/>
    <mergeCell ref="A636:A637"/>
    <mergeCell ref="A638:A639"/>
    <mergeCell ref="A641:T641"/>
    <mergeCell ref="A642:T642"/>
    <mergeCell ref="A643:M643"/>
    <mergeCell ref="N643:T643"/>
    <mergeCell ref="A644:A645"/>
    <mergeCell ref="B644:C645"/>
    <mergeCell ref="D644:D645"/>
    <mergeCell ref="E644:E645"/>
    <mergeCell ref="F644:M644"/>
    <mergeCell ref="N644:Q644"/>
    <mergeCell ref="R644:R645"/>
    <mergeCell ref="S644:S645"/>
    <mergeCell ref="T644:T645"/>
    <mergeCell ref="A646:A647"/>
    <mergeCell ref="A648:A649"/>
    <mergeCell ref="A650:A651"/>
    <mergeCell ref="A652:A653"/>
    <mergeCell ref="A654:A655"/>
    <mergeCell ref="A656:A657"/>
    <mergeCell ref="A658:A659"/>
    <mergeCell ref="A660:A661"/>
    <mergeCell ref="A662:A663"/>
    <mergeCell ref="A664:A665"/>
    <mergeCell ref="A666:A667"/>
    <mergeCell ref="A668:A669"/>
    <mergeCell ref="A670:A671"/>
    <mergeCell ref="A673:T673"/>
    <mergeCell ref="A674:T674"/>
    <mergeCell ref="A675:M675"/>
    <mergeCell ref="N675:T675"/>
    <mergeCell ref="A676:A677"/>
    <mergeCell ref="B676:C677"/>
    <mergeCell ref="D676:D677"/>
    <mergeCell ref="E676:E677"/>
    <mergeCell ref="F676:M676"/>
    <mergeCell ref="N676:Q676"/>
    <mergeCell ref="R676:R677"/>
    <mergeCell ref="S676:S677"/>
    <mergeCell ref="T676:T677"/>
    <mergeCell ref="A678:A679"/>
    <mergeCell ref="A680:A681"/>
    <mergeCell ref="A682:A683"/>
    <mergeCell ref="A684:A685"/>
    <mergeCell ref="A686:A687"/>
    <mergeCell ref="A688:A689"/>
    <mergeCell ref="A690:A691"/>
    <mergeCell ref="A692:A693"/>
    <mergeCell ref="A694:A695"/>
    <mergeCell ref="A696:A697"/>
    <mergeCell ref="A698:A699"/>
    <mergeCell ref="A700:A701"/>
    <mergeCell ref="A702:A703"/>
    <mergeCell ref="A705:T705"/>
    <mergeCell ref="A706:T706"/>
    <mergeCell ref="A707:M707"/>
    <mergeCell ref="N707:T707"/>
    <mergeCell ref="A708:A709"/>
    <mergeCell ref="B708:C709"/>
    <mergeCell ref="D708:D709"/>
    <mergeCell ref="E708:E709"/>
    <mergeCell ref="F708:M708"/>
    <mergeCell ref="N708:Q708"/>
    <mergeCell ref="R708:R709"/>
    <mergeCell ref="S708:S709"/>
    <mergeCell ref="T708:T709"/>
    <mergeCell ref="A710:A711"/>
    <mergeCell ref="A712:A713"/>
    <mergeCell ref="A714:A715"/>
    <mergeCell ref="A716:A717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4:A735"/>
    <mergeCell ref="A737:T737"/>
    <mergeCell ref="A738:T738"/>
    <mergeCell ref="A739:M739"/>
    <mergeCell ref="N739:T739"/>
    <mergeCell ref="A740:A741"/>
    <mergeCell ref="B740:C741"/>
    <mergeCell ref="D740:D741"/>
    <mergeCell ref="E740:E741"/>
    <mergeCell ref="F740:M740"/>
    <mergeCell ref="N740:Q740"/>
    <mergeCell ref="R740:R741"/>
    <mergeCell ref="S740:S741"/>
    <mergeCell ref="T740:T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758:A759"/>
    <mergeCell ref="A760:A761"/>
    <mergeCell ref="A762:A763"/>
    <mergeCell ref="A764:A765"/>
    <mergeCell ref="A766:A767"/>
    <mergeCell ref="A769:T769"/>
    <mergeCell ref="A770:T770"/>
    <mergeCell ref="A771:M771"/>
    <mergeCell ref="N771:T771"/>
    <mergeCell ref="A772:A773"/>
    <mergeCell ref="B772:C773"/>
    <mergeCell ref="D772:D773"/>
    <mergeCell ref="E772:E773"/>
    <mergeCell ref="F772:M772"/>
    <mergeCell ref="N772:Q772"/>
    <mergeCell ref="R772:R773"/>
    <mergeCell ref="S772:S773"/>
    <mergeCell ref="T772:T773"/>
    <mergeCell ref="A774:A775"/>
    <mergeCell ref="A776:A777"/>
    <mergeCell ref="A778:A779"/>
    <mergeCell ref="A780:A781"/>
    <mergeCell ref="A782:A783"/>
    <mergeCell ref="A784:A785"/>
    <mergeCell ref="A786:A787"/>
    <mergeCell ref="A788:A789"/>
    <mergeCell ref="A790:A791"/>
    <mergeCell ref="A792:A793"/>
    <mergeCell ref="A794:A795"/>
    <mergeCell ref="A796:A797"/>
    <mergeCell ref="A798:A799"/>
    <mergeCell ref="A801:T801"/>
    <mergeCell ref="A802:T802"/>
    <mergeCell ref="A803:M803"/>
    <mergeCell ref="N803:T803"/>
    <mergeCell ref="A804:A805"/>
    <mergeCell ref="B804:C805"/>
    <mergeCell ref="D804:D805"/>
    <mergeCell ref="E804:E805"/>
    <mergeCell ref="F804:M804"/>
    <mergeCell ref="N804:Q804"/>
    <mergeCell ref="R804:R805"/>
    <mergeCell ref="S804:S805"/>
    <mergeCell ref="T804:T805"/>
    <mergeCell ref="A806:A807"/>
    <mergeCell ref="A808:A809"/>
    <mergeCell ref="A810:A811"/>
    <mergeCell ref="A812:A813"/>
    <mergeCell ref="A814:A815"/>
    <mergeCell ref="A816:A817"/>
    <mergeCell ref="A818:A819"/>
    <mergeCell ref="A820:A821"/>
    <mergeCell ref="A822:A823"/>
    <mergeCell ref="A824:A825"/>
    <mergeCell ref="A826:A827"/>
    <mergeCell ref="A828:A829"/>
    <mergeCell ref="A830:A831"/>
    <mergeCell ref="A833:T833"/>
    <mergeCell ref="A834:T834"/>
    <mergeCell ref="A835:M835"/>
    <mergeCell ref="N835:T835"/>
    <mergeCell ref="A836:A837"/>
    <mergeCell ref="B836:C837"/>
    <mergeCell ref="D836:D837"/>
    <mergeCell ref="E836:E837"/>
    <mergeCell ref="F836:M836"/>
    <mergeCell ref="N836:Q836"/>
    <mergeCell ref="R836:R837"/>
    <mergeCell ref="S836:S837"/>
    <mergeCell ref="T836:T837"/>
    <mergeCell ref="A838:A839"/>
    <mergeCell ref="A840:A841"/>
    <mergeCell ref="A842:A843"/>
    <mergeCell ref="A844:A845"/>
    <mergeCell ref="A846:A847"/>
    <mergeCell ref="A848:A849"/>
    <mergeCell ref="A850:A851"/>
    <mergeCell ref="A852:A853"/>
    <mergeCell ref="A854:A855"/>
    <mergeCell ref="A856:A857"/>
    <mergeCell ref="A858:A859"/>
    <mergeCell ref="A860:A861"/>
    <mergeCell ref="A862:A863"/>
    <mergeCell ref="A865:T865"/>
    <mergeCell ref="A866:T866"/>
    <mergeCell ref="A867:M867"/>
    <mergeCell ref="N867:T867"/>
    <mergeCell ref="A868:A869"/>
    <mergeCell ref="B868:C869"/>
    <mergeCell ref="D868:D869"/>
    <mergeCell ref="E868:E869"/>
    <mergeCell ref="F868:M868"/>
    <mergeCell ref="N868:Q868"/>
    <mergeCell ref="R868:R869"/>
    <mergeCell ref="S868:S869"/>
    <mergeCell ref="T868:T869"/>
    <mergeCell ref="A870:A871"/>
    <mergeCell ref="A872:A873"/>
    <mergeCell ref="A874:A875"/>
    <mergeCell ref="A876:A877"/>
    <mergeCell ref="A878:A879"/>
    <mergeCell ref="A880:A881"/>
    <mergeCell ref="A882:A883"/>
    <mergeCell ref="A884:A885"/>
    <mergeCell ref="A886:A887"/>
    <mergeCell ref="A888:A889"/>
    <mergeCell ref="A890:A891"/>
    <mergeCell ref="A892:A893"/>
    <mergeCell ref="A894:A895"/>
    <mergeCell ref="A897:T897"/>
    <mergeCell ref="A898:T898"/>
    <mergeCell ref="A899:M899"/>
    <mergeCell ref="N899:T899"/>
    <mergeCell ref="A900:A901"/>
    <mergeCell ref="B900:C901"/>
    <mergeCell ref="D900:D901"/>
    <mergeCell ref="E900:E901"/>
    <mergeCell ref="F900:M900"/>
    <mergeCell ref="N900:Q900"/>
    <mergeCell ref="R900:R901"/>
    <mergeCell ref="S900:S901"/>
    <mergeCell ref="T900:T901"/>
    <mergeCell ref="A902:A903"/>
    <mergeCell ref="A904:A905"/>
    <mergeCell ref="A906:A907"/>
    <mergeCell ref="A908:A909"/>
    <mergeCell ref="A910:A911"/>
    <mergeCell ref="A912:A913"/>
    <mergeCell ref="A914:A915"/>
    <mergeCell ref="A916:A917"/>
    <mergeCell ref="A918:A919"/>
    <mergeCell ref="A920:A921"/>
    <mergeCell ref="A922:A923"/>
    <mergeCell ref="A924:A925"/>
    <mergeCell ref="A926:A927"/>
    <mergeCell ref="A929:T929"/>
    <mergeCell ref="A930:T930"/>
    <mergeCell ref="A931:M931"/>
    <mergeCell ref="N931:T931"/>
    <mergeCell ref="A932:A933"/>
    <mergeCell ref="B932:C933"/>
    <mergeCell ref="D932:D933"/>
    <mergeCell ref="E932:E933"/>
    <mergeCell ref="F932:M932"/>
    <mergeCell ref="N932:Q932"/>
    <mergeCell ref="R932:R933"/>
    <mergeCell ref="S932:S933"/>
    <mergeCell ref="T932:T933"/>
    <mergeCell ref="A934:A935"/>
    <mergeCell ref="A936:A937"/>
    <mergeCell ref="A938:A939"/>
    <mergeCell ref="A940:A941"/>
    <mergeCell ref="A942:A943"/>
    <mergeCell ref="A944:A945"/>
    <mergeCell ref="A946:A947"/>
    <mergeCell ref="A948:A949"/>
    <mergeCell ref="A950:A951"/>
    <mergeCell ref="A952:A953"/>
    <mergeCell ref="A954:A955"/>
    <mergeCell ref="A956:A957"/>
    <mergeCell ref="A958:A959"/>
    <mergeCell ref="A961:T961"/>
    <mergeCell ref="A962:T962"/>
    <mergeCell ref="A963:M963"/>
    <mergeCell ref="N963:T963"/>
    <mergeCell ref="A964:A965"/>
    <mergeCell ref="B964:C965"/>
    <mergeCell ref="D964:D965"/>
    <mergeCell ref="E964:E965"/>
    <mergeCell ref="F964:M964"/>
    <mergeCell ref="N964:Q964"/>
    <mergeCell ref="R964:R965"/>
    <mergeCell ref="S964:S965"/>
    <mergeCell ref="T964:T965"/>
    <mergeCell ref="A984:A985"/>
    <mergeCell ref="A986:A987"/>
    <mergeCell ref="A988:A989"/>
    <mergeCell ref="A990:A991"/>
    <mergeCell ref="A966:A967"/>
    <mergeCell ref="A968:A969"/>
    <mergeCell ref="A970:A971"/>
    <mergeCell ref="A972:A973"/>
    <mergeCell ref="A974:A975"/>
    <mergeCell ref="A976:A977"/>
    <mergeCell ref="A978:A979"/>
    <mergeCell ref="A980:A981"/>
    <mergeCell ref="A982:A983"/>
  </mergeCells>
  <conditionalFormatting sqref="AE989">
    <cfRule type="cellIs" dxfId="1118" priority="2" operator="equal">
      <formula>110</formula>
    </cfRule>
    <cfRule type="cellIs" dxfId="1117" priority="3" operator="equal">
      <formula>160</formula>
    </cfRule>
    <cfRule type="cellIs" dxfId="1116" priority="4" operator="equal">
      <formula>130</formula>
    </cfRule>
  </conditionalFormatting>
  <conditionalFormatting sqref="AE987">
    <cfRule type="cellIs" dxfId="1115" priority="5" operator="equal">
      <formula>110</formula>
    </cfRule>
    <cfRule type="cellIs" dxfId="1114" priority="6" operator="equal">
      <formula>160</formula>
    </cfRule>
    <cfRule type="cellIs" dxfId="1113" priority="7" operator="equal">
      <formula>130</formula>
    </cfRule>
  </conditionalFormatting>
  <conditionalFormatting sqref="AE985">
    <cfRule type="cellIs" dxfId="1112" priority="8" operator="equal">
      <formula>110</formula>
    </cfRule>
    <cfRule type="cellIs" dxfId="1111" priority="9" operator="equal">
      <formula>160</formula>
    </cfRule>
    <cfRule type="cellIs" dxfId="1110" priority="10" operator="equal">
      <formula>130</formula>
    </cfRule>
  </conditionalFormatting>
  <conditionalFormatting sqref="AE983">
    <cfRule type="cellIs" dxfId="1109" priority="11" operator="equal">
      <formula>110</formula>
    </cfRule>
    <cfRule type="cellIs" dxfId="1108" priority="12" operator="equal">
      <formula>160</formula>
    </cfRule>
    <cfRule type="cellIs" dxfId="1107" priority="13" operator="equal">
      <formula>130</formula>
    </cfRule>
  </conditionalFormatting>
  <conditionalFormatting sqref="AE981">
    <cfRule type="cellIs" dxfId="1106" priority="14" operator="equal">
      <formula>110</formula>
    </cfRule>
    <cfRule type="cellIs" dxfId="1105" priority="15" operator="equal">
      <formula>160</formula>
    </cfRule>
    <cfRule type="cellIs" dxfId="1104" priority="16" operator="equal">
      <formula>130</formula>
    </cfRule>
  </conditionalFormatting>
  <conditionalFormatting sqref="AE979">
    <cfRule type="cellIs" dxfId="1103" priority="17" operator="equal">
      <formula>110</formula>
    </cfRule>
    <cfRule type="cellIs" dxfId="1102" priority="18" operator="equal">
      <formula>160</formula>
    </cfRule>
    <cfRule type="cellIs" dxfId="1101" priority="19" operator="equal">
      <formula>130</formula>
    </cfRule>
  </conditionalFormatting>
  <conditionalFormatting sqref="AE977">
    <cfRule type="cellIs" dxfId="1100" priority="20" operator="equal">
      <formula>110</formula>
    </cfRule>
    <cfRule type="cellIs" dxfId="1099" priority="21" operator="equal">
      <formula>160</formula>
    </cfRule>
    <cfRule type="cellIs" dxfId="1098" priority="22" operator="equal">
      <formula>130</formula>
    </cfRule>
  </conditionalFormatting>
  <conditionalFormatting sqref="AE975">
    <cfRule type="cellIs" dxfId="1097" priority="23" operator="equal">
      <formula>110</formula>
    </cfRule>
    <cfRule type="cellIs" dxfId="1096" priority="24" operator="equal">
      <formula>160</formula>
    </cfRule>
    <cfRule type="cellIs" dxfId="1095" priority="25" operator="equal">
      <formula>130</formula>
    </cfRule>
  </conditionalFormatting>
  <conditionalFormatting sqref="AE973">
    <cfRule type="cellIs" dxfId="1094" priority="26" operator="equal">
      <formula>110</formula>
    </cfRule>
    <cfRule type="cellIs" dxfId="1093" priority="27" operator="equal">
      <formula>160</formula>
    </cfRule>
    <cfRule type="cellIs" dxfId="1092" priority="28" operator="equal">
      <formula>130</formula>
    </cfRule>
  </conditionalFormatting>
  <conditionalFormatting sqref="AE971">
    <cfRule type="cellIs" dxfId="1091" priority="29" operator="equal">
      <formula>110</formula>
    </cfRule>
    <cfRule type="cellIs" dxfId="1090" priority="30" operator="equal">
      <formula>160</formula>
    </cfRule>
    <cfRule type="cellIs" dxfId="1089" priority="31" operator="equal">
      <formula>130</formula>
    </cfRule>
  </conditionalFormatting>
  <conditionalFormatting sqref="AE969">
    <cfRule type="cellIs" dxfId="1088" priority="32" operator="equal">
      <formula>110</formula>
    </cfRule>
    <cfRule type="cellIs" dxfId="1087" priority="33" operator="equal">
      <formula>160</formula>
    </cfRule>
    <cfRule type="cellIs" dxfId="1086" priority="34" operator="equal">
      <formula>130</formula>
    </cfRule>
  </conditionalFormatting>
  <conditionalFormatting sqref="AE967">
    <cfRule type="cellIs" dxfId="1085" priority="35" operator="equal">
      <formula>110</formula>
    </cfRule>
    <cfRule type="cellIs" dxfId="1084" priority="36" operator="equal">
      <formula>160</formula>
    </cfRule>
    <cfRule type="cellIs" dxfId="1083" priority="37" operator="equal">
      <formula>130</formula>
    </cfRule>
  </conditionalFormatting>
  <conditionalFormatting sqref="AE957">
    <cfRule type="cellIs" dxfId="1082" priority="38" operator="equal">
      <formula>110</formula>
    </cfRule>
    <cfRule type="cellIs" dxfId="1081" priority="39" operator="equal">
      <formula>160</formula>
    </cfRule>
    <cfRule type="cellIs" dxfId="1080" priority="40" operator="equal">
      <formula>130</formula>
    </cfRule>
  </conditionalFormatting>
  <conditionalFormatting sqref="AE955">
    <cfRule type="cellIs" dxfId="1079" priority="41" operator="equal">
      <formula>110</formula>
    </cfRule>
    <cfRule type="cellIs" dxfId="1078" priority="42" operator="equal">
      <formula>160</formula>
    </cfRule>
    <cfRule type="cellIs" dxfId="1077" priority="43" operator="equal">
      <formula>130</formula>
    </cfRule>
  </conditionalFormatting>
  <conditionalFormatting sqref="AE953">
    <cfRule type="cellIs" dxfId="1076" priority="44" operator="equal">
      <formula>110</formula>
    </cfRule>
    <cfRule type="cellIs" dxfId="1075" priority="45" operator="equal">
      <formula>160</formula>
    </cfRule>
    <cfRule type="cellIs" dxfId="1074" priority="46" operator="equal">
      <formula>130</formula>
    </cfRule>
  </conditionalFormatting>
  <conditionalFormatting sqref="AE951">
    <cfRule type="cellIs" dxfId="1073" priority="47" operator="equal">
      <formula>110</formula>
    </cfRule>
    <cfRule type="cellIs" dxfId="1072" priority="48" operator="equal">
      <formula>160</formula>
    </cfRule>
    <cfRule type="cellIs" dxfId="1071" priority="49" operator="equal">
      <formula>130</formula>
    </cfRule>
  </conditionalFormatting>
  <conditionalFormatting sqref="AE949">
    <cfRule type="cellIs" dxfId="1070" priority="50" operator="equal">
      <formula>110</formula>
    </cfRule>
    <cfRule type="cellIs" dxfId="1069" priority="51" operator="equal">
      <formula>160</formula>
    </cfRule>
    <cfRule type="cellIs" dxfId="1068" priority="52" operator="equal">
      <formula>130</formula>
    </cfRule>
  </conditionalFormatting>
  <conditionalFormatting sqref="AE947">
    <cfRule type="cellIs" dxfId="1067" priority="53" operator="equal">
      <formula>110</formula>
    </cfRule>
    <cfRule type="cellIs" dxfId="1066" priority="54" operator="equal">
      <formula>160</formula>
    </cfRule>
    <cfRule type="cellIs" dxfId="1065" priority="55" operator="equal">
      <formula>130</formula>
    </cfRule>
  </conditionalFormatting>
  <conditionalFormatting sqref="AE945">
    <cfRule type="cellIs" dxfId="1064" priority="56" operator="equal">
      <formula>110</formula>
    </cfRule>
    <cfRule type="cellIs" dxfId="1063" priority="57" operator="equal">
      <formula>160</formula>
    </cfRule>
    <cfRule type="cellIs" dxfId="1062" priority="58" operator="equal">
      <formula>130</formula>
    </cfRule>
  </conditionalFormatting>
  <conditionalFormatting sqref="AE943">
    <cfRule type="cellIs" dxfId="1061" priority="59" operator="equal">
      <formula>110</formula>
    </cfRule>
    <cfRule type="cellIs" dxfId="1060" priority="60" operator="equal">
      <formula>160</formula>
    </cfRule>
    <cfRule type="cellIs" dxfId="1059" priority="61" operator="equal">
      <formula>130</formula>
    </cfRule>
  </conditionalFormatting>
  <conditionalFormatting sqref="AE941">
    <cfRule type="cellIs" dxfId="1058" priority="62" operator="equal">
      <formula>110</formula>
    </cfRule>
    <cfRule type="cellIs" dxfId="1057" priority="63" operator="equal">
      <formula>160</formula>
    </cfRule>
    <cfRule type="cellIs" dxfId="1056" priority="64" operator="equal">
      <formula>130</formula>
    </cfRule>
  </conditionalFormatting>
  <conditionalFormatting sqref="AE939">
    <cfRule type="cellIs" dxfId="1055" priority="65" operator="equal">
      <formula>110</formula>
    </cfRule>
    <cfRule type="cellIs" dxfId="1054" priority="66" operator="equal">
      <formula>160</formula>
    </cfRule>
    <cfRule type="cellIs" dxfId="1053" priority="67" operator="equal">
      <formula>130</formula>
    </cfRule>
  </conditionalFormatting>
  <conditionalFormatting sqref="AE937">
    <cfRule type="cellIs" dxfId="1052" priority="68" operator="equal">
      <formula>110</formula>
    </cfRule>
    <cfRule type="cellIs" dxfId="1051" priority="69" operator="equal">
      <formula>160</formula>
    </cfRule>
    <cfRule type="cellIs" dxfId="1050" priority="70" operator="equal">
      <formula>130</formula>
    </cfRule>
  </conditionalFormatting>
  <conditionalFormatting sqref="AE935">
    <cfRule type="cellIs" dxfId="1049" priority="71" operator="equal">
      <formula>110</formula>
    </cfRule>
    <cfRule type="cellIs" dxfId="1048" priority="72" operator="equal">
      <formula>160</formula>
    </cfRule>
    <cfRule type="cellIs" dxfId="1047" priority="73" operator="equal">
      <formula>130</formula>
    </cfRule>
  </conditionalFormatting>
  <conditionalFormatting sqref="AE925">
    <cfRule type="cellIs" dxfId="1046" priority="74" operator="equal">
      <formula>110</formula>
    </cfRule>
    <cfRule type="cellIs" dxfId="1045" priority="75" operator="equal">
      <formula>160</formula>
    </cfRule>
    <cfRule type="cellIs" dxfId="1044" priority="76" operator="equal">
      <formula>130</formula>
    </cfRule>
  </conditionalFormatting>
  <conditionalFormatting sqref="AE923">
    <cfRule type="cellIs" dxfId="1043" priority="77" operator="equal">
      <formula>110</formula>
    </cfRule>
    <cfRule type="cellIs" dxfId="1042" priority="78" operator="equal">
      <formula>160</formula>
    </cfRule>
    <cfRule type="cellIs" dxfId="1041" priority="79" operator="equal">
      <formula>130</formula>
    </cfRule>
  </conditionalFormatting>
  <conditionalFormatting sqref="AE921">
    <cfRule type="cellIs" dxfId="1040" priority="80" operator="equal">
      <formula>110</formula>
    </cfRule>
    <cfRule type="cellIs" dxfId="1039" priority="81" operator="equal">
      <formula>160</formula>
    </cfRule>
    <cfRule type="cellIs" dxfId="1038" priority="82" operator="equal">
      <formula>130</formula>
    </cfRule>
  </conditionalFormatting>
  <conditionalFormatting sqref="AE919">
    <cfRule type="cellIs" dxfId="1037" priority="83" operator="equal">
      <formula>110</formula>
    </cfRule>
    <cfRule type="cellIs" dxfId="1036" priority="84" operator="equal">
      <formula>160</formula>
    </cfRule>
    <cfRule type="cellIs" dxfId="1035" priority="85" operator="equal">
      <formula>130</formula>
    </cfRule>
  </conditionalFormatting>
  <conditionalFormatting sqref="AE917">
    <cfRule type="cellIs" dxfId="1034" priority="86" operator="equal">
      <formula>110</formula>
    </cfRule>
    <cfRule type="cellIs" dxfId="1033" priority="87" operator="equal">
      <formula>160</formula>
    </cfRule>
    <cfRule type="cellIs" dxfId="1032" priority="88" operator="equal">
      <formula>130</formula>
    </cfRule>
  </conditionalFormatting>
  <conditionalFormatting sqref="AE915">
    <cfRule type="cellIs" dxfId="1031" priority="89" operator="equal">
      <formula>110</formula>
    </cfRule>
    <cfRule type="cellIs" dxfId="1030" priority="90" operator="equal">
      <formula>160</formula>
    </cfRule>
    <cfRule type="cellIs" dxfId="1029" priority="91" operator="equal">
      <formula>130</formula>
    </cfRule>
  </conditionalFormatting>
  <conditionalFormatting sqref="AE913">
    <cfRule type="cellIs" dxfId="1028" priority="92" operator="equal">
      <formula>110</formula>
    </cfRule>
    <cfRule type="cellIs" dxfId="1027" priority="93" operator="equal">
      <formula>160</formula>
    </cfRule>
    <cfRule type="cellIs" dxfId="1026" priority="94" operator="equal">
      <formula>130</formula>
    </cfRule>
  </conditionalFormatting>
  <conditionalFormatting sqref="AE911">
    <cfRule type="cellIs" dxfId="1025" priority="95" operator="equal">
      <formula>110</formula>
    </cfRule>
    <cfRule type="cellIs" dxfId="1024" priority="96" operator="equal">
      <formula>160</formula>
    </cfRule>
    <cfRule type="cellIs" dxfId="1023" priority="97" operator="equal">
      <formula>130</formula>
    </cfRule>
  </conditionalFormatting>
  <conditionalFormatting sqref="AE909">
    <cfRule type="cellIs" dxfId="1022" priority="98" operator="equal">
      <formula>110</formula>
    </cfRule>
    <cfRule type="cellIs" dxfId="1021" priority="99" operator="equal">
      <formula>160</formula>
    </cfRule>
    <cfRule type="cellIs" dxfId="1020" priority="100" operator="equal">
      <formula>130</formula>
    </cfRule>
  </conditionalFormatting>
  <conditionalFormatting sqref="AE907">
    <cfRule type="cellIs" dxfId="1019" priority="101" operator="equal">
      <formula>110</formula>
    </cfRule>
    <cfRule type="cellIs" dxfId="1018" priority="102" operator="equal">
      <formula>160</formula>
    </cfRule>
    <cfRule type="cellIs" dxfId="1017" priority="103" operator="equal">
      <formula>130</formula>
    </cfRule>
  </conditionalFormatting>
  <conditionalFormatting sqref="AE905">
    <cfRule type="cellIs" dxfId="1016" priority="104" operator="equal">
      <formula>110</formula>
    </cfRule>
    <cfRule type="cellIs" dxfId="1015" priority="105" operator="equal">
      <formula>160</formula>
    </cfRule>
    <cfRule type="cellIs" dxfId="1014" priority="106" operator="equal">
      <formula>130</formula>
    </cfRule>
  </conditionalFormatting>
  <conditionalFormatting sqref="AE903">
    <cfRule type="cellIs" dxfId="1013" priority="107" operator="equal">
      <formula>110</formula>
    </cfRule>
    <cfRule type="cellIs" dxfId="1012" priority="108" operator="equal">
      <formula>160</formula>
    </cfRule>
    <cfRule type="cellIs" dxfId="1011" priority="109" operator="equal">
      <formula>130</formula>
    </cfRule>
  </conditionalFormatting>
  <conditionalFormatting sqref="AE893">
    <cfRule type="cellIs" dxfId="1010" priority="110" operator="equal">
      <formula>110</formula>
    </cfRule>
    <cfRule type="cellIs" dxfId="1009" priority="111" operator="equal">
      <formula>160</formula>
    </cfRule>
    <cfRule type="cellIs" dxfId="1008" priority="112" operator="equal">
      <formula>130</formula>
    </cfRule>
  </conditionalFormatting>
  <conditionalFormatting sqref="AE891">
    <cfRule type="cellIs" dxfId="1007" priority="113" operator="equal">
      <formula>110</formula>
    </cfRule>
    <cfRule type="cellIs" dxfId="1006" priority="114" operator="equal">
      <formula>160</formula>
    </cfRule>
    <cfRule type="cellIs" dxfId="1005" priority="115" operator="equal">
      <formula>130</formula>
    </cfRule>
  </conditionalFormatting>
  <conditionalFormatting sqref="AE889">
    <cfRule type="cellIs" dxfId="1004" priority="116" operator="equal">
      <formula>110</formula>
    </cfRule>
    <cfRule type="cellIs" dxfId="1003" priority="117" operator="equal">
      <formula>160</formula>
    </cfRule>
    <cfRule type="cellIs" dxfId="1002" priority="118" operator="equal">
      <formula>130</formula>
    </cfRule>
  </conditionalFormatting>
  <conditionalFormatting sqref="AE887">
    <cfRule type="cellIs" dxfId="1001" priority="119" operator="equal">
      <formula>110</formula>
    </cfRule>
    <cfRule type="cellIs" dxfId="1000" priority="120" operator="equal">
      <formula>160</formula>
    </cfRule>
    <cfRule type="cellIs" dxfId="999" priority="121" operator="equal">
      <formula>130</formula>
    </cfRule>
  </conditionalFormatting>
  <conditionalFormatting sqref="AE885">
    <cfRule type="cellIs" dxfId="998" priority="122" operator="equal">
      <formula>110</formula>
    </cfRule>
    <cfRule type="cellIs" dxfId="997" priority="123" operator="equal">
      <formula>160</formula>
    </cfRule>
    <cfRule type="cellIs" dxfId="996" priority="124" operator="equal">
      <formula>130</formula>
    </cfRule>
  </conditionalFormatting>
  <conditionalFormatting sqref="AE883">
    <cfRule type="cellIs" dxfId="995" priority="125" operator="equal">
      <formula>110</formula>
    </cfRule>
    <cfRule type="cellIs" dxfId="994" priority="126" operator="equal">
      <formula>160</formula>
    </cfRule>
    <cfRule type="cellIs" dxfId="993" priority="127" operator="equal">
      <formula>130</formula>
    </cfRule>
  </conditionalFormatting>
  <conditionalFormatting sqref="AE881">
    <cfRule type="cellIs" dxfId="992" priority="128" operator="equal">
      <formula>110</formula>
    </cfRule>
    <cfRule type="cellIs" dxfId="991" priority="129" operator="equal">
      <formula>160</formula>
    </cfRule>
    <cfRule type="cellIs" dxfId="990" priority="130" operator="equal">
      <formula>130</formula>
    </cfRule>
  </conditionalFormatting>
  <conditionalFormatting sqref="AE879">
    <cfRule type="cellIs" dxfId="989" priority="131" operator="equal">
      <formula>110</formula>
    </cfRule>
    <cfRule type="cellIs" dxfId="988" priority="132" operator="equal">
      <formula>160</formula>
    </cfRule>
    <cfRule type="cellIs" dxfId="987" priority="133" operator="equal">
      <formula>130</formula>
    </cfRule>
  </conditionalFormatting>
  <conditionalFormatting sqref="AE877">
    <cfRule type="cellIs" dxfId="986" priority="134" operator="equal">
      <formula>110</formula>
    </cfRule>
    <cfRule type="cellIs" dxfId="985" priority="135" operator="equal">
      <formula>160</formula>
    </cfRule>
    <cfRule type="cellIs" dxfId="984" priority="136" operator="equal">
      <formula>130</formula>
    </cfRule>
  </conditionalFormatting>
  <conditionalFormatting sqref="AE875">
    <cfRule type="cellIs" dxfId="983" priority="137" operator="equal">
      <formula>110</formula>
    </cfRule>
    <cfRule type="cellIs" dxfId="982" priority="138" operator="equal">
      <formula>160</formula>
    </cfRule>
    <cfRule type="cellIs" dxfId="981" priority="139" operator="equal">
      <formula>130</formula>
    </cfRule>
  </conditionalFormatting>
  <conditionalFormatting sqref="AE873">
    <cfRule type="cellIs" dxfId="980" priority="140" operator="equal">
      <formula>110</formula>
    </cfRule>
    <cfRule type="cellIs" dxfId="979" priority="141" operator="equal">
      <formula>160</formula>
    </cfRule>
    <cfRule type="cellIs" dxfId="978" priority="142" operator="equal">
      <formula>130</formula>
    </cfRule>
  </conditionalFormatting>
  <conditionalFormatting sqref="AE871">
    <cfRule type="cellIs" dxfId="977" priority="143" operator="equal">
      <formula>110</formula>
    </cfRule>
    <cfRule type="cellIs" dxfId="976" priority="144" operator="equal">
      <formula>160</formula>
    </cfRule>
    <cfRule type="cellIs" dxfId="975" priority="145" operator="equal">
      <formula>130</formula>
    </cfRule>
  </conditionalFormatting>
  <conditionalFormatting sqref="AE861">
    <cfRule type="cellIs" dxfId="974" priority="146" operator="equal">
      <formula>110</formula>
    </cfRule>
    <cfRule type="cellIs" dxfId="973" priority="147" operator="equal">
      <formula>160</formula>
    </cfRule>
    <cfRule type="cellIs" dxfId="972" priority="148" operator="equal">
      <formula>130</formula>
    </cfRule>
  </conditionalFormatting>
  <conditionalFormatting sqref="AE859">
    <cfRule type="cellIs" dxfId="971" priority="149" operator="equal">
      <formula>110</formula>
    </cfRule>
    <cfRule type="cellIs" dxfId="970" priority="150" operator="equal">
      <formula>160</formula>
    </cfRule>
    <cfRule type="cellIs" dxfId="969" priority="151" operator="equal">
      <formula>130</formula>
    </cfRule>
  </conditionalFormatting>
  <conditionalFormatting sqref="AE857">
    <cfRule type="cellIs" dxfId="968" priority="152" operator="equal">
      <formula>110</formula>
    </cfRule>
    <cfRule type="cellIs" dxfId="967" priority="153" operator="equal">
      <formula>160</formula>
    </cfRule>
    <cfRule type="cellIs" dxfId="966" priority="154" operator="equal">
      <formula>130</formula>
    </cfRule>
  </conditionalFormatting>
  <conditionalFormatting sqref="AE855">
    <cfRule type="cellIs" dxfId="965" priority="155" operator="equal">
      <formula>110</formula>
    </cfRule>
    <cfRule type="cellIs" dxfId="964" priority="156" operator="equal">
      <formula>160</formula>
    </cfRule>
    <cfRule type="cellIs" dxfId="963" priority="157" operator="equal">
      <formula>130</formula>
    </cfRule>
  </conditionalFormatting>
  <conditionalFormatting sqref="AE853">
    <cfRule type="cellIs" dxfId="962" priority="158" operator="equal">
      <formula>110</formula>
    </cfRule>
    <cfRule type="cellIs" dxfId="961" priority="159" operator="equal">
      <formula>160</formula>
    </cfRule>
    <cfRule type="cellIs" dxfId="960" priority="160" operator="equal">
      <formula>130</formula>
    </cfRule>
  </conditionalFormatting>
  <conditionalFormatting sqref="AE851">
    <cfRule type="cellIs" dxfId="959" priority="161" operator="equal">
      <formula>110</formula>
    </cfRule>
    <cfRule type="cellIs" dxfId="958" priority="162" operator="equal">
      <formula>160</formula>
    </cfRule>
    <cfRule type="cellIs" dxfId="957" priority="163" operator="equal">
      <formula>130</formula>
    </cfRule>
  </conditionalFormatting>
  <conditionalFormatting sqref="AE849">
    <cfRule type="cellIs" dxfId="956" priority="164" operator="equal">
      <formula>110</formula>
    </cfRule>
    <cfRule type="cellIs" dxfId="955" priority="165" operator="equal">
      <formula>160</formula>
    </cfRule>
    <cfRule type="cellIs" dxfId="954" priority="166" operator="equal">
      <formula>130</formula>
    </cfRule>
  </conditionalFormatting>
  <conditionalFormatting sqref="AE847">
    <cfRule type="cellIs" dxfId="953" priority="167" operator="equal">
      <formula>110</formula>
    </cfRule>
    <cfRule type="cellIs" dxfId="952" priority="168" operator="equal">
      <formula>160</formula>
    </cfRule>
    <cfRule type="cellIs" dxfId="951" priority="169" operator="equal">
      <formula>130</formula>
    </cfRule>
  </conditionalFormatting>
  <conditionalFormatting sqref="AE845">
    <cfRule type="cellIs" dxfId="950" priority="170" operator="equal">
      <formula>110</formula>
    </cfRule>
    <cfRule type="cellIs" dxfId="949" priority="171" operator="equal">
      <formula>160</formula>
    </cfRule>
    <cfRule type="cellIs" dxfId="948" priority="172" operator="equal">
      <formula>130</formula>
    </cfRule>
  </conditionalFormatting>
  <conditionalFormatting sqref="AE843">
    <cfRule type="cellIs" dxfId="947" priority="173" operator="equal">
      <formula>110</formula>
    </cfRule>
    <cfRule type="cellIs" dxfId="946" priority="174" operator="equal">
      <formula>160</formula>
    </cfRule>
    <cfRule type="cellIs" dxfId="945" priority="175" operator="equal">
      <formula>130</formula>
    </cfRule>
  </conditionalFormatting>
  <conditionalFormatting sqref="AE841">
    <cfRule type="cellIs" dxfId="944" priority="176" operator="equal">
      <formula>110</formula>
    </cfRule>
    <cfRule type="cellIs" dxfId="943" priority="177" operator="equal">
      <formula>160</formula>
    </cfRule>
    <cfRule type="cellIs" dxfId="942" priority="178" operator="equal">
      <formula>130</formula>
    </cfRule>
  </conditionalFormatting>
  <conditionalFormatting sqref="AE839">
    <cfRule type="cellIs" dxfId="941" priority="179" operator="equal">
      <formula>110</formula>
    </cfRule>
    <cfRule type="cellIs" dxfId="940" priority="180" operator="equal">
      <formula>160</formula>
    </cfRule>
    <cfRule type="cellIs" dxfId="939" priority="181" operator="equal">
      <formula>130</formula>
    </cfRule>
  </conditionalFormatting>
  <conditionalFormatting sqref="AE829">
    <cfRule type="cellIs" dxfId="938" priority="182" operator="equal">
      <formula>110</formula>
    </cfRule>
    <cfRule type="cellIs" dxfId="937" priority="183" operator="equal">
      <formula>160</formula>
    </cfRule>
    <cfRule type="cellIs" dxfId="936" priority="184" operator="equal">
      <formula>130</formula>
    </cfRule>
  </conditionalFormatting>
  <conditionalFormatting sqref="AE827">
    <cfRule type="cellIs" dxfId="935" priority="185" operator="equal">
      <formula>110</formula>
    </cfRule>
    <cfRule type="cellIs" dxfId="934" priority="186" operator="equal">
      <formula>160</formula>
    </cfRule>
    <cfRule type="cellIs" dxfId="933" priority="187" operator="equal">
      <formula>130</formula>
    </cfRule>
  </conditionalFormatting>
  <conditionalFormatting sqref="AE825">
    <cfRule type="cellIs" dxfId="932" priority="188" operator="equal">
      <formula>110</formula>
    </cfRule>
    <cfRule type="cellIs" dxfId="931" priority="189" operator="equal">
      <formula>160</formula>
    </cfRule>
    <cfRule type="cellIs" dxfId="930" priority="190" operator="equal">
      <formula>130</formula>
    </cfRule>
  </conditionalFormatting>
  <conditionalFormatting sqref="AE823">
    <cfRule type="cellIs" dxfId="929" priority="191" operator="equal">
      <formula>110</formula>
    </cfRule>
    <cfRule type="cellIs" dxfId="928" priority="192" operator="equal">
      <formula>160</formula>
    </cfRule>
    <cfRule type="cellIs" dxfId="927" priority="193" operator="equal">
      <formula>130</formula>
    </cfRule>
  </conditionalFormatting>
  <conditionalFormatting sqref="AE821">
    <cfRule type="cellIs" dxfId="926" priority="194" operator="equal">
      <formula>110</formula>
    </cfRule>
    <cfRule type="cellIs" dxfId="925" priority="195" operator="equal">
      <formula>160</formula>
    </cfRule>
    <cfRule type="cellIs" dxfId="924" priority="196" operator="equal">
      <formula>130</formula>
    </cfRule>
  </conditionalFormatting>
  <conditionalFormatting sqref="AE819">
    <cfRule type="cellIs" dxfId="923" priority="197" operator="equal">
      <formula>110</formula>
    </cfRule>
    <cfRule type="cellIs" dxfId="922" priority="198" operator="equal">
      <formula>160</formula>
    </cfRule>
    <cfRule type="cellIs" dxfId="921" priority="199" operator="equal">
      <formula>130</formula>
    </cfRule>
  </conditionalFormatting>
  <conditionalFormatting sqref="AE817">
    <cfRule type="cellIs" dxfId="920" priority="200" operator="equal">
      <formula>110</formula>
    </cfRule>
    <cfRule type="cellIs" dxfId="919" priority="201" operator="equal">
      <formula>160</formula>
    </cfRule>
    <cfRule type="cellIs" dxfId="918" priority="202" operator="equal">
      <formula>130</formula>
    </cfRule>
  </conditionalFormatting>
  <conditionalFormatting sqref="AE815">
    <cfRule type="cellIs" dxfId="917" priority="203" operator="equal">
      <formula>110</formula>
    </cfRule>
    <cfRule type="cellIs" dxfId="916" priority="204" operator="equal">
      <formula>160</formula>
    </cfRule>
    <cfRule type="cellIs" dxfId="915" priority="205" operator="equal">
      <formula>130</formula>
    </cfRule>
  </conditionalFormatting>
  <conditionalFormatting sqref="AE813">
    <cfRule type="cellIs" dxfId="914" priority="206" operator="equal">
      <formula>110</formula>
    </cfRule>
    <cfRule type="cellIs" dxfId="913" priority="207" operator="equal">
      <formula>160</formula>
    </cfRule>
    <cfRule type="cellIs" dxfId="912" priority="208" operator="equal">
      <formula>130</formula>
    </cfRule>
  </conditionalFormatting>
  <conditionalFormatting sqref="AE811">
    <cfRule type="cellIs" dxfId="911" priority="209" operator="equal">
      <formula>110</formula>
    </cfRule>
    <cfRule type="cellIs" dxfId="910" priority="210" operator="equal">
      <formula>160</formula>
    </cfRule>
    <cfRule type="cellIs" dxfId="909" priority="211" operator="equal">
      <formula>130</formula>
    </cfRule>
  </conditionalFormatting>
  <conditionalFormatting sqref="AE809">
    <cfRule type="cellIs" dxfId="908" priority="212" operator="equal">
      <formula>110</formula>
    </cfRule>
    <cfRule type="cellIs" dxfId="907" priority="213" operator="equal">
      <formula>160</formula>
    </cfRule>
    <cfRule type="cellIs" dxfId="906" priority="214" operator="equal">
      <formula>130</formula>
    </cfRule>
  </conditionalFormatting>
  <conditionalFormatting sqref="AE807">
    <cfRule type="cellIs" dxfId="905" priority="215" operator="equal">
      <formula>110</formula>
    </cfRule>
    <cfRule type="cellIs" dxfId="904" priority="216" operator="equal">
      <formula>160</formula>
    </cfRule>
    <cfRule type="cellIs" dxfId="903" priority="217" operator="equal">
      <formula>130</formula>
    </cfRule>
  </conditionalFormatting>
  <conditionalFormatting sqref="AE797">
    <cfRule type="cellIs" dxfId="902" priority="218" operator="equal">
      <formula>110</formula>
    </cfRule>
    <cfRule type="cellIs" dxfId="901" priority="219" operator="equal">
      <formula>160</formula>
    </cfRule>
    <cfRule type="cellIs" dxfId="900" priority="220" operator="equal">
      <formula>130</formula>
    </cfRule>
  </conditionalFormatting>
  <conditionalFormatting sqref="AE795">
    <cfRule type="cellIs" dxfId="899" priority="221" operator="equal">
      <formula>110</formula>
    </cfRule>
    <cfRule type="cellIs" dxfId="898" priority="222" operator="equal">
      <formula>160</formula>
    </cfRule>
    <cfRule type="cellIs" dxfId="897" priority="223" operator="equal">
      <formula>130</formula>
    </cfRule>
  </conditionalFormatting>
  <conditionalFormatting sqref="AE793">
    <cfRule type="cellIs" dxfId="896" priority="224" operator="equal">
      <formula>110</formula>
    </cfRule>
    <cfRule type="cellIs" dxfId="895" priority="225" operator="equal">
      <formula>160</formula>
    </cfRule>
    <cfRule type="cellIs" dxfId="894" priority="226" operator="equal">
      <formula>130</formula>
    </cfRule>
  </conditionalFormatting>
  <conditionalFormatting sqref="AE791">
    <cfRule type="cellIs" dxfId="893" priority="227" operator="equal">
      <formula>110</formula>
    </cfRule>
    <cfRule type="cellIs" dxfId="892" priority="228" operator="equal">
      <formula>160</formula>
    </cfRule>
    <cfRule type="cellIs" dxfId="891" priority="229" operator="equal">
      <formula>130</formula>
    </cfRule>
  </conditionalFormatting>
  <conditionalFormatting sqref="AE789">
    <cfRule type="cellIs" dxfId="890" priority="230" operator="equal">
      <formula>110</formula>
    </cfRule>
    <cfRule type="cellIs" dxfId="889" priority="231" operator="equal">
      <formula>160</formula>
    </cfRule>
    <cfRule type="cellIs" dxfId="888" priority="232" operator="equal">
      <formula>130</formula>
    </cfRule>
  </conditionalFormatting>
  <conditionalFormatting sqref="AE787">
    <cfRule type="cellIs" dxfId="887" priority="233" operator="equal">
      <formula>110</formula>
    </cfRule>
    <cfRule type="cellIs" dxfId="886" priority="234" operator="equal">
      <formula>160</formula>
    </cfRule>
    <cfRule type="cellIs" dxfId="885" priority="235" operator="equal">
      <formula>130</formula>
    </cfRule>
  </conditionalFormatting>
  <conditionalFormatting sqref="AE785">
    <cfRule type="cellIs" dxfId="884" priority="236" operator="equal">
      <formula>110</formula>
    </cfRule>
    <cfRule type="cellIs" dxfId="883" priority="237" operator="equal">
      <formula>160</formula>
    </cfRule>
    <cfRule type="cellIs" dxfId="882" priority="238" operator="equal">
      <formula>130</formula>
    </cfRule>
  </conditionalFormatting>
  <conditionalFormatting sqref="AE783">
    <cfRule type="cellIs" dxfId="881" priority="239" operator="equal">
      <formula>110</formula>
    </cfRule>
    <cfRule type="cellIs" dxfId="880" priority="240" operator="equal">
      <formula>160</formula>
    </cfRule>
    <cfRule type="cellIs" dxfId="879" priority="241" operator="equal">
      <formula>130</formula>
    </cfRule>
  </conditionalFormatting>
  <conditionalFormatting sqref="AE781">
    <cfRule type="cellIs" dxfId="878" priority="242" operator="equal">
      <formula>110</formula>
    </cfRule>
    <cfRule type="cellIs" dxfId="877" priority="243" operator="equal">
      <formula>160</formula>
    </cfRule>
    <cfRule type="cellIs" dxfId="876" priority="244" operator="equal">
      <formula>130</formula>
    </cfRule>
  </conditionalFormatting>
  <conditionalFormatting sqref="AE779">
    <cfRule type="cellIs" dxfId="875" priority="245" operator="equal">
      <formula>110</formula>
    </cfRule>
    <cfRule type="cellIs" dxfId="874" priority="246" operator="equal">
      <formula>160</formula>
    </cfRule>
    <cfRule type="cellIs" dxfId="873" priority="247" operator="equal">
      <formula>130</formula>
    </cfRule>
  </conditionalFormatting>
  <conditionalFormatting sqref="AE777">
    <cfRule type="cellIs" dxfId="872" priority="248" operator="equal">
      <formula>110</formula>
    </cfRule>
    <cfRule type="cellIs" dxfId="871" priority="249" operator="equal">
      <formula>160</formula>
    </cfRule>
    <cfRule type="cellIs" dxfId="870" priority="250" operator="equal">
      <formula>130</formula>
    </cfRule>
  </conditionalFormatting>
  <conditionalFormatting sqref="AE775">
    <cfRule type="cellIs" dxfId="869" priority="251" operator="equal">
      <formula>110</formula>
    </cfRule>
    <cfRule type="cellIs" dxfId="868" priority="252" operator="equal">
      <formula>160</formula>
    </cfRule>
    <cfRule type="cellIs" dxfId="867" priority="253" operator="equal">
      <formula>130</formula>
    </cfRule>
  </conditionalFormatting>
  <conditionalFormatting sqref="AE765">
    <cfRule type="cellIs" dxfId="866" priority="254" operator="equal">
      <formula>110</formula>
    </cfRule>
    <cfRule type="cellIs" dxfId="865" priority="255" operator="equal">
      <formula>160</formula>
    </cfRule>
    <cfRule type="cellIs" dxfId="864" priority="256" operator="equal">
      <formula>130</formula>
    </cfRule>
  </conditionalFormatting>
  <conditionalFormatting sqref="AE763">
    <cfRule type="cellIs" dxfId="863" priority="257" operator="equal">
      <formula>110</formula>
    </cfRule>
    <cfRule type="cellIs" dxfId="862" priority="258" operator="equal">
      <formula>160</formula>
    </cfRule>
    <cfRule type="cellIs" dxfId="861" priority="259" operator="equal">
      <formula>130</formula>
    </cfRule>
  </conditionalFormatting>
  <conditionalFormatting sqref="AE761">
    <cfRule type="cellIs" dxfId="860" priority="260" operator="equal">
      <formula>110</formula>
    </cfRule>
    <cfRule type="cellIs" dxfId="859" priority="261" operator="equal">
      <formula>160</formula>
    </cfRule>
    <cfRule type="cellIs" dxfId="858" priority="262" operator="equal">
      <formula>130</formula>
    </cfRule>
  </conditionalFormatting>
  <conditionalFormatting sqref="AE759">
    <cfRule type="cellIs" dxfId="857" priority="263" operator="equal">
      <formula>110</formula>
    </cfRule>
    <cfRule type="cellIs" dxfId="856" priority="264" operator="equal">
      <formula>160</formula>
    </cfRule>
    <cfRule type="cellIs" dxfId="855" priority="265" operator="equal">
      <formula>130</formula>
    </cfRule>
  </conditionalFormatting>
  <conditionalFormatting sqref="AE757">
    <cfRule type="cellIs" dxfId="854" priority="266" operator="equal">
      <formula>110</formula>
    </cfRule>
    <cfRule type="cellIs" dxfId="853" priority="267" operator="equal">
      <formula>160</formula>
    </cfRule>
    <cfRule type="cellIs" dxfId="852" priority="268" operator="equal">
      <formula>130</formula>
    </cfRule>
  </conditionalFormatting>
  <conditionalFormatting sqref="AE755">
    <cfRule type="cellIs" dxfId="851" priority="269" operator="equal">
      <formula>110</formula>
    </cfRule>
    <cfRule type="cellIs" dxfId="850" priority="270" operator="equal">
      <formula>160</formula>
    </cfRule>
    <cfRule type="cellIs" dxfId="849" priority="271" operator="equal">
      <formula>130</formula>
    </cfRule>
  </conditionalFormatting>
  <conditionalFormatting sqref="AE753">
    <cfRule type="cellIs" dxfId="848" priority="272" operator="equal">
      <formula>110</formula>
    </cfRule>
    <cfRule type="cellIs" dxfId="847" priority="273" operator="equal">
      <formula>160</formula>
    </cfRule>
    <cfRule type="cellIs" dxfId="846" priority="274" operator="equal">
      <formula>130</formula>
    </cfRule>
  </conditionalFormatting>
  <conditionalFormatting sqref="AE751">
    <cfRule type="cellIs" dxfId="845" priority="275" operator="equal">
      <formula>110</formula>
    </cfRule>
    <cfRule type="cellIs" dxfId="844" priority="276" operator="equal">
      <formula>160</formula>
    </cfRule>
    <cfRule type="cellIs" dxfId="843" priority="277" operator="equal">
      <formula>130</formula>
    </cfRule>
  </conditionalFormatting>
  <conditionalFormatting sqref="AE749">
    <cfRule type="cellIs" dxfId="842" priority="278" operator="equal">
      <formula>110</formula>
    </cfRule>
    <cfRule type="cellIs" dxfId="841" priority="279" operator="equal">
      <formula>160</formula>
    </cfRule>
    <cfRule type="cellIs" dxfId="840" priority="280" operator="equal">
      <formula>130</formula>
    </cfRule>
  </conditionalFormatting>
  <conditionalFormatting sqref="AE747">
    <cfRule type="cellIs" dxfId="839" priority="281" operator="equal">
      <formula>110</formula>
    </cfRule>
    <cfRule type="cellIs" dxfId="838" priority="282" operator="equal">
      <formula>160</formula>
    </cfRule>
    <cfRule type="cellIs" dxfId="837" priority="283" operator="equal">
      <formula>130</formula>
    </cfRule>
  </conditionalFormatting>
  <conditionalFormatting sqref="AE745">
    <cfRule type="cellIs" dxfId="836" priority="284" operator="equal">
      <formula>110</formula>
    </cfRule>
    <cfRule type="cellIs" dxfId="835" priority="285" operator="equal">
      <formula>160</formula>
    </cfRule>
    <cfRule type="cellIs" dxfId="834" priority="286" operator="equal">
      <formula>130</formula>
    </cfRule>
  </conditionalFormatting>
  <conditionalFormatting sqref="AE743">
    <cfRule type="cellIs" dxfId="833" priority="287" operator="equal">
      <formula>110</formula>
    </cfRule>
    <cfRule type="cellIs" dxfId="832" priority="288" operator="equal">
      <formula>160</formula>
    </cfRule>
    <cfRule type="cellIs" dxfId="831" priority="289" operator="equal">
      <formula>130</formula>
    </cfRule>
  </conditionalFormatting>
  <conditionalFormatting sqref="AE733">
    <cfRule type="cellIs" dxfId="830" priority="290" operator="equal">
      <formula>110</formula>
    </cfRule>
    <cfRule type="cellIs" dxfId="829" priority="291" operator="equal">
      <formula>160</formula>
    </cfRule>
    <cfRule type="cellIs" dxfId="828" priority="292" operator="equal">
      <formula>130</formula>
    </cfRule>
  </conditionalFormatting>
  <conditionalFormatting sqref="AE731">
    <cfRule type="cellIs" dxfId="827" priority="293" operator="equal">
      <formula>110</formula>
    </cfRule>
    <cfRule type="cellIs" dxfId="826" priority="294" operator="equal">
      <formula>160</formula>
    </cfRule>
    <cfRule type="cellIs" dxfId="825" priority="295" operator="equal">
      <formula>130</formula>
    </cfRule>
  </conditionalFormatting>
  <conditionalFormatting sqref="AE729">
    <cfRule type="cellIs" dxfId="824" priority="296" operator="equal">
      <formula>110</formula>
    </cfRule>
    <cfRule type="cellIs" dxfId="823" priority="297" operator="equal">
      <formula>160</formula>
    </cfRule>
    <cfRule type="cellIs" dxfId="822" priority="298" operator="equal">
      <formula>130</formula>
    </cfRule>
  </conditionalFormatting>
  <conditionalFormatting sqref="AE727">
    <cfRule type="cellIs" dxfId="821" priority="299" operator="equal">
      <formula>110</formula>
    </cfRule>
    <cfRule type="cellIs" dxfId="820" priority="300" operator="equal">
      <formula>160</formula>
    </cfRule>
    <cfRule type="cellIs" dxfId="819" priority="301" operator="equal">
      <formula>130</formula>
    </cfRule>
  </conditionalFormatting>
  <conditionalFormatting sqref="AE725">
    <cfRule type="cellIs" dxfId="818" priority="302" operator="equal">
      <formula>110</formula>
    </cfRule>
    <cfRule type="cellIs" dxfId="817" priority="303" operator="equal">
      <formula>160</formula>
    </cfRule>
    <cfRule type="cellIs" dxfId="816" priority="304" operator="equal">
      <formula>130</formula>
    </cfRule>
  </conditionalFormatting>
  <conditionalFormatting sqref="AE723">
    <cfRule type="cellIs" dxfId="815" priority="305" operator="equal">
      <formula>110</formula>
    </cfRule>
    <cfRule type="cellIs" dxfId="814" priority="306" operator="equal">
      <formula>160</formula>
    </cfRule>
    <cfRule type="cellIs" dxfId="813" priority="307" operator="equal">
      <formula>130</formula>
    </cfRule>
  </conditionalFormatting>
  <conditionalFormatting sqref="AE721">
    <cfRule type="cellIs" dxfId="812" priority="308" operator="equal">
      <formula>110</formula>
    </cfRule>
    <cfRule type="cellIs" dxfId="811" priority="309" operator="equal">
      <formula>160</formula>
    </cfRule>
    <cfRule type="cellIs" dxfId="810" priority="310" operator="equal">
      <formula>130</formula>
    </cfRule>
  </conditionalFormatting>
  <conditionalFormatting sqref="AE719">
    <cfRule type="cellIs" dxfId="809" priority="311" operator="equal">
      <formula>110</formula>
    </cfRule>
    <cfRule type="cellIs" dxfId="808" priority="312" operator="equal">
      <formula>160</formula>
    </cfRule>
    <cfRule type="cellIs" dxfId="807" priority="313" operator="equal">
      <formula>130</formula>
    </cfRule>
  </conditionalFormatting>
  <conditionalFormatting sqref="AE717">
    <cfRule type="cellIs" dxfId="806" priority="314" operator="equal">
      <formula>110</formula>
    </cfRule>
    <cfRule type="cellIs" dxfId="805" priority="315" operator="equal">
      <formula>160</formula>
    </cfRule>
    <cfRule type="cellIs" dxfId="804" priority="316" operator="equal">
      <formula>130</formula>
    </cfRule>
  </conditionalFormatting>
  <conditionalFormatting sqref="AE715">
    <cfRule type="cellIs" dxfId="803" priority="317" operator="equal">
      <formula>110</formula>
    </cfRule>
    <cfRule type="cellIs" dxfId="802" priority="318" operator="equal">
      <formula>160</formula>
    </cfRule>
    <cfRule type="cellIs" dxfId="801" priority="319" operator="equal">
      <formula>130</formula>
    </cfRule>
  </conditionalFormatting>
  <conditionalFormatting sqref="AE713">
    <cfRule type="cellIs" dxfId="800" priority="320" operator="equal">
      <formula>110</formula>
    </cfRule>
    <cfRule type="cellIs" dxfId="799" priority="321" operator="equal">
      <formula>160</formula>
    </cfRule>
    <cfRule type="cellIs" dxfId="798" priority="322" operator="equal">
      <formula>130</formula>
    </cfRule>
  </conditionalFormatting>
  <conditionalFormatting sqref="AE711">
    <cfRule type="cellIs" dxfId="797" priority="323" operator="equal">
      <formula>110</formula>
    </cfRule>
    <cfRule type="cellIs" dxfId="796" priority="324" operator="equal">
      <formula>160</formula>
    </cfRule>
    <cfRule type="cellIs" dxfId="795" priority="325" operator="equal">
      <formula>130</formula>
    </cfRule>
  </conditionalFormatting>
  <conditionalFormatting sqref="AE701">
    <cfRule type="cellIs" dxfId="794" priority="326" operator="equal">
      <formula>110</formula>
    </cfRule>
    <cfRule type="cellIs" dxfId="793" priority="327" operator="equal">
      <formula>160</formula>
    </cfRule>
    <cfRule type="cellIs" dxfId="792" priority="328" operator="equal">
      <formula>130</formula>
    </cfRule>
  </conditionalFormatting>
  <conditionalFormatting sqref="AE699">
    <cfRule type="cellIs" dxfId="791" priority="329" operator="equal">
      <formula>110</formula>
    </cfRule>
    <cfRule type="cellIs" dxfId="790" priority="330" operator="equal">
      <formula>160</formula>
    </cfRule>
    <cfRule type="cellIs" dxfId="789" priority="331" operator="equal">
      <formula>130</formula>
    </cfRule>
  </conditionalFormatting>
  <conditionalFormatting sqref="AE697">
    <cfRule type="cellIs" dxfId="788" priority="332" operator="equal">
      <formula>110</formula>
    </cfRule>
    <cfRule type="cellIs" dxfId="787" priority="333" operator="equal">
      <formula>160</formula>
    </cfRule>
    <cfRule type="cellIs" dxfId="786" priority="334" operator="equal">
      <formula>130</formula>
    </cfRule>
  </conditionalFormatting>
  <conditionalFormatting sqref="AE695">
    <cfRule type="cellIs" dxfId="785" priority="335" operator="equal">
      <formula>110</formula>
    </cfRule>
    <cfRule type="cellIs" dxfId="784" priority="336" operator="equal">
      <formula>160</formula>
    </cfRule>
    <cfRule type="cellIs" dxfId="783" priority="337" operator="equal">
      <formula>130</formula>
    </cfRule>
  </conditionalFormatting>
  <conditionalFormatting sqref="AE693">
    <cfRule type="cellIs" dxfId="782" priority="338" operator="equal">
      <formula>110</formula>
    </cfRule>
    <cfRule type="cellIs" dxfId="781" priority="339" operator="equal">
      <formula>160</formula>
    </cfRule>
    <cfRule type="cellIs" dxfId="780" priority="340" operator="equal">
      <formula>130</formula>
    </cfRule>
  </conditionalFormatting>
  <conditionalFormatting sqref="AE691">
    <cfRule type="cellIs" dxfId="779" priority="341" operator="equal">
      <formula>110</formula>
    </cfRule>
    <cfRule type="cellIs" dxfId="778" priority="342" operator="equal">
      <formula>160</formula>
    </cfRule>
    <cfRule type="cellIs" dxfId="777" priority="343" operator="equal">
      <formula>130</formula>
    </cfRule>
  </conditionalFormatting>
  <conditionalFormatting sqref="AE689">
    <cfRule type="cellIs" dxfId="776" priority="344" operator="equal">
      <formula>110</formula>
    </cfRule>
    <cfRule type="cellIs" dxfId="775" priority="345" operator="equal">
      <formula>160</formula>
    </cfRule>
    <cfRule type="cellIs" dxfId="774" priority="346" operator="equal">
      <formula>130</formula>
    </cfRule>
  </conditionalFormatting>
  <conditionalFormatting sqref="AE687">
    <cfRule type="cellIs" dxfId="773" priority="347" operator="equal">
      <formula>110</formula>
    </cfRule>
    <cfRule type="cellIs" dxfId="772" priority="348" operator="equal">
      <formula>160</formula>
    </cfRule>
    <cfRule type="cellIs" dxfId="771" priority="349" operator="equal">
      <formula>130</formula>
    </cfRule>
  </conditionalFormatting>
  <conditionalFormatting sqref="AE685">
    <cfRule type="cellIs" dxfId="770" priority="350" operator="equal">
      <formula>110</formula>
    </cfRule>
    <cfRule type="cellIs" dxfId="769" priority="351" operator="equal">
      <formula>160</formula>
    </cfRule>
    <cfRule type="cellIs" dxfId="768" priority="352" operator="equal">
      <formula>130</formula>
    </cfRule>
  </conditionalFormatting>
  <conditionalFormatting sqref="AE683">
    <cfRule type="cellIs" dxfId="767" priority="353" operator="equal">
      <formula>110</formula>
    </cfRule>
    <cfRule type="cellIs" dxfId="766" priority="354" operator="equal">
      <formula>160</formula>
    </cfRule>
    <cfRule type="cellIs" dxfId="765" priority="355" operator="equal">
      <formula>130</formula>
    </cfRule>
  </conditionalFormatting>
  <conditionalFormatting sqref="AE681">
    <cfRule type="cellIs" dxfId="764" priority="356" operator="equal">
      <formula>110</formula>
    </cfRule>
    <cfRule type="cellIs" dxfId="763" priority="357" operator="equal">
      <formula>160</formula>
    </cfRule>
    <cfRule type="cellIs" dxfId="762" priority="358" operator="equal">
      <formula>130</formula>
    </cfRule>
  </conditionalFormatting>
  <conditionalFormatting sqref="AE679">
    <cfRule type="cellIs" dxfId="761" priority="359" operator="equal">
      <formula>110</formula>
    </cfRule>
    <cfRule type="cellIs" dxfId="760" priority="360" operator="equal">
      <formula>160</formula>
    </cfRule>
    <cfRule type="cellIs" dxfId="759" priority="361" operator="equal">
      <formula>130</formula>
    </cfRule>
  </conditionalFormatting>
  <conditionalFormatting sqref="AE669">
    <cfRule type="cellIs" dxfId="758" priority="362" operator="equal">
      <formula>110</formula>
    </cfRule>
    <cfRule type="cellIs" dxfId="757" priority="363" operator="equal">
      <formula>160</formula>
    </cfRule>
    <cfRule type="cellIs" dxfId="756" priority="364" operator="equal">
      <formula>130</formula>
    </cfRule>
  </conditionalFormatting>
  <conditionalFormatting sqref="AE667">
    <cfRule type="cellIs" dxfId="755" priority="365" operator="equal">
      <formula>110</formula>
    </cfRule>
    <cfRule type="cellIs" dxfId="754" priority="366" operator="equal">
      <formula>160</formula>
    </cfRule>
    <cfRule type="cellIs" dxfId="753" priority="367" operator="equal">
      <formula>130</formula>
    </cfRule>
  </conditionalFormatting>
  <conditionalFormatting sqref="AE665">
    <cfRule type="cellIs" dxfId="752" priority="368" operator="equal">
      <formula>110</formula>
    </cfRule>
    <cfRule type="cellIs" dxfId="751" priority="369" operator="equal">
      <formula>160</formula>
    </cfRule>
    <cfRule type="cellIs" dxfId="750" priority="370" operator="equal">
      <formula>130</formula>
    </cfRule>
  </conditionalFormatting>
  <conditionalFormatting sqref="AE663">
    <cfRule type="cellIs" dxfId="749" priority="371" operator="equal">
      <formula>110</formula>
    </cfRule>
    <cfRule type="cellIs" dxfId="748" priority="372" operator="equal">
      <formula>160</formula>
    </cfRule>
    <cfRule type="cellIs" dxfId="747" priority="373" operator="equal">
      <formula>130</formula>
    </cfRule>
  </conditionalFormatting>
  <conditionalFormatting sqref="AE661">
    <cfRule type="cellIs" dxfId="746" priority="374" operator="equal">
      <formula>110</formula>
    </cfRule>
    <cfRule type="cellIs" dxfId="745" priority="375" operator="equal">
      <formula>160</formula>
    </cfRule>
    <cfRule type="cellIs" dxfId="744" priority="376" operator="equal">
      <formula>130</formula>
    </cfRule>
  </conditionalFormatting>
  <conditionalFormatting sqref="AE659">
    <cfRule type="cellIs" dxfId="743" priority="377" operator="equal">
      <formula>110</formula>
    </cfRule>
    <cfRule type="cellIs" dxfId="742" priority="378" operator="equal">
      <formula>160</formula>
    </cfRule>
    <cfRule type="cellIs" dxfId="741" priority="379" operator="equal">
      <formula>130</formula>
    </cfRule>
  </conditionalFormatting>
  <conditionalFormatting sqref="AE657">
    <cfRule type="cellIs" dxfId="740" priority="380" operator="equal">
      <formula>110</formula>
    </cfRule>
    <cfRule type="cellIs" dxfId="739" priority="381" operator="equal">
      <formula>160</formula>
    </cfRule>
    <cfRule type="cellIs" dxfId="738" priority="382" operator="equal">
      <formula>130</formula>
    </cfRule>
  </conditionalFormatting>
  <conditionalFormatting sqref="AE655">
    <cfRule type="cellIs" dxfId="737" priority="383" operator="equal">
      <formula>110</formula>
    </cfRule>
    <cfRule type="cellIs" dxfId="736" priority="384" operator="equal">
      <formula>160</formula>
    </cfRule>
    <cfRule type="cellIs" dxfId="735" priority="385" operator="equal">
      <formula>130</formula>
    </cfRule>
  </conditionalFormatting>
  <conditionalFormatting sqref="AE653">
    <cfRule type="cellIs" dxfId="734" priority="386" operator="equal">
      <formula>110</formula>
    </cfRule>
    <cfRule type="cellIs" dxfId="733" priority="387" operator="equal">
      <formula>160</formula>
    </cfRule>
    <cfRule type="cellIs" dxfId="732" priority="388" operator="equal">
      <formula>130</formula>
    </cfRule>
  </conditionalFormatting>
  <conditionalFormatting sqref="AE651">
    <cfRule type="cellIs" dxfId="731" priority="389" operator="equal">
      <formula>110</formula>
    </cfRule>
    <cfRule type="cellIs" dxfId="730" priority="390" operator="equal">
      <formula>160</formula>
    </cfRule>
    <cfRule type="cellIs" dxfId="729" priority="391" operator="equal">
      <formula>130</formula>
    </cfRule>
  </conditionalFormatting>
  <conditionalFormatting sqref="AE649">
    <cfRule type="cellIs" dxfId="728" priority="392" operator="equal">
      <formula>110</formula>
    </cfRule>
    <cfRule type="cellIs" dxfId="727" priority="393" operator="equal">
      <formula>160</formula>
    </cfRule>
    <cfRule type="cellIs" dxfId="726" priority="394" operator="equal">
      <formula>130</formula>
    </cfRule>
  </conditionalFormatting>
  <conditionalFormatting sqref="AE647">
    <cfRule type="cellIs" dxfId="725" priority="395" operator="equal">
      <formula>110</formula>
    </cfRule>
    <cfRule type="cellIs" dxfId="724" priority="396" operator="equal">
      <formula>160</formula>
    </cfRule>
    <cfRule type="cellIs" dxfId="723" priority="397" operator="equal">
      <formula>130</formula>
    </cfRule>
  </conditionalFormatting>
  <conditionalFormatting sqref="AE637">
    <cfRule type="cellIs" dxfId="722" priority="398" operator="equal">
      <formula>110</formula>
    </cfRule>
    <cfRule type="cellIs" dxfId="721" priority="399" operator="equal">
      <formula>160</formula>
    </cfRule>
    <cfRule type="cellIs" dxfId="720" priority="400" operator="equal">
      <formula>130</formula>
    </cfRule>
  </conditionalFormatting>
  <conditionalFormatting sqref="AE635">
    <cfRule type="cellIs" dxfId="719" priority="401" operator="equal">
      <formula>110</formula>
    </cfRule>
    <cfRule type="cellIs" dxfId="718" priority="402" operator="equal">
      <formula>160</formula>
    </cfRule>
    <cfRule type="cellIs" dxfId="717" priority="403" operator="equal">
      <formula>130</formula>
    </cfRule>
  </conditionalFormatting>
  <conditionalFormatting sqref="AE633">
    <cfRule type="cellIs" dxfId="716" priority="404" operator="equal">
      <formula>110</formula>
    </cfRule>
    <cfRule type="cellIs" dxfId="715" priority="405" operator="equal">
      <formula>160</formula>
    </cfRule>
    <cfRule type="cellIs" dxfId="714" priority="406" operator="equal">
      <formula>130</formula>
    </cfRule>
  </conditionalFormatting>
  <conditionalFormatting sqref="AE631">
    <cfRule type="cellIs" dxfId="713" priority="407" operator="equal">
      <formula>110</formula>
    </cfRule>
    <cfRule type="cellIs" dxfId="712" priority="408" operator="equal">
      <formula>160</formula>
    </cfRule>
    <cfRule type="cellIs" dxfId="711" priority="409" operator="equal">
      <formula>130</formula>
    </cfRule>
  </conditionalFormatting>
  <conditionalFormatting sqref="AE629">
    <cfRule type="cellIs" dxfId="710" priority="410" operator="equal">
      <formula>110</formula>
    </cfRule>
    <cfRule type="cellIs" dxfId="709" priority="411" operator="equal">
      <formula>160</formula>
    </cfRule>
    <cfRule type="cellIs" dxfId="708" priority="412" operator="equal">
      <formula>130</formula>
    </cfRule>
  </conditionalFormatting>
  <conditionalFormatting sqref="AE627">
    <cfRule type="cellIs" dxfId="707" priority="413" operator="equal">
      <formula>110</formula>
    </cfRule>
    <cfRule type="cellIs" dxfId="706" priority="414" operator="equal">
      <formula>160</formula>
    </cfRule>
    <cfRule type="cellIs" dxfId="705" priority="415" operator="equal">
      <formula>130</formula>
    </cfRule>
  </conditionalFormatting>
  <conditionalFormatting sqref="AE625">
    <cfRule type="cellIs" dxfId="704" priority="416" operator="equal">
      <formula>110</formula>
    </cfRule>
    <cfRule type="cellIs" dxfId="703" priority="417" operator="equal">
      <formula>160</formula>
    </cfRule>
    <cfRule type="cellIs" dxfId="702" priority="418" operator="equal">
      <formula>130</formula>
    </cfRule>
  </conditionalFormatting>
  <conditionalFormatting sqref="AE623">
    <cfRule type="cellIs" dxfId="701" priority="419" operator="equal">
      <formula>110</formula>
    </cfRule>
    <cfRule type="cellIs" dxfId="700" priority="420" operator="equal">
      <formula>160</formula>
    </cfRule>
    <cfRule type="cellIs" dxfId="699" priority="421" operator="equal">
      <formula>130</formula>
    </cfRule>
  </conditionalFormatting>
  <conditionalFormatting sqref="AE621">
    <cfRule type="cellIs" dxfId="698" priority="422" operator="equal">
      <formula>110</formula>
    </cfRule>
    <cfRule type="cellIs" dxfId="697" priority="423" operator="equal">
      <formula>160</formula>
    </cfRule>
    <cfRule type="cellIs" dxfId="696" priority="424" operator="equal">
      <formula>130</formula>
    </cfRule>
  </conditionalFormatting>
  <conditionalFormatting sqref="AE619">
    <cfRule type="cellIs" dxfId="695" priority="425" operator="equal">
      <formula>110</formula>
    </cfRule>
    <cfRule type="cellIs" dxfId="694" priority="426" operator="equal">
      <formula>160</formula>
    </cfRule>
    <cfRule type="cellIs" dxfId="693" priority="427" operator="equal">
      <formula>130</formula>
    </cfRule>
  </conditionalFormatting>
  <conditionalFormatting sqref="AE617">
    <cfRule type="cellIs" dxfId="692" priority="428" operator="equal">
      <formula>110</formula>
    </cfRule>
    <cfRule type="cellIs" dxfId="691" priority="429" operator="equal">
      <formula>160</formula>
    </cfRule>
    <cfRule type="cellIs" dxfId="690" priority="430" operator="equal">
      <formula>130</formula>
    </cfRule>
  </conditionalFormatting>
  <conditionalFormatting sqref="AE615">
    <cfRule type="cellIs" dxfId="689" priority="431" operator="equal">
      <formula>110</formula>
    </cfRule>
    <cfRule type="cellIs" dxfId="688" priority="432" operator="equal">
      <formula>160</formula>
    </cfRule>
    <cfRule type="cellIs" dxfId="687" priority="433" operator="equal">
      <formula>130</formula>
    </cfRule>
  </conditionalFormatting>
  <conditionalFormatting sqref="AE605">
    <cfRule type="cellIs" dxfId="686" priority="434" operator="equal">
      <formula>110</formula>
    </cfRule>
    <cfRule type="cellIs" dxfId="685" priority="435" operator="equal">
      <formula>160</formula>
    </cfRule>
    <cfRule type="cellIs" dxfId="684" priority="436" operator="equal">
      <formula>130</formula>
    </cfRule>
  </conditionalFormatting>
  <conditionalFormatting sqref="AE603">
    <cfRule type="cellIs" dxfId="683" priority="437" operator="equal">
      <formula>110</formula>
    </cfRule>
    <cfRule type="cellIs" dxfId="682" priority="438" operator="equal">
      <formula>160</formula>
    </cfRule>
    <cfRule type="cellIs" dxfId="681" priority="439" operator="equal">
      <formula>130</formula>
    </cfRule>
  </conditionalFormatting>
  <conditionalFormatting sqref="AE601">
    <cfRule type="cellIs" dxfId="680" priority="440" operator="equal">
      <formula>110</formula>
    </cfRule>
    <cfRule type="cellIs" dxfId="679" priority="441" operator="equal">
      <formula>160</formula>
    </cfRule>
    <cfRule type="cellIs" dxfId="678" priority="442" operator="equal">
      <formula>130</formula>
    </cfRule>
  </conditionalFormatting>
  <conditionalFormatting sqref="AE599">
    <cfRule type="cellIs" dxfId="677" priority="443" operator="equal">
      <formula>110</formula>
    </cfRule>
    <cfRule type="cellIs" dxfId="676" priority="444" operator="equal">
      <formula>160</formula>
    </cfRule>
    <cfRule type="cellIs" dxfId="675" priority="445" operator="equal">
      <formula>130</formula>
    </cfRule>
  </conditionalFormatting>
  <conditionalFormatting sqref="AE597">
    <cfRule type="cellIs" dxfId="674" priority="446" operator="equal">
      <formula>110</formula>
    </cfRule>
    <cfRule type="cellIs" dxfId="673" priority="447" operator="equal">
      <formula>160</formula>
    </cfRule>
    <cfRule type="cellIs" dxfId="672" priority="448" operator="equal">
      <formula>130</formula>
    </cfRule>
  </conditionalFormatting>
  <conditionalFormatting sqref="AE595">
    <cfRule type="cellIs" dxfId="671" priority="449" operator="equal">
      <formula>110</formula>
    </cfRule>
    <cfRule type="cellIs" dxfId="670" priority="450" operator="equal">
      <formula>160</formula>
    </cfRule>
    <cfRule type="cellIs" dxfId="669" priority="451" operator="equal">
      <formula>130</formula>
    </cfRule>
  </conditionalFormatting>
  <conditionalFormatting sqref="AE593">
    <cfRule type="cellIs" dxfId="668" priority="452" operator="equal">
      <formula>110</formula>
    </cfRule>
    <cfRule type="cellIs" dxfId="667" priority="453" operator="equal">
      <formula>160</formula>
    </cfRule>
    <cfRule type="cellIs" dxfId="666" priority="454" operator="equal">
      <formula>130</formula>
    </cfRule>
  </conditionalFormatting>
  <conditionalFormatting sqref="AE591">
    <cfRule type="cellIs" dxfId="665" priority="455" operator="equal">
      <formula>110</formula>
    </cfRule>
    <cfRule type="cellIs" dxfId="664" priority="456" operator="equal">
      <formula>160</formula>
    </cfRule>
    <cfRule type="cellIs" dxfId="663" priority="457" operator="equal">
      <formula>130</formula>
    </cfRule>
  </conditionalFormatting>
  <conditionalFormatting sqref="AE589">
    <cfRule type="cellIs" dxfId="662" priority="458" operator="equal">
      <formula>110</formula>
    </cfRule>
    <cfRule type="cellIs" dxfId="661" priority="459" operator="equal">
      <formula>160</formula>
    </cfRule>
    <cfRule type="cellIs" dxfId="660" priority="460" operator="equal">
      <formula>130</formula>
    </cfRule>
  </conditionalFormatting>
  <conditionalFormatting sqref="AE587">
    <cfRule type="cellIs" dxfId="659" priority="461" operator="equal">
      <formula>110</formula>
    </cfRule>
    <cfRule type="cellIs" dxfId="658" priority="462" operator="equal">
      <formula>160</formula>
    </cfRule>
    <cfRule type="cellIs" dxfId="657" priority="463" operator="equal">
      <formula>130</formula>
    </cfRule>
  </conditionalFormatting>
  <conditionalFormatting sqref="AE585">
    <cfRule type="cellIs" dxfId="656" priority="464" operator="equal">
      <formula>110</formula>
    </cfRule>
    <cfRule type="cellIs" dxfId="655" priority="465" operator="equal">
      <formula>160</formula>
    </cfRule>
    <cfRule type="cellIs" dxfId="654" priority="466" operator="equal">
      <formula>130</formula>
    </cfRule>
  </conditionalFormatting>
  <conditionalFormatting sqref="AE583">
    <cfRule type="cellIs" dxfId="653" priority="467" operator="equal">
      <formula>110</formula>
    </cfRule>
    <cfRule type="cellIs" dxfId="652" priority="468" operator="equal">
      <formula>160</formula>
    </cfRule>
    <cfRule type="cellIs" dxfId="651" priority="469" operator="equal">
      <formula>130</formula>
    </cfRule>
  </conditionalFormatting>
  <conditionalFormatting sqref="AE573">
    <cfRule type="cellIs" dxfId="650" priority="470" operator="equal">
      <formula>110</formula>
    </cfRule>
    <cfRule type="cellIs" dxfId="649" priority="471" operator="equal">
      <formula>160</formula>
    </cfRule>
    <cfRule type="cellIs" dxfId="648" priority="472" operator="equal">
      <formula>130</formula>
    </cfRule>
  </conditionalFormatting>
  <conditionalFormatting sqref="AE571">
    <cfRule type="cellIs" dxfId="647" priority="473" operator="equal">
      <formula>110</formula>
    </cfRule>
    <cfRule type="cellIs" dxfId="646" priority="474" operator="equal">
      <formula>160</formula>
    </cfRule>
    <cfRule type="cellIs" dxfId="645" priority="475" operator="equal">
      <formula>130</formula>
    </cfRule>
  </conditionalFormatting>
  <conditionalFormatting sqref="AE569">
    <cfRule type="cellIs" dxfId="644" priority="476" operator="equal">
      <formula>110</formula>
    </cfRule>
    <cfRule type="cellIs" dxfId="643" priority="477" operator="equal">
      <formula>160</formula>
    </cfRule>
    <cfRule type="cellIs" dxfId="642" priority="478" operator="equal">
      <formula>130</formula>
    </cfRule>
  </conditionalFormatting>
  <conditionalFormatting sqref="AE567">
    <cfRule type="cellIs" dxfId="641" priority="479" operator="equal">
      <formula>110</formula>
    </cfRule>
    <cfRule type="cellIs" dxfId="640" priority="480" operator="equal">
      <formula>160</formula>
    </cfRule>
    <cfRule type="cellIs" dxfId="639" priority="481" operator="equal">
      <formula>130</formula>
    </cfRule>
  </conditionalFormatting>
  <conditionalFormatting sqref="AE565">
    <cfRule type="cellIs" dxfId="638" priority="482" operator="equal">
      <formula>110</formula>
    </cfRule>
    <cfRule type="cellIs" dxfId="637" priority="483" operator="equal">
      <formula>160</formula>
    </cfRule>
    <cfRule type="cellIs" dxfId="636" priority="484" operator="equal">
      <formula>130</formula>
    </cfRule>
  </conditionalFormatting>
  <conditionalFormatting sqref="AE563">
    <cfRule type="cellIs" dxfId="635" priority="485" operator="equal">
      <formula>110</formula>
    </cfRule>
    <cfRule type="cellIs" dxfId="634" priority="486" operator="equal">
      <formula>160</formula>
    </cfRule>
    <cfRule type="cellIs" dxfId="633" priority="487" operator="equal">
      <formula>130</formula>
    </cfRule>
  </conditionalFormatting>
  <conditionalFormatting sqref="AE561">
    <cfRule type="cellIs" dxfId="632" priority="488" operator="equal">
      <formula>110</formula>
    </cfRule>
    <cfRule type="cellIs" dxfId="631" priority="489" operator="equal">
      <formula>160</formula>
    </cfRule>
    <cfRule type="cellIs" dxfId="630" priority="490" operator="equal">
      <formula>130</formula>
    </cfRule>
  </conditionalFormatting>
  <conditionalFormatting sqref="AE559">
    <cfRule type="cellIs" dxfId="629" priority="491" operator="equal">
      <formula>110</formula>
    </cfRule>
    <cfRule type="cellIs" dxfId="628" priority="492" operator="equal">
      <formula>160</formula>
    </cfRule>
    <cfRule type="cellIs" dxfId="627" priority="493" operator="equal">
      <formula>130</formula>
    </cfRule>
  </conditionalFormatting>
  <conditionalFormatting sqref="AE557">
    <cfRule type="cellIs" dxfId="626" priority="494" operator="equal">
      <formula>110</formula>
    </cfRule>
    <cfRule type="cellIs" dxfId="625" priority="495" operator="equal">
      <formula>160</formula>
    </cfRule>
    <cfRule type="cellIs" dxfId="624" priority="496" operator="equal">
      <formula>130</formula>
    </cfRule>
  </conditionalFormatting>
  <conditionalFormatting sqref="AE555">
    <cfRule type="cellIs" dxfId="623" priority="497" operator="equal">
      <formula>110</formula>
    </cfRule>
    <cfRule type="cellIs" dxfId="622" priority="498" operator="equal">
      <formula>160</formula>
    </cfRule>
    <cfRule type="cellIs" dxfId="621" priority="499" operator="equal">
      <formula>130</formula>
    </cfRule>
  </conditionalFormatting>
  <conditionalFormatting sqref="AE553">
    <cfRule type="cellIs" dxfId="620" priority="500" operator="equal">
      <formula>110</formula>
    </cfRule>
    <cfRule type="cellIs" dxfId="619" priority="501" operator="equal">
      <formula>160</formula>
    </cfRule>
    <cfRule type="cellIs" dxfId="618" priority="502" operator="equal">
      <formula>130</formula>
    </cfRule>
  </conditionalFormatting>
  <conditionalFormatting sqref="AE551">
    <cfRule type="cellIs" dxfId="617" priority="503" operator="equal">
      <formula>110</formula>
    </cfRule>
    <cfRule type="cellIs" dxfId="616" priority="504" operator="equal">
      <formula>160</formula>
    </cfRule>
    <cfRule type="cellIs" dxfId="615" priority="505" operator="equal">
      <formula>130</formula>
    </cfRule>
  </conditionalFormatting>
  <conditionalFormatting sqref="AE541">
    <cfRule type="cellIs" dxfId="614" priority="506" operator="equal">
      <formula>110</formula>
    </cfRule>
    <cfRule type="cellIs" dxfId="613" priority="507" operator="equal">
      <formula>160</formula>
    </cfRule>
    <cfRule type="cellIs" dxfId="612" priority="508" operator="equal">
      <formula>130</formula>
    </cfRule>
  </conditionalFormatting>
  <conditionalFormatting sqref="AE539">
    <cfRule type="cellIs" dxfId="611" priority="509" operator="equal">
      <formula>110</formula>
    </cfRule>
    <cfRule type="cellIs" dxfId="610" priority="510" operator="equal">
      <formula>160</formula>
    </cfRule>
    <cfRule type="cellIs" dxfId="609" priority="511" operator="equal">
      <formula>130</formula>
    </cfRule>
  </conditionalFormatting>
  <conditionalFormatting sqref="AE537">
    <cfRule type="cellIs" dxfId="608" priority="512" operator="equal">
      <formula>110</formula>
    </cfRule>
    <cfRule type="cellIs" dxfId="607" priority="513" operator="equal">
      <formula>160</formula>
    </cfRule>
    <cfRule type="cellIs" dxfId="606" priority="514" operator="equal">
      <formula>130</formula>
    </cfRule>
  </conditionalFormatting>
  <conditionalFormatting sqref="AE535">
    <cfRule type="cellIs" dxfId="605" priority="515" operator="equal">
      <formula>110</formula>
    </cfRule>
    <cfRule type="cellIs" dxfId="604" priority="516" operator="equal">
      <formula>160</formula>
    </cfRule>
    <cfRule type="cellIs" dxfId="603" priority="517" operator="equal">
      <formula>130</formula>
    </cfRule>
  </conditionalFormatting>
  <conditionalFormatting sqref="AE533">
    <cfRule type="cellIs" dxfId="602" priority="518" operator="equal">
      <formula>110</formula>
    </cfRule>
    <cfRule type="cellIs" dxfId="601" priority="519" operator="equal">
      <formula>160</formula>
    </cfRule>
    <cfRule type="cellIs" dxfId="600" priority="520" operator="equal">
      <formula>130</formula>
    </cfRule>
  </conditionalFormatting>
  <conditionalFormatting sqref="AE531">
    <cfRule type="cellIs" dxfId="599" priority="521" operator="equal">
      <formula>110</formula>
    </cfRule>
    <cfRule type="cellIs" dxfId="598" priority="522" operator="equal">
      <formula>160</formula>
    </cfRule>
    <cfRule type="cellIs" dxfId="597" priority="523" operator="equal">
      <formula>130</formula>
    </cfRule>
  </conditionalFormatting>
  <conditionalFormatting sqref="AE529">
    <cfRule type="cellIs" dxfId="596" priority="524" operator="equal">
      <formula>110</formula>
    </cfRule>
    <cfRule type="cellIs" dxfId="595" priority="525" operator="equal">
      <formula>160</formula>
    </cfRule>
    <cfRule type="cellIs" dxfId="594" priority="526" operator="equal">
      <formula>130</formula>
    </cfRule>
  </conditionalFormatting>
  <conditionalFormatting sqref="AE527">
    <cfRule type="cellIs" dxfId="593" priority="527" operator="equal">
      <formula>110</formula>
    </cfRule>
    <cfRule type="cellIs" dxfId="592" priority="528" operator="equal">
      <formula>160</formula>
    </cfRule>
    <cfRule type="cellIs" dxfId="591" priority="529" operator="equal">
      <formula>130</formula>
    </cfRule>
  </conditionalFormatting>
  <conditionalFormatting sqref="AE525">
    <cfRule type="cellIs" dxfId="590" priority="530" operator="equal">
      <formula>110</formula>
    </cfRule>
    <cfRule type="cellIs" dxfId="589" priority="531" operator="equal">
      <formula>160</formula>
    </cfRule>
    <cfRule type="cellIs" dxfId="588" priority="532" operator="equal">
      <formula>130</formula>
    </cfRule>
  </conditionalFormatting>
  <conditionalFormatting sqref="AE523">
    <cfRule type="cellIs" dxfId="587" priority="533" operator="equal">
      <formula>110</formula>
    </cfRule>
    <cfRule type="cellIs" dxfId="586" priority="534" operator="equal">
      <formula>160</formula>
    </cfRule>
    <cfRule type="cellIs" dxfId="585" priority="535" operator="equal">
      <formula>130</formula>
    </cfRule>
  </conditionalFormatting>
  <conditionalFormatting sqref="AE521">
    <cfRule type="cellIs" dxfId="584" priority="536" operator="equal">
      <formula>110</formula>
    </cfRule>
    <cfRule type="cellIs" dxfId="583" priority="537" operator="equal">
      <formula>160</formula>
    </cfRule>
    <cfRule type="cellIs" dxfId="582" priority="538" operator="equal">
      <formula>130</formula>
    </cfRule>
  </conditionalFormatting>
  <conditionalFormatting sqref="AE519">
    <cfRule type="cellIs" dxfId="581" priority="539" operator="equal">
      <formula>110</formula>
    </cfRule>
    <cfRule type="cellIs" dxfId="580" priority="540" operator="equal">
      <formula>160</formula>
    </cfRule>
    <cfRule type="cellIs" dxfId="579" priority="541" operator="equal">
      <formula>130</formula>
    </cfRule>
  </conditionalFormatting>
  <conditionalFormatting sqref="AC509:AF509">
    <cfRule type="cellIs" dxfId="578" priority="542" operator="equal">
      <formula>110</formula>
    </cfRule>
    <cfRule type="cellIs" dxfId="577" priority="543" operator="equal">
      <formula>160</formula>
    </cfRule>
    <cfRule type="cellIs" dxfId="576" priority="544" operator="equal">
      <formula>130</formula>
    </cfRule>
  </conditionalFormatting>
  <conditionalFormatting sqref="AC507:AF507">
    <cfRule type="cellIs" dxfId="575" priority="545" operator="equal">
      <formula>110</formula>
    </cfRule>
    <cfRule type="cellIs" dxfId="574" priority="546" operator="equal">
      <formula>160</formula>
    </cfRule>
    <cfRule type="cellIs" dxfId="573" priority="547" operator="equal">
      <formula>130</formula>
    </cfRule>
  </conditionalFormatting>
  <conditionalFormatting sqref="AC505:AF505">
    <cfRule type="cellIs" dxfId="572" priority="548" operator="equal">
      <formula>110</formula>
    </cfRule>
    <cfRule type="cellIs" dxfId="571" priority="549" operator="equal">
      <formula>160</formula>
    </cfRule>
    <cfRule type="cellIs" dxfId="570" priority="550" operator="equal">
      <formula>130</formula>
    </cfRule>
  </conditionalFormatting>
  <conditionalFormatting sqref="AC503:AF503">
    <cfRule type="cellIs" dxfId="569" priority="551" operator="equal">
      <formula>110</formula>
    </cfRule>
    <cfRule type="cellIs" dxfId="568" priority="552" operator="equal">
      <formula>160</formula>
    </cfRule>
    <cfRule type="cellIs" dxfId="567" priority="553" operator="equal">
      <formula>130</formula>
    </cfRule>
  </conditionalFormatting>
  <conditionalFormatting sqref="AC501:AF501">
    <cfRule type="cellIs" dxfId="566" priority="554" operator="equal">
      <formula>110</formula>
    </cfRule>
    <cfRule type="cellIs" dxfId="565" priority="555" operator="equal">
      <formula>160</formula>
    </cfRule>
    <cfRule type="cellIs" dxfId="564" priority="556" operator="equal">
      <formula>130</formula>
    </cfRule>
  </conditionalFormatting>
  <conditionalFormatting sqref="AE499">
    <cfRule type="cellIs" dxfId="563" priority="557" operator="equal">
      <formula>110</formula>
    </cfRule>
    <cfRule type="cellIs" dxfId="562" priority="558" operator="equal">
      <formula>160</formula>
    </cfRule>
    <cfRule type="cellIs" dxfId="561" priority="559" operator="equal">
      <formula>130</formula>
    </cfRule>
  </conditionalFormatting>
  <conditionalFormatting sqref="AE497">
    <cfRule type="cellIs" dxfId="560" priority="560" operator="equal">
      <formula>110</formula>
    </cfRule>
    <cfRule type="cellIs" dxfId="559" priority="561" operator="equal">
      <formula>160</formula>
    </cfRule>
    <cfRule type="cellIs" dxfId="558" priority="562" operator="equal">
      <formula>130</formula>
    </cfRule>
  </conditionalFormatting>
  <conditionalFormatting sqref="AE495">
    <cfRule type="cellIs" dxfId="557" priority="563" operator="equal">
      <formula>110</formula>
    </cfRule>
    <cfRule type="cellIs" dxfId="556" priority="564" operator="equal">
      <formula>160</formula>
    </cfRule>
    <cfRule type="cellIs" dxfId="555" priority="565" operator="equal">
      <formula>130</formula>
    </cfRule>
  </conditionalFormatting>
  <conditionalFormatting sqref="AE493">
    <cfRule type="cellIs" dxfId="554" priority="566" operator="equal">
      <formula>110</formula>
    </cfRule>
    <cfRule type="cellIs" dxfId="553" priority="567" operator="equal">
      <formula>160</formula>
    </cfRule>
    <cfRule type="cellIs" dxfId="552" priority="568" operator="equal">
      <formula>130</formula>
    </cfRule>
  </conditionalFormatting>
  <conditionalFormatting sqref="AE491">
    <cfRule type="cellIs" dxfId="551" priority="569" operator="equal">
      <formula>110</formula>
    </cfRule>
    <cfRule type="cellIs" dxfId="550" priority="570" operator="equal">
      <formula>160</formula>
    </cfRule>
    <cfRule type="cellIs" dxfId="549" priority="571" operator="equal">
      <formula>130</formula>
    </cfRule>
  </conditionalFormatting>
  <conditionalFormatting sqref="AE489">
    <cfRule type="cellIs" dxfId="548" priority="572" operator="equal">
      <formula>110</formula>
    </cfRule>
    <cfRule type="cellIs" dxfId="547" priority="573" operator="equal">
      <formula>160</formula>
    </cfRule>
    <cfRule type="cellIs" dxfId="546" priority="574" operator="equal">
      <formula>130</formula>
    </cfRule>
  </conditionalFormatting>
  <conditionalFormatting sqref="AE487">
    <cfRule type="cellIs" dxfId="545" priority="575" operator="equal">
      <formula>110</formula>
    </cfRule>
    <cfRule type="cellIs" dxfId="544" priority="576" operator="equal">
      <formula>160</formula>
    </cfRule>
    <cfRule type="cellIs" dxfId="543" priority="577" operator="equal">
      <formula>130</formula>
    </cfRule>
  </conditionalFormatting>
  <conditionalFormatting sqref="AC477:AF477">
    <cfRule type="cellIs" dxfId="542" priority="578" operator="equal">
      <formula>110</formula>
    </cfRule>
    <cfRule type="cellIs" dxfId="541" priority="579" operator="equal">
      <formula>160</formula>
    </cfRule>
    <cfRule type="cellIs" dxfId="540" priority="580" operator="equal">
      <formula>130</formula>
    </cfRule>
  </conditionalFormatting>
  <conditionalFormatting sqref="AC475:AF475">
    <cfRule type="cellIs" dxfId="539" priority="581" operator="equal">
      <formula>110</formula>
    </cfRule>
    <cfRule type="cellIs" dxfId="538" priority="582" operator="equal">
      <formula>160</formula>
    </cfRule>
    <cfRule type="cellIs" dxfId="537" priority="583" operator="equal">
      <formula>130</formula>
    </cfRule>
  </conditionalFormatting>
  <conditionalFormatting sqref="AC473:AF473">
    <cfRule type="cellIs" dxfId="536" priority="584" operator="equal">
      <formula>110</formula>
    </cfRule>
    <cfRule type="cellIs" dxfId="535" priority="585" operator="equal">
      <formula>160</formula>
    </cfRule>
    <cfRule type="cellIs" dxfId="534" priority="586" operator="equal">
      <formula>130</formula>
    </cfRule>
  </conditionalFormatting>
  <conditionalFormatting sqref="AC471:AF471">
    <cfRule type="cellIs" dxfId="533" priority="587" operator="equal">
      <formula>110</formula>
    </cfRule>
    <cfRule type="cellIs" dxfId="532" priority="588" operator="equal">
      <formula>160</formula>
    </cfRule>
    <cfRule type="cellIs" dxfId="531" priority="589" operator="equal">
      <formula>130</formula>
    </cfRule>
  </conditionalFormatting>
  <conditionalFormatting sqref="AC469:AF469">
    <cfRule type="cellIs" dxfId="530" priority="590" operator="equal">
      <formula>110</formula>
    </cfRule>
    <cfRule type="cellIs" dxfId="529" priority="591" operator="equal">
      <formula>160</formula>
    </cfRule>
    <cfRule type="cellIs" dxfId="528" priority="592" operator="equal">
      <formula>130</formula>
    </cfRule>
  </conditionalFormatting>
  <conditionalFormatting sqref="AC467:AF467">
    <cfRule type="cellIs" dxfId="527" priority="593" operator="equal">
      <formula>110</formula>
    </cfRule>
    <cfRule type="cellIs" dxfId="526" priority="594" operator="equal">
      <formula>160</formula>
    </cfRule>
    <cfRule type="cellIs" dxfId="525" priority="595" operator="equal">
      <formula>130</formula>
    </cfRule>
  </conditionalFormatting>
  <conditionalFormatting sqref="AC465:AF465">
    <cfRule type="cellIs" dxfId="524" priority="596" operator="equal">
      <formula>110</formula>
    </cfRule>
    <cfRule type="cellIs" dxfId="523" priority="597" operator="equal">
      <formula>160</formula>
    </cfRule>
    <cfRule type="cellIs" dxfId="522" priority="598" operator="equal">
      <formula>130</formula>
    </cfRule>
  </conditionalFormatting>
  <conditionalFormatting sqref="AC463:AF463">
    <cfRule type="cellIs" dxfId="521" priority="599" operator="equal">
      <formula>110</formula>
    </cfRule>
    <cfRule type="cellIs" dxfId="520" priority="600" operator="equal">
      <formula>160</formula>
    </cfRule>
    <cfRule type="cellIs" dxfId="519" priority="601" operator="equal">
      <formula>130</formula>
    </cfRule>
  </conditionalFormatting>
  <conditionalFormatting sqref="AC461:AF461">
    <cfRule type="cellIs" dxfId="518" priority="602" operator="equal">
      <formula>110</formula>
    </cfRule>
    <cfRule type="cellIs" dxfId="517" priority="603" operator="equal">
      <formula>160</formula>
    </cfRule>
    <cfRule type="cellIs" dxfId="516" priority="604" operator="equal">
      <formula>130</formula>
    </cfRule>
  </conditionalFormatting>
  <conditionalFormatting sqref="AC459:AF459">
    <cfRule type="cellIs" dxfId="515" priority="605" operator="equal">
      <formula>110</formula>
    </cfRule>
    <cfRule type="cellIs" dxfId="514" priority="606" operator="equal">
      <formula>160</formula>
    </cfRule>
    <cfRule type="cellIs" dxfId="513" priority="607" operator="equal">
      <formula>130</formula>
    </cfRule>
  </conditionalFormatting>
  <conditionalFormatting sqref="AC457:AF457">
    <cfRule type="cellIs" dxfId="512" priority="608" operator="equal">
      <formula>110</formula>
    </cfRule>
    <cfRule type="cellIs" dxfId="511" priority="609" operator="equal">
      <formula>160</formula>
    </cfRule>
    <cfRule type="cellIs" dxfId="510" priority="610" operator="equal">
      <formula>130</formula>
    </cfRule>
  </conditionalFormatting>
  <conditionalFormatting sqref="AE455">
    <cfRule type="cellIs" dxfId="509" priority="611" operator="equal">
      <formula>110</formula>
    </cfRule>
    <cfRule type="cellIs" dxfId="508" priority="612" operator="equal">
      <formula>160</formula>
    </cfRule>
    <cfRule type="cellIs" dxfId="507" priority="613" operator="equal">
      <formula>130</formula>
    </cfRule>
  </conditionalFormatting>
  <conditionalFormatting sqref="AE445">
    <cfRule type="cellIs" dxfId="506" priority="614" operator="equal">
      <formula>110</formula>
    </cfRule>
    <cfRule type="cellIs" dxfId="505" priority="615" operator="equal">
      <formula>160</formula>
    </cfRule>
    <cfRule type="cellIs" dxfId="504" priority="616" operator="equal">
      <formula>130</formula>
    </cfRule>
  </conditionalFormatting>
  <conditionalFormatting sqref="AE443">
    <cfRule type="cellIs" dxfId="503" priority="617" operator="equal">
      <formula>110</formula>
    </cfRule>
    <cfRule type="cellIs" dxfId="502" priority="618" operator="equal">
      <formula>160</formula>
    </cfRule>
    <cfRule type="cellIs" dxfId="501" priority="619" operator="equal">
      <formula>130</formula>
    </cfRule>
  </conditionalFormatting>
  <conditionalFormatting sqref="AE441">
    <cfRule type="cellIs" dxfId="500" priority="620" operator="equal">
      <formula>110</formula>
    </cfRule>
    <cfRule type="cellIs" dxfId="499" priority="621" operator="equal">
      <formula>160</formula>
    </cfRule>
    <cfRule type="cellIs" dxfId="498" priority="622" operator="equal">
      <formula>130</formula>
    </cfRule>
  </conditionalFormatting>
  <conditionalFormatting sqref="AE439">
    <cfRule type="cellIs" dxfId="497" priority="623" operator="equal">
      <formula>110</formula>
    </cfRule>
    <cfRule type="cellIs" dxfId="496" priority="624" operator="equal">
      <formula>160</formula>
    </cfRule>
    <cfRule type="cellIs" dxfId="495" priority="625" operator="equal">
      <formula>130</formula>
    </cfRule>
  </conditionalFormatting>
  <conditionalFormatting sqref="AE437">
    <cfRule type="cellIs" dxfId="494" priority="626" operator="equal">
      <formula>110</formula>
    </cfRule>
    <cfRule type="cellIs" dxfId="493" priority="627" operator="equal">
      <formula>160</formula>
    </cfRule>
    <cfRule type="cellIs" dxfId="492" priority="628" operator="equal">
      <formula>130</formula>
    </cfRule>
  </conditionalFormatting>
  <conditionalFormatting sqref="AE435">
    <cfRule type="cellIs" dxfId="491" priority="629" operator="equal">
      <formula>110</formula>
    </cfRule>
    <cfRule type="cellIs" dxfId="490" priority="630" operator="equal">
      <formula>160</formula>
    </cfRule>
    <cfRule type="cellIs" dxfId="489" priority="631" operator="equal">
      <formula>130</formula>
    </cfRule>
  </conditionalFormatting>
  <conditionalFormatting sqref="AE433">
    <cfRule type="cellIs" dxfId="488" priority="632" operator="equal">
      <formula>110</formula>
    </cfRule>
    <cfRule type="cellIs" dxfId="487" priority="633" operator="equal">
      <formula>160</formula>
    </cfRule>
    <cfRule type="cellIs" dxfId="486" priority="634" operator="equal">
      <formula>130</formula>
    </cfRule>
  </conditionalFormatting>
  <conditionalFormatting sqref="AE431">
    <cfRule type="cellIs" dxfId="485" priority="635" operator="equal">
      <formula>110</formula>
    </cfRule>
    <cfRule type="cellIs" dxfId="484" priority="636" operator="equal">
      <formula>160</formula>
    </cfRule>
    <cfRule type="cellIs" dxfId="483" priority="637" operator="equal">
      <formula>130</formula>
    </cfRule>
  </conditionalFormatting>
  <conditionalFormatting sqref="AE429">
    <cfRule type="cellIs" dxfId="482" priority="638" operator="equal">
      <formula>110</formula>
    </cfRule>
    <cfRule type="cellIs" dxfId="481" priority="639" operator="equal">
      <formula>160</formula>
    </cfRule>
    <cfRule type="cellIs" dxfId="480" priority="640" operator="equal">
      <formula>130</formula>
    </cfRule>
  </conditionalFormatting>
  <conditionalFormatting sqref="AE427">
    <cfRule type="cellIs" dxfId="479" priority="641" operator="equal">
      <formula>110</formula>
    </cfRule>
    <cfRule type="cellIs" dxfId="478" priority="642" operator="equal">
      <formula>160</formula>
    </cfRule>
    <cfRule type="cellIs" dxfId="477" priority="643" operator="equal">
      <formula>130</formula>
    </cfRule>
  </conditionalFormatting>
  <conditionalFormatting sqref="AE425">
    <cfRule type="cellIs" dxfId="476" priority="644" operator="equal">
      <formula>110</formula>
    </cfRule>
    <cfRule type="cellIs" dxfId="475" priority="645" operator="equal">
      <formula>160</formula>
    </cfRule>
    <cfRule type="cellIs" dxfId="474" priority="646" operator="equal">
      <formula>130</formula>
    </cfRule>
  </conditionalFormatting>
  <conditionalFormatting sqref="AE423">
    <cfRule type="cellIs" dxfId="473" priority="647" operator="equal">
      <formula>110</formula>
    </cfRule>
    <cfRule type="cellIs" dxfId="472" priority="648" operator="equal">
      <formula>160</formula>
    </cfRule>
    <cfRule type="cellIs" dxfId="471" priority="649" operator="equal">
      <formula>130</formula>
    </cfRule>
  </conditionalFormatting>
  <conditionalFormatting sqref="AE413">
    <cfRule type="cellIs" dxfId="470" priority="650" operator="equal">
      <formula>110</formula>
    </cfRule>
    <cfRule type="cellIs" dxfId="469" priority="651" operator="equal">
      <formula>160</formula>
    </cfRule>
    <cfRule type="cellIs" dxfId="468" priority="652" operator="equal">
      <formula>130</formula>
    </cfRule>
  </conditionalFormatting>
  <conditionalFormatting sqref="AE411">
    <cfRule type="cellIs" dxfId="467" priority="653" operator="equal">
      <formula>110</formula>
    </cfRule>
    <cfRule type="cellIs" dxfId="466" priority="654" operator="equal">
      <formula>160</formula>
    </cfRule>
    <cfRule type="cellIs" dxfId="465" priority="655" operator="equal">
      <formula>130</formula>
    </cfRule>
  </conditionalFormatting>
  <conditionalFormatting sqref="AE409">
    <cfRule type="cellIs" dxfId="464" priority="656" operator="equal">
      <formula>110</formula>
    </cfRule>
    <cfRule type="cellIs" dxfId="463" priority="657" operator="equal">
      <formula>160</formula>
    </cfRule>
    <cfRule type="cellIs" dxfId="462" priority="658" operator="equal">
      <formula>130</formula>
    </cfRule>
  </conditionalFormatting>
  <conditionalFormatting sqref="AE407">
    <cfRule type="cellIs" dxfId="461" priority="659" operator="equal">
      <formula>110</formula>
    </cfRule>
    <cfRule type="cellIs" dxfId="460" priority="660" operator="equal">
      <formula>160</formula>
    </cfRule>
    <cfRule type="cellIs" dxfId="459" priority="661" operator="equal">
      <formula>130</formula>
    </cfRule>
  </conditionalFormatting>
  <conditionalFormatting sqref="AE405">
    <cfRule type="cellIs" dxfId="458" priority="662" operator="equal">
      <formula>110</formula>
    </cfRule>
    <cfRule type="cellIs" dxfId="457" priority="663" operator="equal">
      <formula>160</formula>
    </cfRule>
    <cfRule type="cellIs" dxfId="456" priority="664" operator="equal">
      <formula>130</formula>
    </cfRule>
  </conditionalFormatting>
  <conditionalFormatting sqref="AE403">
    <cfRule type="cellIs" dxfId="455" priority="665" operator="equal">
      <formula>110</formula>
    </cfRule>
    <cfRule type="cellIs" dxfId="454" priority="666" operator="equal">
      <formula>160</formula>
    </cfRule>
    <cfRule type="cellIs" dxfId="453" priority="667" operator="equal">
      <formula>130</formula>
    </cfRule>
  </conditionalFormatting>
  <conditionalFormatting sqref="AE401">
    <cfRule type="cellIs" dxfId="452" priority="668" operator="equal">
      <formula>110</formula>
    </cfRule>
    <cfRule type="cellIs" dxfId="451" priority="669" operator="equal">
      <formula>160</formula>
    </cfRule>
    <cfRule type="cellIs" dxfId="450" priority="670" operator="equal">
      <formula>130</formula>
    </cfRule>
  </conditionalFormatting>
  <conditionalFormatting sqref="AE399">
    <cfRule type="cellIs" dxfId="449" priority="671" operator="equal">
      <formula>110</formula>
    </cfRule>
    <cfRule type="cellIs" dxfId="448" priority="672" operator="equal">
      <formula>160</formula>
    </cfRule>
    <cfRule type="cellIs" dxfId="447" priority="673" operator="equal">
      <formula>130</formula>
    </cfRule>
  </conditionalFormatting>
  <conditionalFormatting sqref="AE397">
    <cfRule type="cellIs" dxfId="446" priority="674" operator="equal">
      <formula>110</formula>
    </cfRule>
    <cfRule type="cellIs" dxfId="445" priority="675" operator="equal">
      <formula>160</formula>
    </cfRule>
    <cfRule type="cellIs" dxfId="444" priority="676" operator="equal">
      <formula>130</formula>
    </cfRule>
  </conditionalFormatting>
  <conditionalFormatting sqref="AE395">
    <cfRule type="cellIs" dxfId="443" priority="677" operator="equal">
      <formula>110</formula>
    </cfRule>
    <cfRule type="cellIs" dxfId="442" priority="678" operator="equal">
      <formula>160</formula>
    </cfRule>
    <cfRule type="cellIs" dxfId="441" priority="679" operator="equal">
      <formula>130</formula>
    </cfRule>
  </conditionalFormatting>
  <conditionalFormatting sqref="AE393">
    <cfRule type="cellIs" dxfId="440" priority="680" operator="equal">
      <formula>110</formula>
    </cfRule>
    <cfRule type="cellIs" dxfId="439" priority="681" operator="equal">
      <formula>160</formula>
    </cfRule>
    <cfRule type="cellIs" dxfId="438" priority="682" operator="equal">
      <formula>130</formula>
    </cfRule>
  </conditionalFormatting>
  <conditionalFormatting sqref="AE391">
    <cfRule type="cellIs" dxfId="437" priority="683" operator="equal">
      <formula>110</formula>
    </cfRule>
    <cfRule type="cellIs" dxfId="436" priority="684" operator="equal">
      <formula>160</formula>
    </cfRule>
    <cfRule type="cellIs" dxfId="435" priority="685" operator="equal">
      <formula>130</formula>
    </cfRule>
  </conditionalFormatting>
  <conditionalFormatting sqref="AE381">
    <cfRule type="cellIs" dxfId="434" priority="686" operator="equal">
      <formula>110</formula>
    </cfRule>
    <cfRule type="cellIs" dxfId="433" priority="687" operator="equal">
      <formula>160</formula>
    </cfRule>
    <cfRule type="cellIs" dxfId="432" priority="688" operator="equal">
      <formula>130</formula>
    </cfRule>
  </conditionalFormatting>
  <conditionalFormatting sqref="AE379">
    <cfRule type="cellIs" dxfId="431" priority="689" operator="equal">
      <formula>110</formula>
    </cfRule>
    <cfRule type="cellIs" dxfId="430" priority="690" operator="equal">
      <formula>160</formula>
    </cfRule>
    <cfRule type="cellIs" dxfId="429" priority="691" operator="equal">
      <formula>130</formula>
    </cfRule>
  </conditionalFormatting>
  <conditionalFormatting sqref="AE377">
    <cfRule type="cellIs" dxfId="428" priority="692" operator="equal">
      <formula>110</formula>
    </cfRule>
    <cfRule type="cellIs" dxfId="427" priority="693" operator="equal">
      <formula>160</formula>
    </cfRule>
    <cfRule type="cellIs" dxfId="426" priority="694" operator="equal">
      <formula>130</formula>
    </cfRule>
  </conditionalFormatting>
  <conditionalFormatting sqref="AE375">
    <cfRule type="cellIs" dxfId="425" priority="695" operator="equal">
      <formula>110</formula>
    </cfRule>
    <cfRule type="cellIs" dxfId="424" priority="696" operator="equal">
      <formula>160</formula>
    </cfRule>
    <cfRule type="cellIs" dxfId="423" priority="697" operator="equal">
      <formula>130</formula>
    </cfRule>
  </conditionalFormatting>
  <conditionalFormatting sqref="AE373">
    <cfRule type="cellIs" dxfId="422" priority="698" operator="equal">
      <formula>110</formula>
    </cfRule>
    <cfRule type="cellIs" dxfId="421" priority="699" operator="equal">
      <formula>160</formula>
    </cfRule>
    <cfRule type="cellIs" dxfId="420" priority="700" operator="equal">
      <formula>130</formula>
    </cfRule>
  </conditionalFormatting>
  <conditionalFormatting sqref="AE371">
    <cfRule type="cellIs" dxfId="419" priority="701" operator="equal">
      <formula>110</formula>
    </cfRule>
    <cfRule type="cellIs" dxfId="418" priority="702" operator="equal">
      <formula>160</formula>
    </cfRule>
    <cfRule type="cellIs" dxfId="417" priority="703" operator="equal">
      <formula>130</formula>
    </cfRule>
  </conditionalFormatting>
  <conditionalFormatting sqref="AE369">
    <cfRule type="cellIs" dxfId="416" priority="704" operator="equal">
      <formula>110</formula>
    </cfRule>
    <cfRule type="cellIs" dxfId="415" priority="705" operator="equal">
      <formula>160</formula>
    </cfRule>
    <cfRule type="cellIs" dxfId="414" priority="706" operator="equal">
      <formula>130</formula>
    </cfRule>
  </conditionalFormatting>
  <conditionalFormatting sqref="AE367">
    <cfRule type="cellIs" dxfId="413" priority="707" operator="equal">
      <formula>110</formula>
    </cfRule>
    <cfRule type="cellIs" dxfId="412" priority="708" operator="equal">
      <formula>160</formula>
    </cfRule>
    <cfRule type="cellIs" dxfId="411" priority="709" operator="equal">
      <formula>130</formula>
    </cfRule>
  </conditionalFormatting>
  <conditionalFormatting sqref="AE365">
    <cfRule type="cellIs" dxfId="410" priority="710" operator="equal">
      <formula>110</formula>
    </cfRule>
    <cfRule type="cellIs" dxfId="409" priority="711" operator="equal">
      <formula>160</formula>
    </cfRule>
    <cfRule type="cellIs" dxfId="408" priority="712" operator="equal">
      <formula>130</formula>
    </cfRule>
  </conditionalFormatting>
  <conditionalFormatting sqref="AE363">
    <cfRule type="cellIs" dxfId="407" priority="713" operator="equal">
      <formula>110</formula>
    </cfRule>
    <cfRule type="cellIs" dxfId="406" priority="714" operator="equal">
      <formula>160</formula>
    </cfRule>
    <cfRule type="cellIs" dxfId="405" priority="715" operator="equal">
      <formula>130</formula>
    </cfRule>
  </conditionalFormatting>
  <conditionalFormatting sqref="AE361">
    <cfRule type="cellIs" dxfId="404" priority="716" operator="equal">
      <formula>110</formula>
    </cfRule>
    <cfRule type="cellIs" dxfId="403" priority="717" operator="equal">
      <formula>160</formula>
    </cfRule>
    <cfRule type="cellIs" dxfId="402" priority="718" operator="equal">
      <formula>130</formula>
    </cfRule>
  </conditionalFormatting>
  <conditionalFormatting sqref="AE359">
    <cfRule type="cellIs" dxfId="401" priority="719" operator="equal">
      <formula>110</formula>
    </cfRule>
    <cfRule type="cellIs" dxfId="400" priority="720" operator="equal">
      <formula>160</formula>
    </cfRule>
    <cfRule type="cellIs" dxfId="399" priority="721" operator="equal">
      <formula>130</formula>
    </cfRule>
  </conditionalFormatting>
  <conditionalFormatting sqref="AE349">
    <cfRule type="cellIs" dxfId="398" priority="722" operator="equal">
      <formula>110</formula>
    </cfRule>
    <cfRule type="cellIs" dxfId="397" priority="723" operator="equal">
      <formula>160</formula>
    </cfRule>
    <cfRule type="cellIs" dxfId="396" priority="724" operator="equal">
      <formula>130</formula>
    </cfRule>
  </conditionalFormatting>
  <conditionalFormatting sqref="AE347">
    <cfRule type="cellIs" dxfId="395" priority="725" operator="equal">
      <formula>110</formula>
    </cfRule>
    <cfRule type="cellIs" dxfId="394" priority="726" operator="equal">
      <formula>160</formula>
    </cfRule>
    <cfRule type="cellIs" dxfId="393" priority="727" operator="equal">
      <formula>130</formula>
    </cfRule>
  </conditionalFormatting>
  <conditionalFormatting sqref="AE345">
    <cfRule type="cellIs" dxfId="392" priority="728" operator="equal">
      <formula>110</formula>
    </cfRule>
    <cfRule type="cellIs" dxfId="391" priority="729" operator="equal">
      <formula>160</formula>
    </cfRule>
    <cfRule type="cellIs" dxfId="390" priority="730" operator="equal">
      <formula>130</formula>
    </cfRule>
  </conditionalFormatting>
  <conditionalFormatting sqref="AE343">
    <cfRule type="cellIs" dxfId="389" priority="731" operator="equal">
      <formula>110</formula>
    </cfRule>
    <cfRule type="cellIs" dxfId="388" priority="732" operator="equal">
      <formula>160</formula>
    </cfRule>
    <cfRule type="cellIs" dxfId="387" priority="733" operator="equal">
      <formula>130</formula>
    </cfRule>
  </conditionalFormatting>
  <conditionalFormatting sqref="AE341">
    <cfRule type="cellIs" dxfId="386" priority="734" operator="equal">
      <formula>110</formula>
    </cfRule>
    <cfRule type="cellIs" dxfId="385" priority="735" operator="equal">
      <formula>160</formula>
    </cfRule>
    <cfRule type="cellIs" dxfId="384" priority="736" operator="equal">
      <formula>130</formula>
    </cfRule>
  </conditionalFormatting>
  <conditionalFormatting sqref="AE339">
    <cfRule type="cellIs" dxfId="383" priority="737" operator="equal">
      <formula>110</formula>
    </cfRule>
    <cfRule type="cellIs" dxfId="382" priority="738" operator="equal">
      <formula>160</formula>
    </cfRule>
    <cfRule type="cellIs" dxfId="381" priority="739" operator="equal">
      <formula>130</formula>
    </cfRule>
  </conditionalFormatting>
  <conditionalFormatting sqref="AE337">
    <cfRule type="cellIs" dxfId="380" priority="740" operator="equal">
      <formula>110</formula>
    </cfRule>
    <cfRule type="cellIs" dxfId="379" priority="741" operator="equal">
      <formula>160</formula>
    </cfRule>
    <cfRule type="cellIs" dxfId="378" priority="742" operator="equal">
      <formula>130</formula>
    </cfRule>
  </conditionalFormatting>
  <conditionalFormatting sqref="AE335">
    <cfRule type="cellIs" dxfId="377" priority="743" operator="equal">
      <formula>110</formula>
    </cfRule>
    <cfRule type="cellIs" dxfId="376" priority="744" operator="equal">
      <formula>160</formula>
    </cfRule>
    <cfRule type="cellIs" dxfId="375" priority="745" operator="equal">
      <formula>130</formula>
    </cfRule>
  </conditionalFormatting>
  <conditionalFormatting sqref="AE333">
    <cfRule type="cellIs" dxfId="374" priority="746" operator="equal">
      <formula>110</formula>
    </cfRule>
    <cfRule type="cellIs" dxfId="373" priority="747" operator="equal">
      <formula>160</formula>
    </cfRule>
    <cfRule type="cellIs" dxfId="372" priority="748" operator="equal">
      <formula>130</formula>
    </cfRule>
  </conditionalFormatting>
  <conditionalFormatting sqref="AE331">
    <cfRule type="cellIs" dxfId="371" priority="749" operator="equal">
      <formula>110</formula>
    </cfRule>
    <cfRule type="cellIs" dxfId="370" priority="750" operator="equal">
      <formula>160</formula>
    </cfRule>
    <cfRule type="cellIs" dxfId="369" priority="751" operator="equal">
      <formula>130</formula>
    </cfRule>
  </conditionalFormatting>
  <conditionalFormatting sqref="AE329">
    <cfRule type="cellIs" dxfId="368" priority="752" operator="equal">
      <formula>110</formula>
    </cfRule>
    <cfRule type="cellIs" dxfId="367" priority="753" operator="equal">
      <formula>160</formula>
    </cfRule>
    <cfRule type="cellIs" dxfId="366" priority="754" operator="equal">
      <formula>130</formula>
    </cfRule>
  </conditionalFormatting>
  <conditionalFormatting sqref="AE327">
    <cfRule type="cellIs" dxfId="365" priority="755" operator="equal">
      <formula>110</formula>
    </cfRule>
    <cfRule type="cellIs" dxfId="364" priority="756" operator="equal">
      <formula>160</formula>
    </cfRule>
    <cfRule type="cellIs" dxfId="363" priority="757" operator="equal">
      <formula>130</formula>
    </cfRule>
  </conditionalFormatting>
  <conditionalFormatting sqref="AE317">
    <cfRule type="cellIs" dxfId="362" priority="758" operator="equal">
      <formula>110</formula>
    </cfRule>
    <cfRule type="cellIs" dxfId="361" priority="759" operator="equal">
      <formula>160</formula>
    </cfRule>
    <cfRule type="cellIs" dxfId="360" priority="760" operator="equal">
      <formula>130</formula>
    </cfRule>
  </conditionalFormatting>
  <conditionalFormatting sqref="AE315">
    <cfRule type="cellIs" dxfId="359" priority="761" operator="equal">
      <formula>110</formula>
    </cfRule>
    <cfRule type="cellIs" dxfId="358" priority="762" operator="equal">
      <formula>160</formula>
    </cfRule>
    <cfRule type="cellIs" dxfId="357" priority="763" operator="equal">
      <formula>130</formula>
    </cfRule>
  </conditionalFormatting>
  <conditionalFormatting sqref="AE313">
    <cfRule type="cellIs" dxfId="356" priority="764" operator="equal">
      <formula>110</formula>
    </cfRule>
    <cfRule type="cellIs" dxfId="355" priority="765" operator="equal">
      <formula>160</formula>
    </cfRule>
    <cfRule type="cellIs" dxfId="354" priority="766" operator="equal">
      <formula>130</formula>
    </cfRule>
  </conditionalFormatting>
  <conditionalFormatting sqref="AE311">
    <cfRule type="cellIs" dxfId="353" priority="767" operator="equal">
      <formula>110</formula>
    </cfRule>
    <cfRule type="cellIs" dxfId="352" priority="768" operator="equal">
      <formula>160</formula>
    </cfRule>
    <cfRule type="cellIs" dxfId="351" priority="769" operator="equal">
      <formula>130</formula>
    </cfRule>
  </conditionalFormatting>
  <conditionalFormatting sqref="AE309">
    <cfRule type="cellIs" dxfId="350" priority="770" operator="equal">
      <formula>110</formula>
    </cfRule>
    <cfRule type="cellIs" dxfId="349" priority="771" operator="equal">
      <formula>160</formula>
    </cfRule>
    <cfRule type="cellIs" dxfId="348" priority="772" operator="equal">
      <formula>130</formula>
    </cfRule>
  </conditionalFormatting>
  <conditionalFormatting sqref="AE307">
    <cfRule type="cellIs" dxfId="347" priority="773" operator="equal">
      <formula>110</formula>
    </cfRule>
    <cfRule type="cellIs" dxfId="346" priority="774" operator="equal">
      <formula>160</formula>
    </cfRule>
    <cfRule type="cellIs" dxfId="345" priority="775" operator="equal">
      <formula>130</formula>
    </cfRule>
  </conditionalFormatting>
  <conditionalFormatting sqref="AE305">
    <cfRule type="cellIs" dxfId="344" priority="776" operator="equal">
      <formula>110</formula>
    </cfRule>
    <cfRule type="cellIs" dxfId="343" priority="777" operator="equal">
      <formula>160</formula>
    </cfRule>
    <cfRule type="cellIs" dxfId="342" priority="778" operator="equal">
      <formula>130</formula>
    </cfRule>
  </conditionalFormatting>
  <conditionalFormatting sqref="AE303">
    <cfRule type="cellIs" dxfId="341" priority="779" operator="equal">
      <formula>110</formula>
    </cfRule>
    <cfRule type="cellIs" dxfId="340" priority="780" operator="equal">
      <formula>160</formula>
    </cfRule>
    <cfRule type="cellIs" dxfId="339" priority="781" operator="equal">
      <formula>130</formula>
    </cfRule>
  </conditionalFormatting>
  <conditionalFormatting sqref="AE301">
    <cfRule type="cellIs" dxfId="338" priority="782" operator="equal">
      <formula>110</formula>
    </cfRule>
    <cfRule type="cellIs" dxfId="337" priority="783" operator="equal">
      <formula>160</formula>
    </cfRule>
    <cfRule type="cellIs" dxfId="336" priority="784" operator="equal">
      <formula>130</formula>
    </cfRule>
  </conditionalFormatting>
  <conditionalFormatting sqref="AE299">
    <cfRule type="cellIs" dxfId="335" priority="785" operator="equal">
      <formula>110</formula>
    </cfRule>
    <cfRule type="cellIs" dxfId="334" priority="786" operator="equal">
      <formula>160</formula>
    </cfRule>
    <cfRule type="cellIs" dxfId="333" priority="787" operator="equal">
      <formula>130</formula>
    </cfRule>
  </conditionalFormatting>
  <conditionalFormatting sqref="AE297">
    <cfRule type="cellIs" dxfId="332" priority="788" operator="equal">
      <formula>110</formula>
    </cfRule>
    <cfRule type="cellIs" dxfId="331" priority="789" operator="equal">
      <formula>160</formula>
    </cfRule>
    <cfRule type="cellIs" dxfId="330" priority="790" operator="equal">
      <formula>130</formula>
    </cfRule>
  </conditionalFormatting>
  <conditionalFormatting sqref="AE295">
    <cfRule type="cellIs" dxfId="329" priority="791" operator="equal">
      <formula>110</formula>
    </cfRule>
    <cfRule type="cellIs" dxfId="328" priority="792" operator="equal">
      <formula>160</formula>
    </cfRule>
    <cfRule type="cellIs" dxfId="327" priority="793" operator="equal">
      <formula>130</formula>
    </cfRule>
  </conditionalFormatting>
  <conditionalFormatting sqref="AE285">
    <cfRule type="cellIs" dxfId="326" priority="794" operator="equal">
      <formula>110</formula>
    </cfRule>
    <cfRule type="cellIs" dxfId="325" priority="795" operator="equal">
      <formula>160</formula>
    </cfRule>
    <cfRule type="cellIs" dxfId="324" priority="796" operator="equal">
      <formula>130</formula>
    </cfRule>
  </conditionalFormatting>
  <conditionalFormatting sqref="AE283">
    <cfRule type="cellIs" dxfId="323" priority="797" operator="equal">
      <formula>110</formula>
    </cfRule>
    <cfRule type="cellIs" dxfId="322" priority="798" operator="equal">
      <formula>160</formula>
    </cfRule>
    <cfRule type="cellIs" dxfId="321" priority="799" operator="equal">
      <formula>130</formula>
    </cfRule>
  </conditionalFormatting>
  <conditionalFormatting sqref="AE281">
    <cfRule type="cellIs" dxfId="320" priority="800" operator="equal">
      <formula>110</formula>
    </cfRule>
    <cfRule type="cellIs" dxfId="319" priority="801" operator="equal">
      <formula>160</formula>
    </cfRule>
    <cfRule type="cellIs" dxfId="318" priority="802" operator="equal">
      <formula>130</formula>
    </cfRule>
  </conditionalFormatting>
  <conditionalFormatting sqref="AE279">
    <cfRule type="cellIs" dxfId="317" priority="803" operator="equal">
      <formula>110</formula>
    </cfRule>
    <cfRule type="cellIs" dxfId="316" priority="804" operator="equal">
      <formula>160</formula>
    </cfRule>
    <cfRule type="cellIs" dxfId="315" priority="805" operator="equal">
      <formula>130</formula>
    </cfRule>
  </conditionalFormatting>
  <conditionalFormatting sqref="AE277">
    <cfRule type="cellIs" dxfId="314" priority="806" operator="equal">
      <formula>110</formula>
    </cfRule>
    <cfRule type="cellIs" dxfId="313" priority="807" operator="equal">
      <formula>160</formula>
    </cfRule>
    <cfRule type="cellIs" dxfId="312" priority="808" operator="equal">
      <formula>130</formula>
    </cfRule>
  </conditionalFormatting>
  <conditionalFormatting sqref="AE275">
    <cfRule type="cellIs" dxfId="311" priority="809" operator="equal">
      <formula>110</formula>
    </cfRule>
    <cfRule type="cellIs" dxfId="310" priority="810" operator="equal">
      <formula>160</formula>
    </cfRule>
    <cfRule type="cellIs" dxfId="309" priority="811" operator="equal">
      <formula>130</formula>
    </cfRule>
  </conditionalFormatting>
  <conditionalFormatting sqref="AE273">
    <cfRule type="cellIs" dxfId="308" priority="812" operator="equal">
      <formula>110</formula>
    </cfRule>
    <cfRule type="cellIs" dxfId="307" priority="813" operator="equal">
      <formula>160</formula>
    </cfRule>
    <cfRule type="cellIs" dxfId="306" priority="814" operator="equal">
      <formula>130</formula>
    </cfRule>
  </conditionalFormatting>
  <conditionalFormatting sqref="AE271">
    <cfRule type="cellIs" dxfId="305" priority="815" operator="equal">
      <formula>110</formula>
    </cfRule>
    <cfRule type="cellIs" dxfId="304" priority="816" operator="equal">
      <formula>160</formula>
    </cfRule>
    <cfRule type="cellIs" dxfId="303" priority="817" operator="equal">
      <formula>130</formula>
    </cfRule>
  </conditionalFormatting>
  <conditionalFormatting sqref="AE269">
    <cfRule type="cellIs" dxfId="302" priority="818" operator="equal">
      <formula>110</formula>
    </cfRule>
    <cfRule type="cellIs" dxfId="301" priority="819" operator="equal">
      <formula>160</formula>
    </cfRule>
    <cfRule type="cellIs" dxfId="300" priority="820" operator="equal">
      <formula>130</formula>
    </cfRule>
  </conditionalFormatting>
  <conditionalFormatting sqref="AE267">
    <cfRule type="cellIs" dxfId="299" priority="821" operator="equal">
      <formula>110</formula>
    </cfRule>
    <cfRule type="cellIs" dxfId="298" priority="822" operator="equal">
      <formula>160</formula>
    </cfRule>
    <cfRule type="cellIs" dxfId="297" priority="823" operator="equal">
      <formula>130</formula>
    </cfRule>
  </conditionalFormatting>
  <conditionalFormatting sqref="AE265">
    <cfRule type="cellIs" dxfId="296" priority="824" operator="equal">
      <formula>110</formula>
    </cfRule>
    <cfRule type="cellIs" dxfId="295" priority="825" operator="equal">
      <formula>160</formula>
    </cfRule>
    <cfRule type="cellIs" dxfId="294" priority="826" operator="equal">
      <formula>130</formula>
    </cfRule>
  </conditionalFormatting>
  <conditionalFormatting sqref="AE263">
    <cfRule type="cellIs" dxfId="293" priority="827" operator="equal">
      <formula>110</formula>
    </cfRule>
    <cfRule type="cellIs" dxfId="292" priority="828" operator="equal">
      <formula>160</formula>
    </cfRule>
    <cfRule type="cellIs" dxfId="291" priority="829" operator="equal">
      <formula>130</formula>
    </cfRule>
  </conditionalFormatting>
  <conditionalFormatting sqref="AE253">
    <cfRule type="cellIs" dxfId="290" priority="830" operator="equal">
      <formula>110</formula>
    </cfRule>
    <cfRule type="cellIs" dxfId="289" priority="831" operator="equal">
      <formula>160</formula>
    </cfRule>
    <cfRule type="cellIs" dxfId="288" priority="832" operator="equal">
      <formula>130</formula>
    </cfRule>
  </conditionalFormatting>
  <conditionalFormatting sqref="AE251">
    <cfRule type="cellIs" dxfId="287" priority="833" operator="equal">
      <formula>110</formula>
    </cfRule>
    <cfRule type="cellIs" dxfId="286" priority="834" operator="equal">
      <formula>160</formula>
    </cfRule>
    <cfRule type="cellIs" dxfId="285" priority="835" operator="equal">
      <formula>130</formula>
    </cfRule>
  </conditionalFormatting>
  <conditionalFormatting sqref="AE249">
    <cfRule type="cellIs" dxfId="284" priority="836" operator="equal">
      <formula>110</formula>
    </cfRule>
    <cfRule type="cellIs" dxfId="283" priority="837" operator="equal">
      <formula>160</formula>
    </cfRule>
    <cfRule type="cellIs" dxfId="282" priority="838" operator="equal">
      <formula>130</formula>
    </cfRule>
  </conditionalFormatting>
  <conditionalFormatting sqref="AE247">
    <cfRule type="cellIs" dxfId="281" priority="839" operator="equal">
      <formula>110</formula>
    </cfRule>
    <cfRule type="cellIs" dxfId="280" priority="840" operator="equal">
      <formula>160</formula>
    </cfRule>
    <cfRule type="cellIs" dxfId="279" priority="841" operator="equal">
      <formula>130</formula>
    </cfRule>
  </conditionalFormatting>
  <conditionalFormatting sqref="AE245">
    <cfRule type="cellIs" dxfId="278" priority="842" operator="equal">
      <formula>110</formula>
    </cfRule>
    <cfRule type="cellIs" dxfId="277" priority="843" operator="equal">
      <formula>160</formula>
    </cfRule>
    <cfRule type="cellIs" dxfId="276" priority="844" operator="equal">
      <formula>130</formula>
    </cfRule>
  </conditionalFormatting>
  <conditionalFormatting sqref="AE243">
    <cfRule type="cellIs" dxfId="275" priority="845" operator="equal">
      <formula>110</formula>
    </cfRule>
    <cfRule type="cellIs" dxfId="274" priority="846" operator="equal">
      <formula>160</formula>
    </cfRule>
    <cfRule type="cellIs" dxfId="273" priority="847" operator="equal">
      <formula>130</formula>
    </cfRule>
  </conditionalFormatting>
  <conditionalFormatting sqref="AE241">
    <cfRule type="cellIs" dxfId="272" priority="848" operator="equal">
      <formula>110</formula>
    </cfRule>
    <cfRule type="cellIs" dxfId="271" priority="849" operator="equal">
      <formula>160</formula>
    </cfRule>
    <cfRule type="cellIs" dxfId="270" priority="850" operator="equal">
      <formula>130</formula>
    </cfRule>
  </conditionalFormatting>
  <conditionalFormatting sqref="AE239">
    <cfRule type="cellIs" dxfId="269" priority="851" operator="equal">
      <formula>110</formula>
    </cfRule>
    <cfRule type="cellIs" dxfId="268" priority="852" operator="equal">
      <formula>160</formula>
    </cfRule>
    <cfRule type="cellIs" dxfId="267" priority="853" operator="equal">
      <formula>130</formula>
    </cfRule>
  </conditionalFormatting>
  <conditionalFormatting sqref="AE237">
    <cfRule type="cellIs" dxfId="266" priority="854" operator="equal">
      <formula>110</formula>
    </cfRule>
    <cfRule type="cellIs" dxfId="265" priority="855" operator="equal">
      <formula>160</formula>
    </cfRule>
    <cfRule type="cellIs" dxfId="264" priority="856" operator="equal">
      <formula>130</formula>
    </cfRule>
  </conditionalFormatting>
  <conditionalFormatting sqref="AE235">
    <cfRule type="cellIs" dxfId="263" priority="857" operator="equal">
      <formula>110</formula>
    </cfRule>
    <cfRule type="cellIs" dxfId="262" priority="858" operator="equal">
      <formula>160</formula>
    </cfRule>
    <cfRule type="cellIs" dxfId="261" priority="859" operator="equal">
      <formula>130</formula>
    </cfRule>
  </conditionalFormatting>
  <conditionalFormatting sqref="AE233">
    <cfRule type="cellIs" dxfId="260" priority="860" operator="equal">
      <formula>110</formula>
    </cfRule>
    <cfRule type="cellIs" dxfId="259" priority="861" operator="equal">
      <formula>160</formula>
    </cfRule>
    <cfRule type="cellIs" dxfId="258" priority="862" operator="equal">
      <formula>130</formula>
    </cfRule>
  </conditionalFormatting>
  <conditionalFormatting sqref="AE231">
    <cfRule type="cellIs" dxfId="257" priority="863" operator="equal">
      <formula>110</formula>
    </cfRule>
    <cfRule type="cellIs" dxfId="256" priority="864" operator="equal">
      <formula>160</formula>
    </cfRule>
    <cfRule type="cellIs" dxfId="255" priority="865" operator="equal">
      <formula>130</formula>
    </cfRule>
  </conditionalFormatting>
  <conditionalFormatting sqref="AE221">
    <cfRule type="cellIs" dxfId="254" priority="866" operator="equal">
      <formula>110</formula>
    </cfRule>
    <cfRule type="cellIs" dxfId="253" priority="867" operator="equal">
      <formula>160</formula>
    </cfRule>
    <cfRule type="cellIs" dxfId="252" priority="868" operator="equal">
      <formula>130</formula>
    </cfRule>
  </conditionalFormatting>
  <conditionalFormatting sqref="AE219">
    <cfRule type="cellIs" dxfId="251" priority="869" operator="equal">
      <formula>110</formula>
    </cfRule>
    <cfRule type="cellIs" dxfId="250" priority="870" operator="equal">
      <formula>160</formula>
    </cfRule>
    <cfRule type="cellIs" dxfId="249" priority="871" operator="equal">
      <formula>130</formula>
    </cfRule>
  </conditionalFormatting>
  <conditionalFormatting sqref="AE217">
    <cfRule type="cellIs" dxfId="248" priority="872" operator="equal">
      <formula>110</formula>
    </cfRule>
    <cfRule type="cellIs" dxfId="247" priority="873" operator="equal">
      <formula>160</formula>
    </cfRule>
    <cfRule type="cellIs" dxfId="246" priority="874" operator="equal">
      <formula>130</formula>
    </cfRule>
  </conditionalFormatting>
  <conditionalFormatting sqref="AE215">
    <cfRule type="cellIs" dxfId="245" priority="875" operator="equal">
      <formula>110</formula>
    </cfRule>
    <cfRule type="cellIs" dxfId="244" priority="876" operator="equal">
      <formula>160</formula>
    </cfRule>
    <cfRule type="cellIs" dxfId="243" priority="877" operator="equal">
      <formula>130</formula>
    </cfRule>
  </conditionalFormatting>
  <conditionalFormatting sqref="AE213">
    <cfRule type="cellIs" dxfId="242" priority="878" operator="equal">
      <formula>110</formula>
    </cfRule>
    <cfRule type="cellIs" dxfId="241" priority="879" operator="equal">
      <formula>160</formula>
    </cfRule>
    <cfRule type="cellIs" dxfId="240" priority="880" operator="equal">
      <formula>130</formula>
    </cfRule>
  </conditionalFormatting>
  <conditionalFormatting sqref="AE211">
    <cfRule type="cellIs" dxfId="239" priority="881" operator="equal">
      <formula>110</formula>
    </cfRule>
    <cfRule type="cellIs" dxfId="238" priority="882" operator="equal">
      <formula>160</formula>
    </cfRule>
    <cfRule type="cellIs" dxfId="237" priority="883" operator="equal">
      <formula>130</formula>
    </cfRule>
  </conditionalFormatting>
  <conditionalFormatting sqref="AE209">
    <cfRule type="cellIs" dxfId="236" priority="884" operator="equal">
      <formula>110</formula>
    </cfRule>
    <cfRule type="cellIs" dxfId="235" priority="885" operator="equal">
      <formula>160</formula>
    </cfRule>
    <cfRule type="cellIs" dxfId="234" priority="886" operator="equal">
      <formula>130</formula>
    </cfRule>
  </conditionalFormatting>
  <conditionalFormatting sqref="AE207">
    <cfRule type="cellIs" dxfId="233" priority="887" operator="equal">
      <formula>110</formula>
    </cfRule>
    <cfRule type="cellIs" dxfId="232" priority="888" operator="equal">
      <formula>160</formula>
    </cfRule>
    <cfRule type="cellIs" dxfId="231" priority="889" operator="equal">
      <formula>130</formula>
    </cfRule>
  </conditionalFormatting>
  <conditionalFormatting sqref="AE205">
    <cfRule type="cellIs" dxfId="230" priority="890" operator="equal">
      <formula>110</formula>
    </cfRule>
    <cfRule type="cellIs" dxfId="229" priority="891" operator="equal">
      <formula>160</formula>
    </cfRule>
    <cfRule type="cellIs" dxfId="228" priority="892" operator="equal">
      <formula>130</formula>
    </cfRule>
  </conditionalFormatting>
  <conditionalFormatting sqref="AE203">
    <cfRule type="cellIs" dxfId="227" priority="893" operator="equal">
      <formula>110</formula>
    </cfRule>
    <cfRule type="cellIs" dxfId="226" priority="894" operator="equal">
      <formula>160</formula>
    </cfRule>
    <cfRule type="cellIs" dxfId="225" priority="895" operator="equal">
      <formula>130</formula>
    </cfRule>
  </conditionalFormatting>
  <conditionalFormatting sqref="AE201">
    <cfRule type="cellIs" dxfId="224" priority="896" operator="equal">
      <formula>110</formula>
    </cfRule>
    <cfRule type="cellIs" dxfId="223" priority="897" operator="equal">
      <formula>160</formula>
    </cfRule>
    <cfRule type="cellIs" dxfId="222" priority="898" operator="equal">
      <formula>130</formula>
    </cfRule>
  </conditionalFormatting>
  <conditionalFormatting sqref="AE199">
    <cfRule type="cellIs" dxfId="221" priority="899" operator="equal">
      <formula>110</formula>
    </cfRule>
    <cfRule type="cellIs" dxfId="220" priority="900" operator="equal">
      <formula>160</formula>
    </cfRule>
    <cfRule type="cellIs" dxfId="219" priority="901" operator="equal">
      <formula>130</formula>
    </cfRule>
  </conditionalFormatting>
  <conditionalFormatting sqref="AE189">
    <cfRule type="cellIs" dxfId="218" priority="902" operator="equal">
      <formula>110</formula>
    </cfRule>
    <cfRule type="cellIs" dxfId="217" priority="903" operator="equal">
      <formula>160</formula>
    </cfRule>
    <cfRule type="cellIs" dxfId="216" priority="904" operator="equal">
      <formula>130</formula>
    </cfRule>
  </conditionalFormatting>
  <conditionalFormatting sqref="AE187">
    <cfRule type="cellIs" dxfId="215" priority="905" operator="equal">
      <formula>110</formula>
    </cfRule>
    <cfRule type="cellIs" dxfId="214" priority="906" operator="equal">
      <formula>160</formula>
    </cfRule>
    <cfRule type="cellIs" dxfId="213" priority="907" operator="equal">
      <formula>130</formula>
    </cfRule>
  </conditionalFormatting>
  <conditionalFormatting sqref="AE185">
    <cfRule type="cellIs" dxfId="212" priority="908" operator="equal">
      <formula>110</formula>
    </cfRule>
    <cfRule type="cellIs" dxfId="211" priority="909" operator="equal">
      <formula>160</formula>
    </cfRule>
    <cfRule type="cellIs" dxfId="210" priority="910" operator="equal">
      <formula>130</formula>
    </cfRule>
  </conditionalFormatting>
  <conditionalFormatting sqref="AE183">
    <cfRule type="cellIs" dxfId="209" priority="911" operator="equal">
      <formula>110</formula>
    </cfRule>
    <cfRule type="cellIs" dxfId="208" priority="912" operator="equal">
      <formula>160</formula>
    </cfRule>
    <cfRule type="cellIs" dxfId="207" priority="913" operator="equal">
      <formula>130</formula>
    </cfRule>
  </conditionalFormatting>
  <conditionalFormatting sqref="AE181">
    <cfRule type="cellIs" dxfId="206" priority="914" operator="equal">
      <formula>110</formula>
    </cfRule>
    <cfRule type="cellIs" dxfId="205" priority="915" operator="equal">
      <formula>160</formula>
    </cfRule>
    <cfRule type="cellIs" dxfId="204" priority="916" operator="equal">
      <formula>130</formula>
    </cfRule>
  </conditionalFormatting>
  <conditionalFormatting sqref="AE179">
    <cfRule type="cellIs" dxfId="203" priority="917" operator="equal">
      <formula>110</formula>
    </cfRule>
    <cfRule type="cellIs" dxfId="202" priority="918" operator="equal">
      <formula>160</formula>
    </cfRule>
    <cfRule type="cellIs" dxfId="201" priority="919" operator="equal">
      <formula>130</formula>
    </cfRule>
  </conditionalFormatting>
  <conditionalFormatting sqref="AE177">
    <cfRule type="cellIs" dxfId="200" priority="920" operator="equal">
      <formula>110</formula>
    </cfRule>
    <cfRule type="cellIs" dxfId="199" priority="921" operator="equal">
      <formula>160</formula>
    </cfRule>
    <cfRule type="cellIs" dxfId="198" priority="922" operator="equal">
      <formula>130</formula>
    </cfRule>
  </conditionalFormatting>
  <conditionalFormatting sqref="AE175">
    <cfRule type="cellIs" dxfId="197" priority="923" operator="equal">
      <formula>110</formula>
    </cfRule>
    <cfRule type="cellIs" dxfId="196" priority="924" operator="equal">
      <formula>160</formula>
    </cfRule>
    <cfRule type="cellIs" dxfId="195" priority="925" operator="equal">
      <formula>130</formula>
    </cfRule>
  </conditionalFormatting>
  <conditionalFormatting sqref="AE173">
    <cfRule type="cellIs" dxfId="194" priority="926" operator="equal">
      <formula>110</formula>
    </cfRule>
    <cfRule type="cellIs" dxfId="193" priority="927" operator="equal">
      <formula>160</formula>
    </cfRule>
    <cfRule type="cellIs" dxfId="192" priority="928" operator="equal">
      <formula>130</formula>
    </cfRule>
  </conditionalFormatting>
  <conditionalFormatting sqref="AE171">
    <cfRule type="cellIs" dxfId="191" priority="929" operator="equal">
      <formula>110</formula>
    </cfRule>
    <cfRule type="cellIs" dxfId="190" priority="930" operator="equal">
      <formula>160</formula>
    </cfRule>
    <cfRule type="cellIs" dxfId="189" priority="931" operator="equal">
      <formula>130</formula>
    </cfRule>
  </conditionalFormatting>
  <conditionalFormatting sqref="AE169">
    <cfRule type="cellIs" dxfId="188" priority="932" operator="equal">
      <formula>110</formula>
    </cfRule>
    <cfRule type="cellIs" dxfId="187" priority="933" operator="equal">
      <formula>160</formula>
    </cfRule>
    <cfRule type="cellIs" dxfId="186" priority="934" operator="equal">
      <formula>130</formula>
    </cfRule>
  </conditionalFormatting>
  <conditionalFormatting sqref="AE167">
    <cfRule type="cellIs" dxfId="185" priority="935" operator="equal">
      <formula>110</formula>
    </cfRule>
    <cfRule type="cellIs" dxfId="184" priority="936" operator="equal">
      <formula>160</formula>
    </cfRule>
    <cfRule type="cellIs" dxfId="183" priority="937" operator="equal">
      <formula>130</formula>
    </cfRule>
  </conditionalFormatting>
  <conditionalFormatting sqref="AE157">
    <cfRule type="cellIs" dxfId="182" priority="938" operator="equal">
      <formula>110</formula>
    </cfRule>
    <cfRule type="cellIs" dxfId="181" priority="939" operator="equal">
      <formula>160</formula>
    </cfRule>
    <cfRule type="cellIs" dxfId="180" priority="940" operator="equal">
      <formula>130</formula>
    </cfRule>
  </conditionalFormatting>
  <conditionalFormatting sqref="AE155">
    <cfRule type="cellIs" dxfId="179" priority="941" operator="equal">
      <formula>110</formula>
    </cfRule>
    <cfRule type="cellIs" dxfId="178" priority="942" operator="equal">
      <formula>160</formula>
    </cfRule>
    <cfRule type="cellIs" dxfId="177" priority="943" operator="equal">
      <formula>130</formula>
    </cfRule>
  </conditionalFormatting>
  <conditionalFormatting sqref="AE153">
    <cfRule type="cellIs" dxfId="176" priority="944" operator="equal">
      <formula>110</formula>
    </cfRule>
    <cfRule type="cellIs" dxfId="175" priority="945" operator="equal">
      <formula>160</formula>
    </cfRule>
    <cfRule type="cellIs" dxfId="174" priority="946" operator="equal">
      <formula>130</formula>
    </cfRule>
  </conditionalFormatting>
  <conditionalFormatting sqref="AE151">
    <cfRule type="cellIs" dxfId="173" priority="947" operator="equal">
      <formula>110</formula>
    </cfRule>
    <cfRule type="cellIs" dxfId="172" priority="948" operator="equal">
      <formula>160</formula>
    </cfRule>
    <cfRule type="cellIs" dxfId="171" priority="949" operator="equal">
      <formula>130</formula>
    </cfRule>
  </conditionalFormatting>
  <conditionalFormatting sqref="AE149">
    <cfRule type="cellIs" dxfId="170" priority="950" operator="equal">
      <formula>110</formula>
    </cfRule>
    <cfRule type="cellIs" dxfId="169" priority="951" operator="equal">
      <formula>160</formula>
    </cfRule>
    <cfRule type="cellIs" dxfId="168" priority="952" operator="equal">
      <formula>130</formula>
    </cfRule>
  </conditionalFormatting>
  <conditionalFormatting sqref="AE147">
    <cfRule type="cellIs" dxfId="167" priority="953" operator="equal">
      <formula>110</formula>
    </cfRule>
    <cfRule type="cellIs" dxfId="166" priority="954" operator="equal">
      <formula>160</formula>
    </cfRule>
    <cfRule type="cellIs" dxfId="165" priority="955" operator="equal">
      <formula>130</formula>
    </cfRule>
  </conditionalFormatting>
  <conditionalFormatting sqref="AE145">
    <cfRule type="cellIs" dxfId="164" priority="956" operator="equal">
      <formula>110</formula>
    </cfRule>
    <cfRule type="cellIs" dxfId="163" priority="957" operator="equal">
      <formula>160</formula>
    </cfRule>
    <cfRule type="cellIs" dxfId="162" priority="958" operator="equal">
      <formula>130</formula>
    </cfRule>
  </conditionalFormatting>
  <conditionalFormatting sqref="AE143">
    <cfRule type="cellIs" dxfId="161" priority="959" operator="equal">
      <formula>110</formula>
    </cfRule>
    <cfRule type="cellIs" dxfId="160" priority="960" operator="equal">
      <formula>160</formula>
    </cfRule>
    <cfRule type="cellIs" dxfId="159" priority="961" operator="equal">
      <formula>130</formula>
    </cfRule>
  </conditionalFormatting>
  <conditionalFormatting sqref="AE141">
    <cfRule type="cellIs" dxfId="158" priority="962" operator="equal">
      <formula>110</formula>
    </cfRule>
    <cfRule type="cellIs" dxfId="157" priority="963" operator="equal">
      <formula>160</formula>
    </cfRule>
    <cfRule type="cellIs" dxfId="156" priority="964" operator="equal">
      <formula>130</formula>
    </cfRule>
  </conditionalFormatting>
  <conditionalFormatting sqref="AE139">
    <cfRule type="cellIs" dxfId="155" priority="965" operator="equal">
      <formula>110</formula>
    </cfRule>
    <cfRule type="cellIs" dxfId="154" priority="966" operator="equal">
      <formula>160</formula>
    </cfRule>
    <cfRule type="cellIs" dxfId="153" priority="967" operator="equal">
      <formula>130</formula>
    </cfRule>
  </conditionalFormatting>
  <conditionalFormatting sqref="AE137">
    <cfRule type="cellIs" dxfId="152" priority="968" operator="equal">
      <formula>110</formula>
    </cfRule>
    <cfRule type="cellIs" dxfId="151" priority="969" operator="equal">
      <formula>160</formula>
    </cfRule>
    <cfRule type="cellIs" dxfId="150" priority="970" operator="equal">
      <formula>130</formula>
    </cfRule>
  </conditionalFormatting>
  <conditionalFormatting sqref="AE135">
    <cfRule type="cellIs" dxfId="149" priority="971" operator="equal">
      <formula>110</formula>
    </cfRule>
    <cfRule type="cellIs" dxfId="148" priority="972" operator="equal">
      <formula>160</formula>
    </cfRule>
    <cfRule type="cellIs" dxfId="147" priority="973" operator="equal">
      <formula>130</formula>
    </cfRule>
  </conditionalFormatting>
  <conditionalFormatting sqref="AE125">
    <cfRule type="cellIs" dxfId="146" priority="974" operator="equal">
      <formula>110</formula>
    </cfRule>
    <cfRule type="cellIs" dxfId="145" priority="975" operator="equal">
      <formula>160</formula>
    </cfRule>
    <cfRule type="cellIs" dxfId="144" priority="976" operator="equal">
      <formula>130</formula>
    </cfRule>
  </conditionalFormatting>
  <conditionalFormatting sqref="AE123">
    <cfRule type="cellIs" dxfId="143" priority="977" operator="equal">
      <formula>110</formula>
    </cfRule>
    <cfRule type="cellIs" dxfId="142" priority="978" operator="equal">
      <formula>160</formula>
    </cfRule>
    <cfRule type="cellIs" dxfId="141" priority="979" operator="equal">
      <formula>130</formula>
    </cfRule>
  </conditionalFormatting>
  <conditionalFormatting sqref="AE121">
    <cfRule type="cellIs" dxfId="140" priority="980" operator="equal">
      <formula>110</formula>
    </cfRule>
    <cfRule type="cellIs" dxfId="139" priority="981" operator="equal">
      <formula>160</formula>
    </cfRule>
    <cfRule type="cellIs" dxfId="138" priority="982" operator="equal">
      <formula>130</formula>
    </cfRule>
  </conditionalFormatting>
  <conditionalFormatting sqref="AE119">
    <cfRule type="cellIs" dxfId="137" priority="983" operator="equal">
      <formula>110</formula>
    </cfRule>
    <cfRule type="cellIs" dxfId="136" priority="984" operator="equal">
      <formula>160</formula>
    </cfRule>
    <cfRule type="cellIs" dxfId="135" priority="985" operator="equal">
      <formula>130</formula>
    </cfRule>
  </conditionalFormatting>
  <conditionalFormatting sqref="AE117">
    <cfRule type="cellIs" dxfId="134" priority="986" operator="equal">
      <formula>110</formula>
    </cfRule>
    <cfRule type="cellIs" dxfId="133" priority="987" operator="equal">
      <formula>160</formula>
    </cfRule>
    <cfRule type="cellIs" dxfId="132" priority="988" operator="equal">
      <formula>130</formula>
    </cfRule>
  </conditionalFormatting>
  <conditionalFormatting sqref="AE115">
    <cfRule type="cellIs" dxfId="131" priority="989" operator="equal">
      <formula>110</formula>
    </cfRule>
    <cfRule type="cellIs" dxfId="130" priority="990" operator="equal">
      <formula>160</formula>
    </cfRule>
    <cfRule type="cellIs" dxfId="129" priority="991" operator="equal">
      <formula>130</formula>
    </cfRule>
  </conditionalFormatting>
  <conditionalFormatting sqref="AE113">
    <cfRule type="cellIs" dxfId="128" priority="992" operator="equal">
      <formula>110</formula>
    </cfRule>
    <cfRule type="cellIs" dxfId="127" priority="993" operator="equal">
      <formula>160</formula>
    </cfRule>
    <cfRule type="cellIs" dxfId="126" priority="994" operator="equal">
      <formula>130</formula>
    </cfRule>
  </conditionalFormatting>
  <conditionalFormatting sqref="AE111">
    <cfRule type="cellIs" dxfId="125" priority="995" operator="equal">
      <formula>110</formula>
    </cfRule>
    <cfRule type="cellIs" dxfId="124" priority="996" operator="equal">
      <formula>160</formula>
    </cfRule>
    <cfRule type="cellIs" dxfId="123" priority="997" operator="equal">
      <formula>130</formula>
    </cfRule>
  </conditionalFormatting>
  <conditionalFormatting sqref="AE109">
    <cfRule type="cellIs" dxfId="122" priority="998" operator="equal">
      <formula>110</formula>
    </cfRule>
    <cfRule type="cellIs" dxfId="121" priority="999" operator="equal">
      <formula>160</formula>
    </cfRule>
    <cfRule type="cellIs" dxfId="120" priority="1000" operator="equal">
      <formula>130</formula>
    </cfRule>
  </conditionalFormatting>
  <conditionalFormatting sqref="AE107">
    <cfRule type="cellIs" dxfId="119" priority="1001" operator="equal">
      <formula>110</formula>
    </cfRule>
    <cfRule type="cellIs" dxfId="118" priority="1002" operator="equal">
      <formula>160</formula>
    </cfRule>
    <cfRule type="cellIs" dxfId="117" priority="1003" operator="equal">
      <formula>130</formula>
    </cfRule>
  </conditionalFormatting>
  <conditionalFormatting sqref="AE105">
    <cfRule type="cellIs" dxfId="116" priority="1004" operator="equal">
      <formula>110</formula>
    </cfRule>
    <cfRule type="cellIs" dxfId="115" priority="1005" operator="equal">
      <formula>160</formula>
    </cfRule>
    <cfRule type="cellIs" dxfId="114" priority="1006" operator="equal">
      <formula>130</formula>
    </cfRule>
  </conditionalFormatting>
  <conditionalFormatting sqref="AE103">
    <cfRule type="cellIs" dxfId="113" priority="1007" operator="equal">
      <formula>110</formula>
    </cfRule>
    <cfRule type="cellIs" dxfId="112" priority="1008" operator="equal">
      <formula>160</formula>
    </cfRule>
    <cfRule type="cellIs" dxfId="111" priority="1009" operator="equal">
      <formula>130</formula>
    </cfRule>
  </conditionalFormatting>
  <conditionalFormatting sqref="AE93">
    <cfRule type="cellIs" dxfId="110" priority="1010" operator="equal">
      <formula>110</formula>
    </cfRule>
    <cfRule type="cellIs" dxfId="109" priority="1011" operator="equal">
      <formula>160</formula>
    </cfRule>
    <cfRule type="cellIs" dxfId="108" priority="1012" operator="equal">
      <formula>130</formula>
    </cfRule>
  </conditionalFormatting>
  <conditionalFormatting sqref="AE91">
    <cfRule type="cellIs" dxfId="107" priority="1013" operator="equal">
      <formula>110</formula>
    </cfRule>
    <cfRule type="cellIs" dxfId="106" priority="1014" operator="equal">
      <formula>160</formula>
    </cfRule>
    <cfRule type="cellIs" dxfId="105" priority="1015" operator="equal">
      <formula>130</formula>
    </cfRule>
  </conditionalFormatting>
  <conditionalFormatting sqref="AE89">
    <cfRule type="cellIs" dxfId="104" priority="1016" operator="equal">
      <formula>110</formula>
    </cfRule>
    <cfRule type="cellIs" dxfId="103" priority="1017" operator="equal">
      <formula>160</formula>
    </cfRule>
    <cfRule type="cellIs" dxfId="102" priority="1018" operator="equal">
      <formula>130</formula>
    </cfRule>
  </conditionalFormatting>
  <conditionalFormatting sqref="AE87">
    <cfRule type="cellIs" dxfId="101" priority="1019" operator="equal">
      <formula>110</formula>
    </cfRule>
    <cfRule type="cellIs" dxfId="100" priority="1020" operator="equal">
      <formula>160</formula>
    </cfRule>
    <cfRule type="cellIs" dxfId="99" priority="1021" operator="equal">
      <formula>130</formula>
    </cfRule>
  </conditionalFormatting>
  <conditionalFormatting sqref="AE85">
    <cfRule type="cellIs" dxfId="98" priority="1022" operator="equal">
      <formula>110</formula>
    </cfRule>
    <cfRule type="cellIs" dxfId="97" priority="1023" operator="equal">
      <formula>160</formula>
    </cfRule>
    <cfRule type="cellIs" dxfId="96" priority="1024" operator="equal">
      <formula>130</formula>
    </cfRule>
  </conditionalFormatting>
  <conditionalFormatting sqref="AE83">
    <cfRule type="cellIs" dxfId="95" priority="1025" operator="equal">
      <formula>110</formula>
    </cfRule>
    <cfRule type="cellIs" dxfId="94" priority="1026" operator="equal">
      <formula>160</formula>
    </cfRule>
    <cfRule type="cellIs" dxfId="93" priority="1027" operator="equal">
      <formula>130</formula>
    </cfRule>
  </conditionalFormatting>
  <conditionalFormatting sqref="AE81">
    <cfRule type="cellIs" dxfId="92" priority="1028" operator="equal">
      <formula>110</formula>
    </cfRule>
    <cfRule type="cellIs" dxfId="91" priority="1029" operator="equal">
      <formula>160</formula>
    </cfRule>
    <cfRule type="cellIs" dxfId="90" priority="1030" operator="equal">
      <formula>130</formula>
    </cfRule>
  </conditionalFormatting>
  <conditionalFormatting sqref="AE79">
    <cfRule type="cellIs" dxfId="89" priority="1031" operator="equal">
      <formula>110</formula>
    </cfRule>
    <cfRule type="cellIs" dxfId="88" priority="1032" operator="equal">
      <formula>160</formula>
    </cfRule>
    <cfRule type="cellIs" dxfId="87" priority="1033" operator="equal">
      <formula>130</formula>
    </cfRule>
  </conditionalFormatting>
  <conditionalFormatting sqref="AE77">
    <cfRule type="cellIs" dxfId="86" priority="1034" operator="equal">
      <formula>110</formula>
    </cfRule>
    <cfRule type="cellIs" dxfId="85" priority="1035" operator="equal">
      <formula>160</formula>
    </cfRule>
    <cfRule type="cellIs" dxfId="84" priority="1036" operator="equal">
      <formula>130</formula>
    </cfRule>
  </conditionalFormatting>
  <conditionalFormatting sqref="AE75">
    <cfRule type="cellIs" dxfId="83" priority="1037" operator="equal">
      <formula>110</formula>
    </cfRule>
    <cfRule type="cellIs" dxfId="82" priority="1038" operator="equal">
      <formula>160</formula>
    </cfRule>
    <cfRule type="cellIs" dxfId="81" priority="1039" operator="equal">
      <formula>130</formula>
    </cfRule>
  </conditionalFormatting>
  <conditionalFormatting sqref="AE73">
    <cfRule type="cellIs" dxfId="80" priority="1040" operator="equal">
      <formula>110</formula>
    </cfRule>
    <cfRule type="cellIs" dxfId="79" priority="1041" operator="equal">
      <formula>160</formula>
    </cfRule>
    <cfRule type="cellIs" dxfId="78" priority="1042" operator="equal">
      <formula>130</formula>
    </cfRule>
  </conditionalFormatting>
  <conditionalFormatting sqref="AE71">
    <cfRule type="cellIs" dxfId="77" priority="1043" operator="equal">
      <formula>110</formula>
    </cfRule>
    <cfRule type="cellIs" dxfId="76" priority="1044" operator="equal">
      <formula>160</formula>
    </cfRule>
    <cfRule type="cellIs" dxfId="75" priority="1045" operator="equal">
      <formula>130</formula>
    </cfRule>
  </conditionalFormatting>
  <conditionalFormatting sqref="AE61">
    <cfRule type="cellIs" dxfId="74" priority="1046" operator="equal">
      <formula>110</formula>
    </cfRule>
    <cfRule type="cellIs" dxfId="73" priority="1047" operator="equal">
      <formula>160</formula>
    </cfRule>
    <cfRule type="cellIs" dxfId="72" priority="1048" operator="equal">
      <formula>130</formula>
    </cfRule>
  </conditionalFormatting>
  <conditionalFormatting sqref="AE59">
    <cfRule type="cellIs" dxfId="71" priority="1049" operator="equal">
      <formula>110</formula>
    </cfRule>
    <cfRule type="cellIs" dxfId="70" priority="1050" operator="equal">
      <formula>160</formula>
    </cfRule>
    <cfRule type="cellIs" dxfId="69" priority="1051" operator="equal">
      <formula>130</formula>
    </cfRule>
  </conditionalFormatting>
  <conditionalFormatting sqref="AE57">
    <cfRule type="cellIs" dxfId="68" priority="1052" operator="equal">
      <formula>110</formula>
    </cfRule>
    <cfRule type="cellIs" dxfId="67" priority="1053" operator="equal">
      <formula>160</formula>
    </cfRule>
    <cfRule type="cellIs" dxfId="66" priority="1054" operator="equal">
      <formula>130</formula>
    </cfRule>
  </conditionalFormatting>
  <conditionalFormatting sqref="AE55">
    <cfRule type="cellIs" dxfId="65" priority="1055" operator="equal">
      <formula>110</formula>
    </cfRule>
    <cfRule type="cellIs" dxfId="64" priority="1056" operator="equal">
      <formula>160</formula>
    </cfRule>
    <cfRule type="cellIs" dxfId="63" priority="1057" operator="equal">
      <formula>130</formula>
    </cfRule>
  </conditionalFormatting>
  <conditionalFormatting sqref="AE53">
    <cfRule type="cellIs" dxfId="62" priority="1058" operator="equal">
      <formula>110</formula>
    </cfRule>
    <cfRule type="cellIs" dxfId="61" priority="1059" operator="equal">
      <formula>160</formula>
    </cfRule>
    <cfRule type="cellIs" dxfId="60" priority="1060" operator="equal">
      <formula>130</formula>
    </cfRule>
  </conditionalFormatting>
  <conditionalFormatting sqref="AE51">
    <cfRule type="cellIs" dxfId="59" priority="1061" operator="equal">
      <formula>110</formula>
    </cfRule>
    <cfRule type="cellIs" dxfId="58" priority="1062" operator="equal">
      <formula>160</formula>
    </cfRule>
    <cfRule type="cellIs" dxfId="57" priority="1063" operator="equal">
      <formula>130</formula>
    </cfRule>
  </conditionalFormatting>
  <conditionalFormatting sqref="AE49">
    <cfRule type="cellIs" dxfId="56" priority="1064" operator="equal">
      <formula>110</formula>
    </cfRule>
    <cfRule type="cellIs" dxfId="55" priority="1065" operator="equal">
      <formula>160</formula>
    </cfRule>
    <cfRule type="cellIs" dxfId="54" priority="1066" operator="equal">
      <formula>130</formula>
    </cfRule>
  </conditionalFormatting>
  <conditionalFormatting sqref="AE47">
    <cfRule type="cellIs" dxfId="53" priority="1067" operator="equal">
      <formula>110</formula>
    </cfRule>
    <cfRule type="cellIs" dxfId="52" priority="1068" operator="equal">
      <formula>160</formula>
    </cfRule>
    <cfRule type="cellIs" dxfId="51" priority="1069" operator="equal">
      <formula>130</formula>
    </cfRule>
  </conditionalFormatting>
  <conditionalFormatting sqref="AE45">
    <cfRule type="cellIs" dxfId="50" priority="1070" operator="equal">
      <formula>110</formula>
    </cfRule>
    <cfRule type="cellIs" dxfId="49" priority="1071" operator="equal">
      <formula>160</formula>
    </cfRule>
    <cfRule type="cellIs" dxfId="48" priority="1072" operator="equal">
      <formula>130</formula>
    </cfRule>
  </conditionalFormatting>
  <conditionalFormatting sqref="AE43">
    <cfRule type="cellIs" dxfId="47" priority="1073" operator="equal">
      <formula>110</formula>
    </cfRule>
    <cfRule type="cellIs" dxfId="46" priority="1074" operator="equal">
      <formula>160</formula>
    </cfRule>
    <cfRule type="cellIs" dxfId="45" priority="1075" operator="equal">
      <formula>130</formula>
    </cfRule>
  </conditionalFormatting>
  <conditionalFormatting sqref="AE41">
    <cfRule type="cellIs" dxfId="44" priority="1076" operator="equal">
      <formula>110</formula>
    </cfRule>
    <cfRule type="cellIs" dxfId="43" priority="1077" operator="equal">
      <formula>160</formula>
    </cfRule>
    <cfRule type="cellIs" dxfId="42" priority="1078" operator="equal">
      <formula>130</formula>
    </cfRule>
  </conditionalFormatting>
  <conditionalFormatting sqref="AE39">
    <cfRule type="cellIs" dxfId="41" priority="1079" operator="equal">
      <formula>110</formula>
    </cfRule>
    <cfRule type="cellIs" dxfId="40" priority="1080" operator="equal">
      <formula>160</formula>
    </cfRule>
    <cfRule type="cellIs" dxfId="39" priority="1081" operator="equal">
      <formula>130</formula>
    </cfRule>
  </conditionalFormatting>
  <conditionalFormatting sqref="AE29">
    <cfRule type="cellIs" dxfId="38" priority="1082" operator="equal">
      <formula>110</formula>
    </cfRule>
    <cfRule type="cellIs" dxfId="37" priority="1083" operator="equal">
      <formula>160</formula>
    </cfRule>
    <cfRule type="cellIs" dxfId="36" priority="1084" operator="equal">
      <formula>130</formula>
    </cfRule>
  </conditionalFormatting>
  <conditionalFormatting sqref="AE27">
    <cfRule type="cellIs" dxfId="35" priority="1085" operator="equal">
      <formula>110</formula>
    </cfRule>
    <cfRule type="cellIs" dxfId="34" priority="1086" operator="equal">
      <formula>160</formula>
    </cfRule>
    <cfRule type="cellIs" dxfId="33" priority="1087" operator="equal">
      <formula>130</formula>
    </cfRule>
  </conditionalFormatting>
  <conditionalFormatting sqref="AE25">
    <cfRule type="cellIs" dxfId="32" priority="1088" operator="equal">
      <formula>110</formula>
    </cfRule>
    <cfRule type="cellIs" dxfId="31" priority="1089" operator="equal">
      <formula>160</formula>
    </cfRule>
    <cfRule type="cellIs" dxfId="30" priority="1090" operator="equal">
      <formula>130</formula>
    </cfRule>
  </conditionalFormatting>
  <conditionalFormatting sqref="AE23">
    <cfRule type="cellIs" dxfId="29" priority="1091" operator="equal">
      <formula>110</formula>
    </cfRule>
    <cfRule type="cellIs" dxfId="28" priority="1092" operator="equal">
      <formula>160</formula>
    </cfRule>
    <cfRule type="cellIs" dxfId="27" priority="1093" operator="equal">
      <formula>130</formula>
    </cfRule>
  </conditionalFormatting>
  <conditionalFormatting sqref="AE21">
    <cfRule type="cellIs" dxfId="26" priority="1094" operator="equal">
      <formula>110</formula>
    </cfRule>
    <cfRule type="cellIs" dxfId="25" priority="1095" operator="equal">
      <formula>160</formula>
    </cfRule>
    <cfRule type="cellIs" dxfId="24" priority="1096" operator="equal">
      <formula>130</formula>
    </cfRule>
  </conditionalFormatting>
  <conditionalFormatting sqref="AE19">
    <cfRule type="cellIs" dxfId="23" priority="1097" operator="equal">
      <formula>110</formula>
    </cfRule>
    <cfRule type="cellIs" dxfId="22" priority="1098" operator="equal">
      <formula>160</formula>
    </cfRule>
    <cfRule type="cellIs" dxfId="21" priority="1099" operator="equal">
      <formula>130</formula>
    </cfRule>
  </conditionalFormatting>
  <conditionalFormatting sqref="AE17">
    <cfRule type="cellIs" dxfId="20" priority="1100" operator="equal">
      <formula>110</formula>
    </cfRule>
    <cfRule type="cellIs" dxfId="19" priority="1101" operator="equal">
      <formula>160</formula>
    </cfRule>
    <cfRule type="cellIs" dxfId="18" priority="1102" operator="equal">
      <formula>130</formula>
    </cfRule>
  </conditionalFormatting>
  <conditionalFormatting sqref="AE15">
    <cfRule type="cellIs" dxfId="17" priority="1103" operator="equal">
      <formula>110</formula>
    </cfRule>
    <cfRule type="cellIs" dxfId="16" priority="1104" operator="equal">
      <formula>160</formula>
    </cfRule>
    <cfRule type="cellIs" dxfId="15" priority="1105" operator="equal">
      <formula>130</formula>
    </cfRule>
  </conditionalFormatting>
  <conditionalFormatting sqref="AE13">
    <cfRule type="cellIs" dxfId="14" priority="1106" operator="equal">
      <formula>110</formula>
    </cfRule>
    <cfRule type="cellIs" dxfId="13" priority="1107" operator="equal">
      <formula>160</formula>
    </cfRule>
    <cfRule type="cellIs" dxfId="12" priority="1108" operator="equal">
      <formula>130</formula>
    </cfRule>
  </conditionalFormatting>
  <conditionalFormatting sqref="AE11">
    <cfRule type="cellIs" dxfId="11" priority="1109" operator="equal">
      <formula>110</formula>
    </cfRule>
    <cfRule type="cellIs" dxfId="10" priority="1110" operator="equal">
      <formula>160</formula>
    </cfRule>
    <cfRule type="cellIs" dxfId="9" priority="1111" operator="equal">
      <formula>130</formula>
    </cfRule>
  </conditionalFormatting>
  <conditionalFormatting sqref="AE9">
    <cfRule type="cellIs" dxfId="8" priority="1112" operator="equal">
      <formula>110</formula>
    </cfRule>
    <cfRule type="cellIs" dxfId="7" priority="1113" operator="equal">
      <formula>160</formula>
    </cfRule>
    <cfRule type="cellIs" dxfId="6" priority="1114" operator="equal">
      <formula>130</formula>
    </cfRule>
  </conditionalFormatting>
  <conditionalFormatting sqref="W61">
    <cfRule type="expression" dxfId="5" priority="1115">
      <formula>OR(#REF!="", #REF!="0", #REF!="-")</formula>
    </cfRule>
  </conditionalFormatting>
  <conditionalFormatting sqref="AC1:AC455 AC479:AD499 AC511:AC1048576 AD7:AD455 AD511:AD989 AE7 AF7:AF455 AF479:AF499 AF511:AF989">
    <cfRule type="cellIs" dxfId="4" priority="1116" operator="equal">
      <formula>110</formula>
    </cfRule>
    <cfRule type="cellIs" dxfId="3" priority="1117" operator="equal">
      <formula>160</formula>
    </cfRule>
    <cfRule type="cellIs" dxfId="2" priority="1118" operator="equal">
      <formula>130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108"/>
  <sheetViews>
    <sheetView zoomScale="90" zoomScaleNormal="90" workbookViewId="0">
      <selection activeCell="T585" sqref="T585"/>
    </sheetView>
  </sheetViews>
  <sheetFormatPr defaultColWidth="8.7109375" defaultRowHeight="15" customHeight="1"/>
  <cols>
    <col min="1" max="1" width="10.28515625" style="295" customWidth="1"/>
    <col min="2" max="2" width="10.140625" customWidth="1"/>
    <col min="3" max="3" width="12.85546875" customWidth="1"/>
    <col min="11" max="15" width="6" customWidth="1"/>
    <col min="16" max="16" width="9.28515625" customWidth="1"/>
    <col min="17" max="17" width="10.85546875" customWidth="1"/>
    <col min="18" max="19" width="4.42578125" customWidth="1"/>
    <col min="20" max="20" width="12.140625" customWidth="1"/>
    <col min="21" max="21" width="17.7109375" customWidth="1"/>
  </cols>
  <sheetData>
    <row r="1" spans="1:21" ht="45.75" customHeight="1">
      <c r="A1" s="1455"/>
      <c r="B1" s="1455"/>
      <c r="C1" s="1455"/>
      <c r="D1" s="847"/>
      <c r="E1" s="1456" t="s">
        <v>774</v>
      </c>
      <c r="F1" s="1456"/>
      <c r="G1" s="1456"/>
      <c r="H1" s="1456"/>
      <c r="I1" s="1456"/>
      <c r="J1" s="1456"/>
      <c r="K1" s="1456"/>
      <c r="L1" s="1456"/>
      <c r="M1" s="1456"/>
      <c r="N1" s="1456"/>
      <c r="O1" s="1456"/>
      <c r="P1" s="1456"/>
      <c r="Q1" s="1456"/>
      <c r="R1" s="1456"/>
      <c r="S1" s="848"/>
      <c r="T1" s="1457" t="s">
        <v>775</v>
      </c>
      <c r="U1" s="1457"/>
    </row>
    <row r="2" spans="1:21" ht="18.75" customHeight="1">
      <c r="A2" s="849"/>
      <c r="E2" s="1458" t="s">
        <v>776</v>
      </c>
      <c r="F2" s="1458"/>
      <c r="G2" s="1458"/>
      <c r="H2" s="1458"/>
      <c r="I2" s="1458"/>
      <c r="J2" s="1458"/>
      <c r="K2" s="1458"/>
      <c r="L2" s="1458"/>
      <c r="M2" s="1458"/>
      <c r="N2" s="1458"/>
      <c r="O2" s="1458"/>
      <c r="P2" s="1458"/>
      <c r="Q2" s="1458"/>
      <c r="R2" s="1458"/>
      <c r="U2" s="456"/>
    </row>
    <row r="3" spans="1:21" ht="18.75" customHeight="1">
      <c r="A3" s="850"/>
      <c r="F3" s="587"/>
      <c r="G3" s="587"/>
      <c r="H3" s="587"/>
      <c r="I3" s="587"/>
      <c r="J3" s="587"/>
      <c r="K3" s="587"/>
      <c r="L3" s="587"/>
      <c r="M3" s="851"/>
      <c r="N3" s="852"/>
      <c r="O3" s="851"/>
      <c r="P3" s="1459" t="s">
        <v>777</v>
      </c>
      <c r="Q3" s="1459"/>
      <c r="R3" s="1459"/>
      <c r="S3" s="1459"/>
      <c r="T3" s="1459"/>
      <c r="U3" s="1459"/>
    </row>
    <row r="4" spans="1:21" ht="15" customHeight="1">
      <c r="A4" s="849"/>
      <c r="E4" s="1287" t="s">
        <v>778</v>
      </c>
      <c r="F4" s="1287"/>
      <c r="G4" s="1287"/>
      <c r="H4" s="1287"/>
      <c r="I4" s="1287"/>
      <c r="J4" s="1287"/>
      <c r="K4" s="1287"/>
      <c r="L4" s="1287"/>
      <c r="M4" s="1287"/>
      <c r="N4" s="1287"/>
      <c r="O4" s="1287"/>
      <c r="P4" s="1287"/>
      <c r="Q4" s="1287"/>
      <c r="R4" s="1287"/>
      <c r="U4" s="456"/>
    </row>
    <row r="5" spans="1:21" ht="18.75" customHeight="1">
      <c r="A5" s="849"/>
      <c r="E5" s="1286" t="s">
        <v>779</v>
      </c>
      <c r="F5" s="1286"/>
      <c r="G5" s="1286"/>
      <c r="H5" s="1286"/>
      <c r="I5" s="1286"/>
      <c r="J5" s="1286"/>
      <c r="K5" s="1286"/>
      <c r="L5" s="1286"/>
      <c r="M5" s="1286"/>
      <c r="N5" s="1286"/>
      <c r="O5" s="1286"/>
      <c r="P5" s="1286"/>
      <c r="Q5" s="1286"/>
      <c r="R5" s="1286"/>
      <c r="U5" s="853"/>
    </row>
    <row r="6" spans="1:21" ht="23.25" customHeight="1">
      <c r="A6" s="854" t="s">
        <v>780</v>
      </c>
      <c r="B6" s="855"/>
      <c r="C6" s="855"/>
      <c r="D6" s="856" t="s">
        <v>824</v>
      </c>
      <c r="E6" s="857"/>
      <c r="F6" s="858"/>
      <c r="G6" s="859"/>
      <c r="H6" s="859"/>
      <c r="I6" s="859"/>
      <c r="J6" s="859"/>
      <c r="K6" s="859"/>
      <c r="L6" s="860"/>
      <c r="M6" s="1460"/>
      <c r="N6" s="1460"/>
      <c r="O6" s="1460"/>
      <c r="P6" s="1461" t="s">
        <v>781</v>
      </c>
      <c r="Q6" s="1461"/>
      <c r="R6" s="1461"/>
      <c r="S6" s="855"/>
      <c r="T6" s="861">
        <v>46296</v>
      </c>
      <c r="U6" s="456"/>
    </row>
    <row r="7" spans="1:21" ht="23.25" customHeight="1">
      <c r="A7" s="854"/>
      <c r="B7" s="862"/>
      <c r="C7" s="862"/>
      <c r="D7" s="862"/>
      <c r="E7" s="163"/>
      <c r="F7" s="863"/>
      <c r="G7" s="863"/>
      <c r="H7" s="863"/>
      <c r="I7" s="863"/>
      <c r="J7" s="863"/>
      <c r="K7" s="863"/>
      <c r="U7" s="456"/>
    </row>
    <row r="8" spans="1:21" ht="21" customHeight="1">
      <c r="A8" s="864" t="s">
        <v>782</v>
      </c>
      <c r="B8" s="865"/>
      <c r="C8" s="866"/>
      <c r="D8" s="867"/>
      <c r="E8" s="868"/>
      <c r="F8" s="869"/>
      <c r="G8" s="869"/>
      <c r="H8" s="869"/>
      <c r="I8" s="870"/>
      <c r="J8" s="870"/>
      <c r="P8" s="1462"/>
      <c r="Q8" s="1462"/>
      <c r="R8" s="1462"/>
      <c r="S8" s="1462"/>
      <c r="T8" s="871"/>
      <c r="U8" s="456"/>
    </row>
    <row r="9" spans="1:21" ht="21" customHeight="1">
      <c r="A9" s="872"/>
      <c r="B9" s="873"/>
      <c r="C9" s="869"/>
      <c r="D9" s="869"/>
      <c r="E9" s="869"/>
      <c r="F9" s="869"/>
      <c r="G9" s="869"/>
      <c r="H9" s="869"/>
      <c r="I9" s="870"/>
      <c r="J9" s="870"/>
      <c r="U9" s="456"/>
    </row>
    <row r="10" spans="1:21" ht="15" customHeight="1">
      <c r="A10" s="1463" t="s">
        <v>783</v>
      </c>
      <c r="B10" s="1463"/>
      <c r="C10" s="1463"/>
      <c r="D10" s="1463"/>
      <c r="E10" s="1463"/>
      <c r="F10" s="1463"/>
      <c r="G10" s="1463"/>
      <c r="H10" s="1463"/>
      <c r="I10" s="1463"/>
      <c r="J10" s="1463"/>
      <c r="K10" s="1463"/>
      <c r="L10" s="1463"/>
      <c r="M10" s="1463"/>
      <c r="N10" s="1463"/>
      <c r="O10" s="1463"/>
      <c r="P10" s="1463"/>
      <c r="Q10" s="1463"/>
      <c r="R10" s="1463"/>
      <c r="S10" s="1463"/>
      <c r="T10" s="1463"/>
      <c r="U10" s="1463"/>
    </row>
    <row r="11" spans="1:21" ht="15" customHeight="1">
      <c r="A11" s="1463"/>
      <c r="B11" s="1463"/>
      <c r="C11" s="1463"/>
      <c r="D11" s="1463"/>
      <c r="E11" s="1463"/>
      <c r="F11" s="1463"/>
      <c r="G11" s="1463"/>
      <c r="H11" s="1463"/>
      <c r="I11" s="1463"/>
      <c r="J11" s="1463"/>
      <c r="K11" s="1463"/>
      <c r="L11" s="1463"/>
      <c r="M11" s="1463"/>
      <c r="N11" s="1463"/>
      <c r="O11" s="1463"/>
      <c r="P11" s="1463"/>
      <c r="Q11" s="1463"/>
      <c r="R11" s="1463"/>
      <c r="S11" s="1463"/>
      <c r="T11" s="1463"/>
      <c r="U11" s="1463"/>
    </row>
    <row r="12" spans="1:21" ht="18" customHeight="1">
      <c r="A12" s="1464" t="s">
        <v>784</v>
      </c>
      <c r="B12" s="1464"/>
      <c r="C12" s="1464"/>
      <c r="D12" s="1464"/>
      <c r="E12" s="1464"/>
      <c r="F12" s="1464"/>
      <c r="G12" s="1464"/>
      <c r="H12" s="1464"/>
      <c r="I12" s="1464"/>
      <c r="J12" s="1464"/>
      <c r="K12" s="1464"/>
      <c r="L12" s="1464"/>
      <c r="M12" s="1464"/>
      <c r="N12" s="1464"/>
      <c r="O12" s="1464"/>
      <c r="P12" s="1464"/>
      <c r="Q12" s="1464"/>
      <c r="R12" s="1464"/>
      <c r="S12" s="1464"/>
      <c r="T12" s="1464"/>
      <c r="U12" s="1464"/>
    </row>
    <row r="13" spans="1:21" ht="23.25" customHeight="1">
      <c r="A13" s="1465" t="s">
        <v>785</v>
      </c>
      <c r="B13" s="1465"/>
      <c r="C13" s="1465"/>
      <c r="D13" s="1465"/>
      <c r="E13" s="1465"/>
      <c r="F13" s="1465"/>
      <c r="G13" s="1465"/>
      <c r="H13" s="1465"/>
      <c r="I13" s="1465"/>
      <c r="J13" s="1465"/>
      <c r="K13" s="1465"/>
      <c r="L13" s="1465"/>
      <c r="M13" s="1465"/>
      <c r="N13" s="1465"/>
      <c r="O13" s="1465"/>
      <c r="P13" s="1465"/>
      <c r="Q13" s="1465"/>
      <c r="R13" s="1465"/>
      <c r="S13" s="1465"/>
      <c r="T13" s="1465"/>
      <c r="U13" s="1465"/>
    </row>
    <row r="14" spans="1:21" ht="21.75" customHeight="1">
      <c r="A14" s="874"/>
      <c r="B14" s="875"/>
      <c r="C14" s="875"/>
      <c r="D14" s="875"/>
      <c r="E14" s="875"/>
      <c r="F14" s="875"/>
      <c r="G14" s="875"/>
      <c r="H14" s="875"/>
      <c r="I14" s="875"/>
      <c r="J14" s="875"/>
      <c r="K14" s="875"/>
      <c r="L14" s="875"/>
      <c r="M14" s="875"/>
      <c r="N14" s="875"/>
      <c r="O14" s="875"/>
      <c r="P14" s="875"/>
      <c r="Q14" s="875"/>
      <c r="R14" s="875"/>
      <c r="S14" s="875"/>
      <c r="T14" s="875"/>
      <c r="U14" s="876"/>
    </row>
    <row r="15" spans="1:21" ht="15" customHeight="1">
      <c r="A15" s="1466" t="s">
        <v>786</v>
      </c>
      <c r="B15" s="1467" t="s">
        <v>787</v>
      </c>
      <c r="C15" s="1468" t="s">
        <v>788</v>
      </c>
      <c r="D15" s="1468" t="s">
        <v>789</v>
      </c>
      <c r="E15" s="1469" t="s">
        <v>790</v>
      </c>
      <c r="F15" s="1468" t="s">
        <v>791</v>
      </c>
      <c r="G15" s="1468"/>
      <c r="H15" s="1468"/>
      <c r="I15" s="1468"/>
      <c r="J15" s="1468"/>
      <c r="K15" s="1468"/>
      <c r="L15" s="1468"/>
      <c r="M15" s="1468"/>
      <c r="N15" s="1468"/>
      <c r="O15" s="1468"/>
      <c r="P15" s="1470"/>
      <c r="Q15" s="1470"/>
      <c r="R15" s="1470"/>
      <c r="S15" s="1470"/>
      <c r="T15" s="1470"/>
      <c r="U15" s="1470"/>
    </row>
    <row r="16" spans="1:21" ht="15.75" customHeight="1">
      <c r="A16" s="1466"/>
      <c r="B16" s="1467"/>
      <c r="C16" s="1468"/>
      <c r="D16" s="1468"/>
      <c r="E16" s="1469"/>
      <c r="F16" s="1468"/>
      <c r="G16" s="1468"/>
      <c r="H16" s="1468"/>
      <c r="I16" s="1468"/>
      <c r="J16" s="1468"/>
      <c r="K16" s="1468"/>
      <c r="L16" s="1468"/>
      <c r="M16" s="1468"/>
      <c r="N16" s="1468"/>
      <c r="O16" s="1468"/>
      <c r="P16" s="1470"/>
      <c r="Q16" s="1470"/>
      <c r="R16" s="1470"/>
      <c r="S16" s="1470"/>
      <c r="T16" s="1470"/>
      <c r="U16" s="1470"/>
    </row>
    <row r="17" spans="1:21" ht="48" customHeight="1">
      <c r="A17" s="1466"/>
      <c r="B17" s="1467"/>
      <c r="C17" s="1468"/>
      <c r="D17" s="1468"/>
      <c r="E17" s="1469"/>
      <c r="F17" s="878" t="s">
        <v>792</v>
      </c>
      <c r="G17" s="877" t="s">
        <v>793</v>
      </c>
      <c r="H17" s="878" t="s">
        <v>794</v>
      </c>
      <c r="I17" s="879" t="s">
        <v>795</v>
      </c>
      <c r="J17" s="880" t="s">
        <v>796</v>
      </c>
      <c r="K17" s="1468" t="s">
        <v>797</v>
      </c>
      <c r="L17" s="1468"/>
      <c r="M17" s="1468"/>
      <c r="N17" s="1468"/>
      <c r="O17" s="1468"/>
      <c r="P17" s="881" t="s">
        <v>798</v>
      </c>
      <c r="Q17" s="882" t="s">
        <v>799</v>
      </c>
      <c r="R17" s="1469" t="s">
        <v>800</v>
      </c>
      <c r="S17" s="1469"/>
      <c r="T17" s="877" t="s">
        <v>801</v>
      </c>
      <c r="U17" s="879" t="s">
        <v>104</v>
      </c>
    </row>
    <row r="18" spans="1:21" ht="19.5" customHeight="1">
      <c r="A18" s="883"/>
      <c r="B18" s="884" t="str">
        <f>IF('BIS Doc'!AC7=130, "130 × 130", IF('BIS Doc'!AC7=160, "160 × 160", IF('BIS Doc'!AC7=110, "110 × 110", "Value not 130, 160, or 110")))</f>
        <v>Value not 130, 160, or 110</v>
      </c>
      <c r="C18" s="885" t="str">
        <f>'BIS Doc'!W7</f>
        <v>1.10.1</v>
      </c>
      <c r="D18" s="886"/>
      <c r="E18" s="887" t="e">
        <f>'BIS Doc'!AE7</f>
        <v>#VALUE!</v>
      </c>
      <c r="F18" s="888">
        <f ca="1">'BIS Doc'!F7</f>
        <v>0</v>
      </c>
      <c r="G18" s="888">
        <f ca="1">'BIS Doc'!J7</f>
        <v>0</v>
      </c>
      <c r="H18" s="888">
        <f ca="1">'BIS Doc'!G7</f>
        <v>0.52336332227983817</v>
      </c>
      <c r="I18" s="889">
        <f ca="1">'BIS Doc'!H7</f>
        <v>0</v>
      </c>
      <c r="J18" s="889">
        <f ca="1">'BIS Doc'!I7</f>
        <v>0</v>
      </c>
      <c r="K18" s="1449" t="str">
        <f t="shared" ref="K18:K23" ca="1" si="0">IF(H18&lt;0.6, "IS 14650 CPS 10748/GR2", "IS 14650 CPS 10748/GR3")</f>
        <v>IS 14650 CPS 10748/GR2</v>
      </c>
      <c r="L18" s="1449"/>
      <c r="M18" s="1449"/>
      <c r="N18" s="1449"/>
      <c r="O18" s="1449"/>
      <c r="P18" s="890"/>
      <c r="Q18" s="891"/>
      <c r="R18" s="1449"/>
      <c r="S18" s="1449"/>
      <c r="T18" s="892"/>
      <c r="U18" s="1450" t="s">
        <v>802</v>
      </c>
    </row>
    <row r="19" spans="1:21" ht="19.5" customHeight="1">
      <c r="A19" s="893"/>
      <c r="B19" s="894" t="str">
        <f>IF('BIS Doc'!AC9=130, "130 × 130", IF('BIS Doc'!AC9=160, "160 × 160", IF('BIS Doc'!AC9=110, "110 × 110", "Value not 130, 160, or 110")))</f>
        <v>Value not 130, 160, or 110</v>
      </c>
      <c r="C19" s="895" t="str">
        <f>'BIS Doc'!W9</f>
        <v>1.10.2</v>
      </c>
      <c r="D19" s="896"/>
      <c r="E19" s="897" t="e">
        <f>'BIS Doc'!AE9</f>
        <v>#VALUE!</v>
      </c>
      <c r="F19" s="898">
        <f ca="1">'BIS Doc'!F9</f>
        <v>0</v>
      </c>
      <c r="G19" s="899">
        <f ca="1">'BIS Doc'!J9</f>
        <v>0</v>
      </c>
      <c r="H19" s="900">
        <f ca="1">'BIS Doc'!G9</f>
        <v>0.58961179218921045</v>
      </c>
      <c r="I19" s="901">
        <f ca="1">'BIS Doc'!H9</f>
        <v>0</v>
      </c>
      <c r="J19" s="901">
        <f ca="1">'BIS Doc'!I9</f>
        <v>0</v>
      </c>
      <c r="K19" s="1451" t="str">
        <f t="shared" ca="1" si="0"/>
        <v>IS 14650 CPS 10748/GR2</v>
      </c>
      <c r="L19" s="1451"/>
      <c r="M19" s="1451"/>
      <c r="N19" s="1451"/>
      <c r="O19" s="1451"/>
      <c r="P19" s="902"/>
      <c r="Q19" s="903"/>
      <c r="R19" s="1451"/>
      <c r="S19" s="1451"/>
      <c r="T19" s="904"/>
      <c r="U19" s="1450"/>
    </row>
    <row r="20" spans="1:21" ht="19.5" customHeight="1">
      <c r="A20" s="864"/>
      <c r="B20" s="894" t="str">
        <f>IF('BIS Doc'!AC11=130, "130 × 130", IF('BIS Doc'!AC11=160, "160 × 160", IF('BIS Doc'!AC11=110, "110 × 110", "Value not 130, 160, or 110")))</f>
        <v>Value not 130, 160, or 110</v>
      </c>
      <c r="C20" s="895" t="str">
        <f>'BIS Doc'!W11</f>
        <v>1.10.3</v>
      </c>
      <c r="D20" s="896" t="s">
        <v>803</v>
      </c>
      <c r="E20" s="897" t="e">
        <f>'BIS Doc'!AE11</f>
        <v>#VALUE!</v>
      </c>
      <c r="F20" s="898">
        <f ca="1">'BIS Doc'!F11</f>
        <v>0</v>
      </c>
      <c r="G20" s="899">
        <f ca="1">'BIS Doc'!J11</f>
        <v>0</v>
      </c>
      <c r="H20" s="900">
        <f ca="1">'BIS Doc'!G11</f>
        <v>0.53023535836016167</v>
      </c>
      <c r="I20" s="901">
        <f ca="1">'BIS Doc'!H11</f>
        <v>0</v>
      </c>
      <c r="J20" s="901">
        <f ca="1">'BIS Doc'!I11</f>
        <v>0</v>
      </c>
      <c r="K20" s="1451" t="str">
        <f t="shared" ca="1" si="0"/>
        <v>IS 14650 CPS 10748/GR2</v>
      </c>
      <c r="L20" s="1451"/>
      <c r="M20" s="1451"/>
      <c r="N20" s="1451"/>
      <c r="O20" s="1451"/>
      <c r="P20" s="902"/>
      <c r="Q20" s="905"/>
      <c r="R20" s="1451"/>
      <c r="S20" s="1451"/>
      <c r="T20" s="904"/>
      <c r="U20" s="1450"/>
    </row>
    <row r="21" spans="1:21" ht="19.5" customHeight="1">
      <c r="A21" s="864"/>
      <c r="B21" s="894" t="str">
        <f>IF('BIS Doc'!AC13=130, "130 × 130", IF('BIS Doc'!AC13=160, "160 × 160", IF('BIS Doc'!AC13=110, "110 × 110", "Value not 130, 160, or 110")))</f>
        <v>Value not 130, 160, or 110</v>
      </c>
      <c r="C21" s="895" t="str">
        <f>'BIS Doc'!W13</f>
        <v>1.10.4</v>
      </c>
      <c r="D21" s="896"/>
      <c r="E21" s="897" t="e">
        <f>'BIS Doc'!AE13</f>
        <v>#VALUE!</v>
      </c>
      <c r="F21" s="898">
        <f ca="1">'BIS Doc'!F13</f>
        <v>0</v>
      </c>
      <c r="G21" s="899">
        <f ca="1">'BIS Doc'!J13</f>
        <v>0</v>
      </c>
      <c r="H21" s="900">
        <f ca="1">'BIS Doc'!G13</f>
        <v>0.53589503202683564</v>
      </c>
      <c r="I21" s="901">
        <f ca="1">'BIS Doc'!H13</f>
        <v>0</v>
      </c>
      <c r="J21" s="901">
        <f ca="1">'BIS Doc'!I13</f>
        <v>0</v>
      </c>
      <c r="K21" s="1451" t="str">
        <f t="shared" ca="1" si="0"/>
        <v>IS 14650 CPS 10748/GR2</v>
      </c>
      <c r="L21" s="1451"/>
      <c r="M21" s="1451"/>
      <c r="N21" s="1451"/>
      <c r="O21" s="1451"/>
      <c r="P21" s="902"/>
      <c r="Q21" s="905"/>
      <c r="R21" s="1451"/>
      <c r="S21" s="1451"/>
      <c r="T21" s="904"/>
      <c r="U21" s="1450"/>
    </row>
    <row r="22" spans="1:21" ht="19.5" customHeight="1">
      <c r="A22" s="864"/>
      <c r="B22" s="894" t="str">
        <f>IF('BIS Doc'!AC15=130, "130 × 130", IF('BIS Doc'!AC15=160, "160 × 160", IF('BIS Doc'!AC15=110, "110 × 110", "Value not 130, 160, or 110")))</f>
        <v>Value not 130, 160, or 110</v>
      </c>
      <c r="C22" s="895" t="str">
        <f>'BIS Doc'!W15</f>
        <v>1.10.5</v>
      </c>
      <c r="D22" s="896"/>
      <c r="E22" s="897" t="e">
        <f>'BIS Doc'!AE15</f>
        <v>#VALUE!</v>
      </c>
      <c r="F22" s="898">
        <f ca="1">'BIS Doc'!F15</f>
        <v>0</v>
      </c>
      <c r="G22" s="899">
        <f ca="1">'BIS Doc'!J15</f>
        <v>0</v>
      </c>
      <c r="H22" s="900">
        <f ca="1">'BIS Doc'!G15</f>
        <v>0.57101756075791643</v>
      </c>
      <c r="I22" s="901">
        <f ca="1">'BIS Doc'!H15</f>
        <v>0</v>
      </c>
      <c r="J22" s="901">
        <f ca="1">'BIS Doc'!I15</f>
        <v>0</v>
      </c>
      <c r="K22" s="1451" t="str">
        <f t="shared" ca="1" si="0"/>
        <v>IS 14650 CPS 10748/GR2</v>
      </c>
      <c r="L22" s="1451"/>
      <c r="M22" s="1451"/>
      <c r="N22" s="1451"/>
      <c r="O22" s="1451"/>
      <c r="P22" s="902"/>
      <c r="Q22" s="905"/>
      <c r="R22" s="1451"/>
      <c r="S22" s="1451"/>
      <c r="T22" s="904"/>
      <c r="U22" s="1450"/>
    </row>
    <row r="23" spans="1:21" ht="19.5" customHeight="1">
      <c r="A23" s="864"/>
      <c r="B23" s="894" t="str">
        <f>IF('BIS Doc'!AC17=130, "130 × 130", IF('BIS Doc'!AC17=160, "160 × 160", IF('BIS Doc'!AC17=110, "110 × 110", "Value not 130, 160, or 110")))</f>
        <v>Value not 130, 160, or 110</v>
      </c>
      <c r="C23" s="895" t="str">
        <f>'BIS Doc'!W17</f>
        <v>1.10.6</v>
      </c>
      <c r="D23" s="896"/>
      <c r="E23" s="897" t="e">
        <f>'BIS Doc'!AE17</f>
        <v>#VALUE!</v>
      </c>
      <c r="F23" s="898">
        <f ca="1">'BIS Doc'!F17</f>
        <v>0</v>
      </c>
      <c r="G23" s="899">
        <f ca="1">'BIS Doc'!J17</f>
        <v>0</v>
      </c>
      <c r="H23" s="900">
        <f ca="1">'BIS Doc'!G17</f>
        <v>0.50991154845570374</v>
      </c>
      <c r="I23" s="901">
        <f ca="1">'BIS Doc'!H17</f>
        <v>0</v>
      </c>
      <c r="J23" s="901">
        <f ca="1">'BIS Doc'!I17</f>
        <v>0</v>
      </c>
      <c r="K23" s="1451" t="str">
        <f t="shared" ca="1" si="0"/>
        <v>IS 14650 CPS 10748/GR2</v>
      </c>
      <c r="L23" s="1451"/>
      <c r="M23" s="1451"/>
      <c r="N23" s="1451"/>
      <c r="O23" s="1451"/>
      <c r="P23" s="902"/>
      <c r="Q23" s="903"/>
      <c r="R23" s="1451"/>
      <c r="S23" s="1451"/>
      <c r="T23" s="904"/>
      <c r="U23" s="1450"/>
    </row>
    <row r="24" spans="1:21" ht="19.5" customHeight="1">
      <c r="A24" s="864"/>
      <c r="B24" s="904"/>
      <c r="C24" s="895"/>
      <c r="D24" s="896"/>
      <c r="E24" s="897"/>
      <c r="F24" s="906"/>
      <c r="G24" s="907"/>
      <c r="H24" s="908"/>
      <c r="I24" s="909"/>
      <c r="J24" s="909"/>
      <c r="K24" s="1451"/>
      <c r="L24" s="1451"/>
      <c r="M24" s="1451"/>
      <c r="N24" s="1451"/>
      <c r="O24" s="1451"/>
      <c r="P24" s="902"/>
      <c r="Q24" s="903"/>
      <c r="R24" s="1451"/>
      <c r="S24" s="1451"/>
      <c r="T24" s="904"/>
      <c r="U24" s="1450"/>
    </row>
    <row r="25" spans="1:21" ht="19.5" customHeight="1">
      <c r="A25" s="864"/>
      <c r="B25" s="904"/>
      <c r="C25" s="895"/>
      <c r="D25" s="896"/>
      <c r="E25" s="897"/>
      <c r="F25" s="906"/>
      <c r="G25" s="907"/>
      <c r="H25" s="908"/>
      <c r="I25" s="909"/>
      <c r="J25" s="909"/>
      <c r="K25" s="1451"/>
      <c r="L25" s="1451"/>
      <c r="M25" s="1451"/>
      <c r="N25" s="1451"/>
      <c r="O25" s="1451"/>
      <c r="P25" s="902"/>
      <c r="Q25" s="905"/>
      <c r="R25" s="1451"/>
      <c r="S25" s="1451"/>
      <c r="T25" s="904"/>
      <c r="U25" s="1450"/>
    </row>
    <row r="26" spans="1:21" ht="19.5" customHeight="1">
      <c r="A26" s="864"/>
      <c r="B26" s="910"/>
      <c r="C26" s="911"/>
      <c r="D26" s="896"/>
      <c r="E26" s="897"/>
      <c r="F26" s="906"/>
      <c r="G26" s="907"/>
      <c r="H26" s="908"/>
      <c r="I26" s="909"/>
      <c r="J26" s="909"/>
      <c r="K26" s="1451"/>
      <c r="L26" s="1451"/>
      <c r="M26" s="1451"/>
      <c r="N26" s="1451"/>
      <c r="O26" s="1451"/>
      <c r="P26" s="912"/>
      <c r="Q26" s="913"/>
      <c r="R26" s="1452"/>
      <c r="S26" s="1452"/>
      <c r="T26" s="910"/>
      <c r="U26" s="1450"/>
    </row>
    <row r="27" spans="1:21" ht="19.5" customHeight="1">
      <c r="A27" s="914"/>
      <c r="B27" s="915"/>
      <c r="C27" s="916"/>
      <c r="D27" s="917"/>
      <c r="E27" s="918" t="e">
        <f>SUM(E18:E23)</f>
        <v>#VALUE!</v>
      </c>
      <c r="F27" s="919"/>
      <c r="G27" s="920"/>
      <c r="H27" s="921"/>
      <c r="I27" s="922"/>
      <c r="J27" s="922"/>
      <c r="K27" s="1453"/>
      <c r="L27" s="1453"/>
      <c r="M27" s="1453"/>
      <c r="N27" s="1453"/>
      <c r="O27" s="1453"/>
      <c r="P27" s="923"/>
      <c r="Q27" s="924"/>
      <c r="R27" s="1454"/>
      <c r="S27" s="1454"/>
      <c r="T27" s="915"/>
      <c r="U27" s="1450"/>
    </row>
    <row r="28" spans="1:21" ht="15.75" customHeight="1">
      <c r="A28" s="864"/>
      <c r="B28" s="773"/>
      <c r="C28" s="773"/>
      <c r="D28" s="925"/>
      <c r="E28" s="926"/>
      <c r="F28" s="927"/>
      <c r="G28" s="928"/>
      <c r="H28" s="259"/>
      <c r="I28" s="259"/>
      <c r="J28" s="928"/>
      <c r="K28" s="929"/>
      <c r="L28" s="929"/>
      <c r="M28" s="929"/>
      <c r="N28" s="929"/>
      <c r="O28" s="928"/>
      <c r="P28" s="930"/>
      <c r="Q28" s="931"/>
      <c r="R28" s="931"/>
      <c r="U28" s="932"/>
    </row>
    <row r="29" spans="1:21" ht="18.75" customHeight="1">
      <c r="A29" s="864"/>
      <c r="B29" s="773"/>
      <c r="C29" s="773"/>
      <c r="D29" s="773"/>
      <c r="E29" s="773"/>
      <c r="F29" s="773"/>
      <c r="G29" s="773"/>
      <c r="H29" s="773"/>
      <c r="I29" s="773"/>
      <c r="J29" s="773"/>
      <c r="K29" s="773"/>
      <c r="P29" s="1446" t="s">
        <v>804</v>
      </c>
      <c r="Q29" s="1446"/>
      <c r="R29" s="1446"/>
      <c r="S29" s="1446"/>
      <c r="T29" s="1446"/>
      <c r="U29" s="1446"/>
    </row>
    <row r="30" spans="1:21" ht="18.75" customHeight="1">
      <c r="A30" s="1447" t="s">
        <v>805</v>
      </c>
      <c r="B30" s="1447"/>
      <c r="C30" s="933"/>
      <c r="D30" s="933"/>
      <c r="E30" s="933"/>
      <c r="F30" s="933"/>
      <c r="P30" s="855"/>
      <c r="Q30" s="855"/>
      <c r="R30" s="855"/>
      <c r="S30" s="855"/>
      <c r="T30" s="855"/>
      <c r="U30" s="934"/>
    </row>
    <row r="31" spans="1:21" ht="18.75" customHeight="1">
      <c r="A31" s="854"/>
      <c r="B31" s="855"/>
      <c r="P31" s="855"/>
      <c r="Q31" s="855"/>
      <c r="R31" s="855"/>
      <c r="S31" s="855"/>
      <c r="T31" s="855"/>
      <c r="U31" s="934"/>
    </row>
    <row r="32" spans="1:21" ht="18.75" customHeight="1">
      <c r="A32" s="854" t="s">
        <v>806</v>
      </c>
      <c r="B32" s="855"/>
      <c r="C32" s="935"/>
      <c r="D32" s="936"/>
      <c r="E32" s="933"/>
      <c r="F32" s="933"/>
      <c r="P32" s="855"/>
      <c r="Q32" s="855"/>
      <c r="R32" s="855"/>
      <c r="S32" s="855"/>
      <c r="T32" s="855"/>
      <c r="U32" s="934"/>
    </row>
    <row r="33" spans="1:21" ht="18.75" customHeight="1">
      <c r="A33" s="854"/>
      <c r="B33" s="855"/>
      <c r="C33" s="937"/>
      <c r="P33" s="855"/>
      <c r="Q33" s="855"/>
      <c r="R33" s="855"/>
      <c r="S33" s="855"/>
      <c r="T33" s="855"/>
      <c r="U33" s="934"/>
    </row>
    <row r="34" spans="1:21" ht="19.5" customHeight="1">
      <c r="A34" s="938"/>
      <c r="B34" s="939"/>
      <c r="C34" s="940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1448" t="s">
        <v>807</v>
      </c>
      <c r="Q34" s="1448"/>
      <c r="R34" s="1448"/>
      <c r="S34" s="1448"/>
      <c r="T34" s="1448"/>
      <c r="U34" s="1448"/>
    </row>
    <row r="35" spans="1:21" ht="45.75" customHeight="1">
      <c r="A35" s="1455"/>
      <c r="B35" s="1455"/>
      <c r="C35" s="1455"/>
      <c r="D35" s="847"/>
      <c r="E35" s="1456" t="s">
        <v>774</v>
      </c>
      <c r="F35" s="1456"/>
      <c r="G35" s="1456"/>
      <c r="H35" s="1456"/>
      <c r="I35" s="1456"/>
      <c r="J35" s="1456"/>
      <c r="K35" s="1456"/>
      <c r="L35" s="1456"/>
      <c r="M35" s="1456"/>
      <c r="N35" s="1456"/>
      <c r="O35" s="1456"/>
      <c r="P35" s="1456"/>
      <c r="Q35" s="1456"/>
      <c r="R35" s="1456"/>
      <c r="S35" s="848"/>
      <c r="T35" s="1457" t="s">
        <v>775</v>
      </c>
      <c r="U35" s="1457"/>
    </row>
    <row r="36" spans="1:21" ht="18.75" customHeight="1">
      <c r="A36" s="849"/>
      <c r="E36" s="1458" t="s">
        <v>776</v>
      </c>
      <c r="F36" s="1458"/>
      <c r="G36" s="1458"/>
      <c r="H36" s="1458"/>
      <c r="I36" s="1458"/>
      <c r="J36" s="1458"/>
      <c r="K36" s="1458"/>
      <c r="L36" s="1458"/>
      <c r="M36" s="1458"/>
      <c r="N36" s="1458"/>
      <c r="O36" s="1458"/>
      <c r="P36" s="1458"/>
      <c r="Q36" s="1458"/>
      <c r="R36" s="1458"/>
      <c r="U36" s="456"/>
    </row>
    <row r="37" spans="1:21" ht="18.75" customHeight="1">
      <c r="A37" s="850"/>
      <c r="F37" s="587"/>
      <c r="G37" s="587"/>
      <c r="H37" s="587"/>
      <c r="I37" s="587"/>
      <c r="J37" s="587"/>
      <c r="K37" s="587"/>
      <c r="L37" s="587"/>
      <c r="M37" s="851"/>
      <c r="N37" s="852"/>
      <c r="O37" s="851"/>
      <c r="P37" s="1459" t="s">
        <v>777</v>
      </c>
      <c r="Q37" s="1459"/>
      <c r="R37" s="1459"/>
      <c r="S37" s="1459"/>
      <c r="T37" s="1459"/>
      <c r="U37" s="1459"/>
    </row>
    <row r="38" spans="1:21" ht="15" customHeight="1">
      <c r="A38" s="849"/>
      <c r="E38" s="1287" t="s">
        <v>778</v>
      </c>
      <c r="F38" s="1287"/>
      <c r="G38" s="1287"/>
      <c r="H38" s="1287"/>
      <c r="I38" s="1287"/>
      <c r="J38" s="1287"/>
      <c r="K38" s="1287"/>
      <c r="L38" s="1287"/>
      <c r="M38" s="1287"/>
      <c r="N38" s="1287"/>
      <c r="O38" s="1287"/>
      <c r="P38" s="1287"/>
      <c r="Q38" s="1287"/>
      <c r="R38" s="1287"/>
      <c r="U38" s="456"/>
    </row>
    <row r="39" spans="1:21" ht="18.75" customHeight="1">
      <c r="A39" s="849"/>
      <c r="E39" s="1286" t="s">
        <v>779</v>
      </c>
      <c r="F39" s="1286"/>
      <c r="G39" s="1286"/>
      <c r="H39" s="1286"/>
      <c r="I39" s="1286"/>
      <c r="J39" s="1286"/>
      <c r="K39" s="1286"/>
      <c r="L39" s="1286"/>
      <c r="M39" s="1286"/>
      <c r="N39" s="1286"/>
      <c r="O39" s="1286"/>
      <c r="P39" s="1286"/>
      <c r="Q39" s="1286"/>
      <c r="R39" s="1286"/>
      <c r="U39" s="853"/>
    </row>
    <row r="40" spans="1:21" ht="23.25" customHeight="1">
      <c r="A40" s="854" t="s">
        <v>780</v>
      </c>
      <c r="B40" s="855"/>
      <c r="C40" s="855"/>
      <c r="D40" s="856" t="s">
        <v>825</v>
      </c>
      <c r="E40" s="857"/>
      <c r="F40" s="858"/>
      <c r="G40" s="859"/>
      <c r="H40" s="859"/>
      <c r="I40" s="859"/>
      <c r="J40" s="859"/>
      <c r="K40" s="859"/>
      <c r="L40" s="860"/>
      <c r="M40" s="1460"/>
      <c r="N40" s="1460"/>
      <c r="O40" s="1460"/>
      <c r="P40" s="1461" t="s">
        <v>781</v>
      </c>
      <c r="Q40" s="1461"/>
      <c r="R40" s="1461"/>
      <c r="S40" s="855"/>
      <c r="T40" s="861">
        <v>46296</v>
      </c>
      <c r="U40" s="456"/>
    </row>
    <row r="41" spans="1:21" ht="23.25" customHeight="1">
      <c r="A41" s="854"/>
      <c r="B41" s="862"/>
      <c r="C41" s="862"/>
      <c r="D41" s="862"/>
      <c r="E41" s="163"/>
      <c r="F41" s="863"/>
      <c r="G41" s="863"/>
      <c r="H41" s="863"/>
      <c r="I41" s="863"/>
      <c r="J41" s="863"/>
      <c r="K41" s="863"/>
      <c r="U41" s="456"/>
    </row>
    <row r="42" spans="1:21" ht="21" customHeight="1">
      <c r="A42" s="864" t="s">
        <v>782</v>
      </c>
      <c r="B42" s="865"/>
      <c r="C42" s="866"/>
      <c r="D42" s="867"/>
      <c r="E42" s="868"/>
      <c r="F42" s="869"/>
      <c r="G42" s="869"/>
      <c r="H42" s="869"/>
      <c r="I42" s="870"/>
      <c r="J42" s="870"/>
      <c r="P42" s="1462"/>
      <c r="Q42" s="1462"/>
      <c r="R42" s="1462"/>
      <c r="S42" s="1462"/>
      <c r="T42" s="871"/>
      <c r="U42" s="456"/>
    </row>
    <row r="43" spans="1:21" ht="21" customHeight="1">
      <c r="A43" s="872"/>
      <c r="B43" s="873"/>
      <c r="C43" s="869"/>
      <c r="D43" s="869"/>
      <c r="E43" s="869"/>
      <c r="F43" s="869"/>
      <c r="G43" s="869"/>
      <c r="H43" s="869"/>
      <c r="I43" s="870"/>
      <c r="J43" s="870"/>
      <c r="U43" s="456"/>
    </row>
    <row r="44" spans="1:21" ht="15" customHeight="1">
      <c r="A44" s="1463" t="s">
        <v>783</v>
      </c>
      <c r="B44" s="1463"/>
      <c r="C44" s="1463"/>
      <c r="D44" s="1463"/>
      <c r="E44" s="1463"/>
      <c r="F44" s="1463"/>
      <c r="G44" s="1463"/>
      <c r="H44" s="1463"/>
      <c r="I44" s="1463"/>
      <c r="J44" s="1463"/>
      <c r="K44" s="1463"/>
      <c r="L44" s="1463"/>
      <c r="M44" s="1463"/>
      <c r="N44" s="1463"/>
      <c r="O44" s="1463"/>
      <c r="P44" s="1463"/>
      <c r="Q44" s="1463"/>
      <c r="R44" s="1463"/>
      <c r="S44" s="1463"/>
      <c r="T44" s="1463"/>
      <c r="U44" s="1463"/>
    </row>
    <row r="45" spans="1:21" ht="15" customHeight="1">
      <c r="A45" s="1463"/>
      <c r="B45" s="1463"/>
      <c r="C45" s="1463"/>
      <c r="D45" s="1463"/>
      <c r="E45" s="1463"/>
      <c r="F45" s="1463"/>
      <c r="G45" s="1463"/>
      <c r="H45" s="1463"/>
      <c r="I45" s="1463"/>
      <c r="J45" s="1463"/>
      <c r="K45" s="1463"/>
      <c r="L45" s="1463"/>
      <c r="M45" s="1463"/>
      <c r="N45" s="1463"/>
      <c r="O45" s="1463"/>
      <c r="P45" s="1463"/>
      <c r="Q45" s="1463"/>
      <c r="R45" s="1463"/>
      <c r="S45" s="1463"/>
      <c r="T45" s="1463"/>
      <c r="U45" s="1463"/>
    </row>
    <row r="46" spans="1:21" ht="18" customHeight="1">
      <c r="A46" s="1464" t="s">
        <v>784</v>
      </c>
      <c r="B46" s="1464"/>
      <c r="C46" s="1464"/>
      <c r="D46" s="1464"/>
      <c r="E46" s="1464"/>
      <c r="F46" s="1464"/>
      <c r="G46" s="1464"/>
      <c r="H46" s="1464"/>
      <c r="I46" s="1464"/>
      <c r="J46" s="1464"/>
      <c r="K46" s="1464"/>
      <c r="L46" s="1464"/>
      <c r="M46" s="1464"/>
      <c r="N46" s="1464"/>
      <c r="O46" s="1464"/>
      <c r="P46" s="1464"/>
      <c r="Q46" s="1464"/>
      <c r="R46" s="1464"/>
      <c r="S46" s="1464"/>
      <c r="T46" s="1464"/>
      <c r="U46" s="1464"/>
    </row>
    <row r="47" spans="1:21" ht="23.25" customHeight="1">
      <c r="A47" s="1465" t="s">
        <v>785</v>
      </c>
      <c r="B47" s="1465"/>
      <c r="C47" s="1465"/>
      <c r="D47" s="1465"/>
      <c r="E47" s="1465"/>
      <c r="F47" s="1465"/>
      <c r="G47" s="1465"/>
      <c r="H47" s="1465"/>
      <c r="I47" s="1465"/>
      <c r="J47" s="1465"/>
      <c r="K47" s="1465"/>
      <c r="L47" s="1465"/>
      <c r="M47" s="1465"/>
      <c r="N47" s="1465"/>
      <c r="O47" s="1465"/>
      <c r="P47" s="1465"/>
      <c r="Q47" s="1465"/>
      <c r="R47" s="1465"/>
      <c r="S47" s="1465"/>
      <c r="T47" s="1465"/>
      <c r="U47" s="1465"/>
    </row>
    <row r="48" spans="1:21" ht="21.75" customHeight="1">
      <c r="A48" s="874"/>
      <c r="B48" s="875"/>
      <c r="C48" s="875"/>
      <c r="D48" s="875"/>
      <c r="E48" s="875"/>
      <c r="F48" s="875"/>
      <c r="G48" s="875"/>
      <c r="H48" s="875"/>
      <c r="I48" s="875"/>
      <c r="J48" s="875"/>
      <c r="K48" s="875"/>
      <c r="L48" s="875"/>
      <c r="M48" s="875"/>
      <c r="N48" s="875"/>
      <c r="O48" s="875"/>
      <c r="P48" s="875"/>
      <c r="Q48" s="875"/>
      <c r="R48" s="875"/>
      <c r="S48" s="875"/>
      <c r="T48" s="875"/>
      <c r="U48" s="876"/>
    </row>
    <row r="49" spans="1:21" ht="15" customHeight="1">
      <c r="A49" s="1466" t="s">
        <v>786</v>
      </c>
      <c r="B49" s="1467" t="s">
        <v>787</v>
      </c>
      <c r="C49" s="1468" t="s">
        <v>788</v>
      </c>
      <c r="D49" s="1468" t="s">
        <v>789</v>
      </c>
      <c r="E49" s="1469" t="s">
        <v>790</v>
      </c>
      <c r="F49" s="1468" t="s">
        <v>791</v>
      </c>
      <c r="G49" s="1468"/>
      <c r="H49" s="1468"/>
      <c r="I49" s="1468"/>
      <c r="J49" s="1468"/>
      <c r="K49" s="1468"/>
      <c r="L49" s="1468"/>
      <c r="M49" s="1468"/>
      <c r="N49" s="1468"/>
      <c r="O49" s="1468"/>
      <c r="P49" s="1470"/>
      <c r="Q49" s="1470"/>
      <c r="R49" s="1470"/>
      <c r="S49" s="1470"/>
      <c r="T49" s="1470"/>
      <c r="U49" s="1470"/>
    </row>
    <row r="50" spans="1:21" ht="15.75" customHeight="1">
      <c r="A50" s="1466"/>
      <c r="B50" s="1467"/>
      <c r="C50" s="1468"/>
      <c r="D50" s="1468"/>
      <c r="E50" s="1469"/>
      <c r="F50" s="1468"/>
      <c r="G50" s="1468"/>
      <c r="H50" s="1468"/>
      <c r="I50" s="1468"/>
      <c r="J50" s="1468"/>
      <c r="K50" s="1468"/>
      <c r="L50" s="1468"/>
      <c r="M50" s="1468"/>
      <c r="N50" s="1468"/>
      <c r="O50" s="1468"/>
      <c r="P50" s="1470"/>
      <c r="Q50" s="1470"/>
      <c r="R50" s="1470"/>
      <c r="S50" s="1470"/>
      <c r="T50" s="1470"/>
      <c r="U50" s="1470"/>
    </row>
    <row r="51" spans="1:21" ht="48" customHeight="1">
      <c r="A51" s="1466"/>
      <c r="B51" s="1467"/>
      <c r="C51" s="1468"/>
      <c r="D51" s="1468"/>
      <c r="E51" s="1469"/>
      <c r="F51" s="878" t="s">
        <v>792</v>
      </c>
      <c r="G51" s="877" t="s">
        <v>793</v>
      </c>
      <c r="H51" s="878" t="s">
        <v>794</v>
      </c>
      <c r="I51" s="879" t="s">
        <v>795</v>
      </c>
      <c r="J51" s="880" t="s">
        <v>796</v>
      </c>
      <c r="K51" s="1468" t="s">
        <v>797</v>
      </c>
      <c r="L51" s="1468"/>
      <c r="M51" s="1468"/>
      <c r="N51" s="1468"/>
      <c r="O51" s="1468"/>
      <c r="P51" s="881" t="s">
        <v>798</v>
      </c>
      <c r="Q51" s="882" t="s">
        <v>799</v>
      </c>
      <c r="R51" s="1469" t="s">
        <v>800</v>
      </c>
      <c r="S51" s="1469"/>
      <c r="T51" s="877" t="s">
        <v>801</v>
      </c>
      <c r="U51" s="879" t="s">
        <v>104</v>
      </c>
    </row>
    <row r="52" spans="1:21" ht="19.5" customHeight="1">
      <c r="A52" s="883"/>
      <c r="B52" s="884" t="str">
        <f>IF('BIS Doc'!AC19=130, "130 × 130", IF('BIS Doc'!AC19=160, "160 × 160", IF('BIS Doc'!AC19=110, "110 × 110", "Value not 130, 160, or 110")))</f>
        <v>Value not 130, 160, or 110</v>
      </c>
      <c r="C52" s="885" t="str">
        <f>'BIS Doc'!W19</f>
        <v>1.10.7</v>
      </c>
      <c r="D52" s="886"/>
      <c r="E52" s="887" t="e">
        <f>'BIS Doc'!AE19</f>
        <v>#VALUE!</v>
      </c>
      <c r="F52" s="888">
        <f ca="1">'BIS Doc'!F19</f>
        <v>0</v>
      </c>
      <c r="G52" s="888">
        <f ca="1">'BIS Doc'!J19</f>
        <v>0</v>
      </c>
      <c r="H52" s="888">
        <f ca="1">'BIS Doc'!G19</f>
        <v>0.57561409364326055</v>
      </c>
      <c r="I52" s="889">
        <f ca="1">'BIS Doc'!H19</f>
        <v>0</v>
      </c>
      <c r="J52" s="889">
        <f ca="1">'BIS Doc'!I19</f>
        <v>0</v>
      </c>
      <c r="K52" s="1449" t="str">
        <f t="shared" ref="K52:K57" ca="1" si="1">IF(H52&lt;0.6, "IS 14650 CPS 10748/GR2", "IS 14650 CPS 10748/GR3")</f>
        <v>IS 14650 CPS 10748/GR2</v>
      </c>
      <c r="L52" s="1449"/>
      <c r="M52" s="1449"/>
      <c r="N52" s="1449"/>
      <c r="O52" s="1449"/>
      <c r="P52" s="890"/>
      <c r="Q52" s="891"/>
      <c r="R52" s="1449"/>
      <c r="S52" s="1449"/>
      <c r="T52" s="892"/>
      <c r="U52" s="1450" t="s">
        <v>802</v>
      </c>
    </row>
    <row r="53" spans="1:21" ht="19.5" customHeight="1">
      <c r="A53" s="893"/>
      <c r="B53" s="894" t="str">
        <f>IF('BIS Doc'!AC21=130, "130 × 130", IF('BIS Doc'!AC21=160, "160 × 160", IF('BIS Doc'!AC21=110, "110 × 110", "Value not 130, 160, or 110")))</f>
        <v>Value not 130, 160, or 110</v>
      </c>
      <c r="C53" s="895" t="str">
        <f>'BIS Doc'!W21</f>
        <v>1.10.8</v>
      </c>
      <c r="D53" s="896"/>
      <c r="E53" s="897" t="e">
        <f>'BIS Doc'!AE21</f>
        <v>#VALUE!</v>
      </c>
      <c r="F53" s="898">
        <f ca="1">'BIS Doc'!F21</f>
        <v>0</v>
      </c>
      <c r="G53" s="899">
        <f ca="1">'BIS Doc'!J21</f>
        <v>0</v>
      </c>
      <c r="H53" s="900">
        <f ca="1">'BIS Doc'!G21</f>
        <v>0.55416189380555425</v>
      </c>
      <c r="I53" s="901">
        <f ca="1">'BIS Doc'!H21</f>
        <v>0</v>
      </c>
      <c r="J53" s="901">
        <f ca="1">'BIS Doc'!I21</f>
        <v>0</v>
      </c>
      <c r="K53" s="1451" t="str">
        <f t="shared" ca="1" si="1"/>
        <v>IS 14650 CPS 10748/GR2</v>
      </c>
      <c r="L53" s="1451"/>
      <c r="M53" s="1451"/>
      <c r="N53" s="1451"/>
      <c r="O53" s="1451"/>
      <c r="P53" s="902"/>
      <c r="Q53" s="903"/>
      <c r="R53" s="1451"/>
      <c r="S53" s="1451"/>
      <c r="T53" s="904"/>
      <c r="U53" s="1450"/>
    </row>
    <row r="54" spans="1:21" ht="19.5" customHeight="1">
      <c r="A54" s="864"/>
      <c r="B54" s="894" t="str">
        <f>IF('BIS Doc'!AC23=130, "130 × 130", IF('BIS Doc'!AC23=160, "160 × 160", IF('BIS Doc'!AC23=110, "110 × 110", "Value not 130, 160, or 110")))</f>
        <v>Value not 130, 160, or 110</v>
      </c>
      <c r="C54" s="895" t="str">
        <f>'BIS Doc'!W23</f>
        <v>1.10.9</v>
      </c>
      <c r="D54" s="896" t="s">
        <v>803</v>
      </c>
      <c r="E54" s="897" t="e">
        <f>'BIS Doc'!AE23</f>
        <v>#VALUE!</v>
      </c>
      <c r="F54" s="898">
        <f ca="1">'BIS Doc'!F23</f>
        <v>0</v>
      </c>
      <c r="G54" s="899">
        <f ca="1">'BIS Doc'!J23</f>
        <v>0</v>
      </c>
      <c r="H54" s="900">
        <f ca="1">'BIS Doc'!G23</f>
        <v>0.50459729937712261</v>
      </c>
      <c r="I54" s="901">
        <f ca="1">'BIS Doc'!H23</f>
        <v>0</v>
      </c>
      <c r="J54" s="901">
        <f ca="1">'BIS Doc'!I23</f>
        <v>0</v>
      </c>
      <c r="K54" s="1451" t="str">
        <f t="shared" ca="1" si="1"/>
        <v>IS 14650 CPS 10748/GR2</v>
      </c>
      <c r="L54" s="1451"/>
      <c r="M54" s="1451"/>
      <c r="N54" s="1451"/>
      <c r="O54" s="1451"/>
      <c r="P54" s="902"/>
      <c r="Q54" s="905"/>
      <c r="R54" s="1451"/>
      <c r="S54" s="1451"/>
      <c r="T54" s="904"/>
      <c r="U54" s="1450"/>
    </row>
    <row r="55" spans="1:21" ht="19.5" customHeight="1">
      <c r="A55" s="864"/>
      <c r="B55" s="894" t="str">
        <f>IF('BIS Doc'!AC25=130, "130 × 130", IF('BIS Doc'!AC25=160, "160 × 160", IF('BIS Doc'!AC25=110, "110 × 110", "Value not 130, 160, or 110")))</f>
        <v>Value not 130, 160, or 110</v>
      </c>
      <c r="C55" s="895" t="str">
        <f>'BIS Doc'!W25</f>
        <v>1.10.10</v>
      </c>
      <c r="D55" s="896"/>
      <c r="E55" s="897" t="e">
        <f>'BIS Doc'!AE25</f>
        <v>#VALUE!</v>
      </c>
      <c r="F55" s="898">
        <f ca="1">'BIS Doc'!F25</f>
        <v>0</v>
      </c>
      <c r="G55" s="899">
        <f ca="1">'BIS Doc'!J25</f>
        <v>0</v>
      </c>
      <c r="H55" s="900">
        <f ca="1">'BIS Doc'!G25</f>
        <v>0.56415305263575855</v>
      </c>
      <c r="I55" s="901">
        <f ca="1">'BIS Doc'!H25</f>
        <v>0</v>
      </c>
      <c r="J55" s="901">
        <f ca="1">'BIS Doc'!I25</f>
        <v>0</v>
      </c>
      <c r="K55" s="1451" t="str">
        <f t="shared" ca="1" si="1"/>
        <v>IS 14650 CPS 10748/GR2</v>
      </c>
      <c r="L55" s="1451"/>
      <c r="M55" s="1451"/>
      <c r="N55" s="1451"/>
      <c r="O55" s="1451"/>
      <c r="P55" s="902"/>
      <c r="Q55" s="905"/>
      <c r="R55" s="1451"/>
      <c r="S55" s="1451"/>
      <c r="T55" s="904"/>
      <c r="U55" s="1450"/>
    </row>
    <row r="56" spans="1:21" ht="19.5" customHeight="1">
      <c r="A56" s="864"/>
      <c r="B56" s="894" t="str">
        <f>IF('BIS Doc'!AC27=130, "130 × 130", IF('BIS Doc'!AC27=160, "160 × 160", IF('BIS Doc'!AC27=110, "110 × 110", "Value not 130, 160, or 110")))</f>
        <v>Value not 130, 160, or 110</v>
      </c>
      <c r="C56" s="895" t="str">
        <f>'BIS Doc'!W27</f>
        <v>1.10.11</v>
      </c>
      <c r="D56" s="896"/>
      <c r="E56" s="897" t="e">
        <f>'BIS Doc'!AE27</f>
        <v>#VALUE!</v>
      </c>
      <c r="F56" s="898">
        <f ca="1">'BIS Doc'!F27</f>
        <v>0</v>
      </c>
      <c r="G56" s="899">
        <f ca="1">'BIS Doc'!J27</f>
        <v>0</v>
      </c>
      <c r="H56" s="900">
        <f ca="1">'BIS Doc'!G27</f>
        <v>0.58800370939384827</v>
      </c>
      <c r="I56" s="901">
        <f ca="1">'BIS Doc'!H27</f>
        <v>0</v>
      </c>
      <c r="J56" s="901">
        <f ca="1">'BIS Doc'!I27</f>
        <v>0</v>
      </c>
      <c r="K56" s="1451" t="str">
        <f t="shared" ca="1" si="1"/>
        <v>IS 14650 CPS 10748/GR2</v>
      </c>
      <c r="L56" s="1451"/>
      <c r="M56" s="1451"/>
      <c r="N56" s="1451"/>
      <c r="O56" s="1451"/>
      <c r="P56" s="902"/>
      <c r="Q56" s="905"/>
      <c r="R56" s="1451"/>
      <c r="S56" s="1451"/>
      <c r="T56" s="904"/>
      <c r="U56" s="1450"/>
    </row>
    <row r="57" spans="1:21" ht="19.5" customHeight="1">
      <c r="A57" s="864"/>
      <c r="B57" s="894" t="str">
        <f>IF('BIS Doc'!AC29=130, "130 × 130", IF('BIS Doc'!AC29=160, "160 × 160", IF('BIS Doc'!AC29=110, "110 × 110", "Value not 130, 160, or 110")))</f>
        <v>Value not 130, 160, or 110</v>
      </c>
      <c r="C57" s="895" t="str">
        <f>'BIS Doc'!W29</f>
        <v>1.10.12</v>
      </c>
      <c r="D57" s="896"/>
      <c r="E57" s="897" t="e">
        <f>'BIS Doc'!AE29</f>
        <v>#VALUE!</v>
      </c>
      <c r="F57" s="898">
        <f ca="1">'BIS Doc'!F29</f>
        <v>0</v>
      </c>
      <c r="G57" s="899">
        <f ca="1">'BIS Doc'!J29</f>
        <v>0</v>
      </c>
      <c r="H57" s="900">
        <f ca="1">'BIS Doc'!G29</f>
        <v>0.53458025966082257</v>
      </c>
      <c r="I57" s="901">
        <f ca="1">'BIS Doc'!H29</f>
        <v>0</v>
      </c>
      <c r="J57" s="901">
        <f ca="1">'BIS Doc'!I29</f>
        <v>0</v>
      </c>
      <c r="K57" s="1451" t="str">
        <f t="shared" ca="1" si="1"/>
        <v>IS 14650 CPS 10748/GR2</v>
      </c>
      <c r="L57" s="1451"/>
      <c r="M57" s="1451"/>
      <c r="N57" s="1451"/>
      <c r="O57" s="1451"/>
      <c r="P57" s="902"/>
      <c r="Q57" s="903"/>
      <c r="R57" s="1451"/>
      <c r="S57" s="1451"/>
      <c r="T57" s="904"/>
      <c r="U57" s="1450"/>
    </row>
    <row r="58" spans="1:21" ht="19.5" customHeight="1">
      <c r="A58" s="864"/>
      <c r="B58" s="904"/>
      <c r="C58" s="895"/>
      <c r="D58" s="896"/>
      <c r="E58" s="897"/>
      <c r="F58" s="906"/>
      <c r="G58" s="907"/>
      <c r="H58" s="908"/>
      <c r="I58" s="909"/>
      <c r="J58" s="909"/>
      <c r="K58" s="1451"/>
      <c r="L58" s="1451"/>
      <c r="M58" s="1451"/>
      <c r="N58" s="1451"/>
      <c r="O58" s="1451"/>
      <c r="P58" s="902"/>
      <c r="Q58" s="903"/>
      <c r="R58" s="1451"/>
      <c r="S58" s="1451"/>
      <c r="T58" s="904"/>
      <c r="U58" s="1450"/>
    </row>
    <row r="59" spans="1:21" ht="19.5" customHeight="1">
      <c r="A59" s="864"/>
      <c r="B59" s="904"/>
      <c r="C59" s="895"/>
      <c r="D59" s="896"/>
      <c r="E59" s="897"/>
      <c r="F59" s="906"/>
      <c r="G59" s="907"/>
      <c r="H59" s="908"/>
      <c r="I59" s="909"/>
      <c r="J59" s="909"/>
      <c r="K59" s="1451"/>
      <c r="L59" s="1451"/>
      <c r="M59" s="1451"/>
      <c r="N59" s="1451"/>
      <c r="O59" s="1451"/>
      <c r="P59" s="902"/>
      <c r="Q59" s="905"/>
      <c r="R59" s="1451"/>
      <c r="S59" s="1451"/>
      <c r="T59" s="904"/>
      <c r="U59" s="1450"/>
    </row>
    <row r="60" spans="1:21" ht="19.5" customHeight="1">
      <c r="A60" s="864"/>
      <c r="B60" s="910"/>
      <c r="C60" s="911"/>
      <c r="D60" s="896"/>
      <c r="E60" s="897"/>
      <c r="F60" s="906"/>
      <c r="G60" s="907"/>
      <c r="H60" s="908"/>
      <c r="I60" s="909"/>
      <c r="J60" s="909"/>
      <c r="K60" s="1451"/>
      <c r="L60" s="1451"/>
      <c r="M60" s="1451"/>
      <c r="N60" s="1451"/>
      <c r="O60" s="1451"/>
      <c r="P60" s="912"/>
      <c r="Q60" s="913"/>
      <c r="R60" s="1452"/>
      <c r="S60" s="1452"/>
      <c r="T60" s="910"/>
      <c r="U60" s="1450"/>
    </row>
    <row r="61" spans="1:21" ht="19.5" customHeight="1">
      <c r="A61" s="914"/>
      <c r="B61" s="915"/>
      <c r="C61" s="916"/>
      <c r="D61" s="917"/>
      <c r="E61" s="918" t="e">
        <f>SUM(E52:E57)</f>
        <v>#VALUE!</v>
      </c>
      <c r="F61" s="919"/>
      <c r="G61" s="920"/>
      <c r="H61" s="921"/>
      <c r="I61" s="922"/>
      <c r="J61" s="922"/>
      <c r="K61" s="1453"/>
      <c r="L61" s="1453"/>
      <c r="M61" s="1453"/>
      <c r="N61" s="1453"/>
      <c r="O61" s="1453"/>
      <c r="P61" s="923"/>
      <c r="Q61" s="924"/>
      <c r="R61" s="1454"/>
      <c r="S61" s="1454"/>
      <c r="T61" s="915"/>
      <c r="U61" s="1450"/>
    </row>
    <row r="62" spans="1:21" ht="15.75" customHeight="1">
      <c r="A62" s="864"/>
      <c r="B62" s="773"/>
      <c r="C62" s="773"/>
      <c r="D62" s="925"/>
      <c r="E62" s="926"/>
      <c r="F62" s="927"/>
      <c r="G62" s="928"/>
      <c r="H62" s="259"/>
      <c r="I62" s="259"/>
      <c r="J62" s="928"/>
      <c r="K62" s="929"/>
      <c r="L62" s="929"/>
      <c r="M62" s="929"/>
      <c r="N62" s="929"/>
      <c r="O62" s="928"/>
      <c r="P62" s="930"/>
      <c r="Q62" s="931"/>
      <c r="R62" s="931"/>
      <c r="U62" s="932"/>
    </row>
    <row r="63" spans="1:21" ht="18.75" customHeight="1">
      <c r="A63" s="864"/>
      <c r="B63" s="773"/>
      <c r="C63" s="773"/>
      <c r="D63" s="773"/>
      <c r="E63" s="773"/>
      <c r="F63" s="773"/>
      <c r="G63" s="773"/>
      <c r="H63" s="773"/>
      <c r="I63" s="773"/>
      <c r="J63" s="773"/>
      <c r="K63" s="773"/>
      <c r="P63" s="1446" t="s">
        <v>804</v>
      </c>
      <c r="Q63" s="1446"/>
      <c r="R63" s="1446"/>
      <c r="S63" s="1446"/>
      <c r="T63" s="1446"/>
      <c r="U63" s="1446"/>
    </row>
    <row r="64" spans="1:21" ht="18.75" customHeight="1">
      <c r="A64" s="1447" t="s">
        <v>805</v>
      </c>
      <c r="B64" s="1447"/>
      <c r="C64" s="933"/>
      <c r="D64" s="933"/>
      <c r="E64" s="933"/>
      <c r="F64" s="933"/>
      <c r="P64" s="855"/>
      <c r="Q64" s="855"/>
      <c r="R64" s="855"/>
      <c r="S64" s="855"/>
      <c r="T64" s="855"/>
      <c r="U64" s="934"/>
    </row>
    <row r="65" spans="1:21" ht="18.75" customHeight="1">
      <c r="A65" s="854"/>
      <c r="B65" s="855"/>
      <c r="P65" s="855"/>
      <c r="Q65" s="855"/>
      <c r="R65" s="855"/>
      <c r="S65" s="855"/>
      <c r="T65" s="855"/>
      <c r="U65" s="934"/>
    </row>
    <row r="66" spans="1:21" ht="18.75" customHeight="1">
      <c r="A66" s="854" t="s">
        <v>806</v>
      </c>
      <c r="B66" s="855"/>
      <c r="C66" s="867"/>
      <c r="D66" s="941"/>
      <c r="E66" s="933"/>
      <c r="F66" s="933"/>
      <c r="P66" s="855"/>
      <c r="Q66" s="855"/>
      <c r="R66" s="855"/>
      <c r="S66" s="855"/>
      <c r="T66" s="855"/>
      <c r="U66" s="934"/>
    </row>
    <row r="67" spans="1:21" ht="18.75" customHeight="1">
      <c r="A67" s="854"/>
      <c r="B67" s="855"/>
      <c r="C67" s="937"/>
      <c r="P67" s="855"/>
      <c r="Q67" s="855"/>
      <c r="R67" s="855"/>
      <c r="S67" s="855"/>
      <c r="T67" s="855"/>
      <c r="U67" s="934"/>
    </row>
    <row r="68" spans="1:21" ht="19.5" customHeight="1">
      <c r="A68" s="938"/>
      <c r="B68" s="939"/>
      <c r="C68" s="940"/>
      <c r="D68" s="453"/>
      <c r="E68" s="453"/>
      <c r="F68" s="453"/>
      <c r="G68" s="453"/>
      <c r="H68" s="453"/>
      <c r="I68" s="453"/>
      <c r="J68" s="453"/>
      <c r="K68" s="453"/>
      <c r="L68" s="453"/>
      <c r="M68" s="453"/>
      <c r="N68" s="453"/>
      <c r="O68" s="453"/>
      <c r="P68" s="1448" t="s">
        <v>807</v>
      </c>
      <c r="Q68" s="1448"/>
      <c r="R68" s="1448"/>
      <c r="S68" s="1448"/>
      <c r="T68" s="1448"/>
      <c r="U68" s="1448"/>
    </row>
    <row r="69" spans="1:21" ht="45.75" customHeight="1">
      <c r="A69" s="1455"/>
      <c r="B69" s="1455"/>
      <c r="C69" s="1455"/>
      <c r="D69" s="847"/>
      <c r="E69" s="1456" t="s">
        <v>774</v>
      </c>
      <c r="F69" s="1456"/>
      <c r="G69" s="1456"/>
      <c r="H69" s="1456"/>
      <c r="I69" s="1456"/>
      <c r="J69" s="1456"/>
      <c r="K69" s="1456"/>
      <c r="L69" s="1456"/>
      <c r="M69" s="1456"/>
      <c r="N69" s="1456"/>
      <c r="O69" s="1456"/>
      <c r="P69" s="1456"/>
      <c r="Q69" s="1456"/>
      <c r="R69" s="1456"/>
      <c r="S69" s="848"/>
      <c r="T69" s="1457" t="s">
        <v>775</v>
      </c>
      <c r="U69" s="1457"/>
    </row>
    <row r="70" spans="1:21" ht="18.75" customHeight="1">
      <c r="A70" s="849"/>
      <c r="E70" s="1458" t="s">
        <v>776</v>
      </c>
      <c r="F70" s="1458"/>
      <c r="G70" s="1458"/>
      <c r="H70" s="1458"/>
      <c r="I70" s="1458"/>
      <c r="J70" s="1458"/>
      <c r="K70" s="1458"/>
      <c r="L70" s="1458"/>
      <c r="M70" s="1458"/>
      <c r="N70" s="1458"/>
      <c r="O70" s="1458"/>
      <c r="P70" s="1458"/>
      <c r="Q70" s="1458"/>
      <c r="R70" s="1458"/>
      <c r="U70" s="456"/>
    </row>
    <row r="71" spans="1:21" ht="18.75" customHeight="1">
      <c r="A71" s="850"/>
      <c r="F71" s="587"/>
      <c r="G71" s="587"/>
      <c r="H71" s="587"/>
      <c r="I71" s="587"/>
      <c r="J71" s="587"/>
      <c r="K71" s="587"/>
      <c r="L71" s="587"/>
      <c r="M71" s="851"/>
      <c r="N71" s="852"/>
      <c r="O71" s="851"/>
      <c r="P71" s="1459" t="s">
        <v>777</v>
      </c>
      <c r="Q71" s="1459"/>
      <c r="R71" s="1459"/>
      <c r="S71" s="1459"/>
      <c r="T71" s="1459"/>
      <c r="U71" s="1459"/>
    </row>
    <row r="72" spans="1:21" ht="15" customHeight="1">
      <c r="A72" s="849"/>
      <c r="E72" s="1287" t="s">
        <v>778</v>
      </c>
      <c r="F72" s="1287"/>
      <c r="G72" s="1287"/>
      <c r="H72" s="1287"/>
      <c r="I72" s="1287"/>
      <c r="J72" s="1287"/>
      <c r="K72" s="1287"/>
      <c r="L72" s="1287"/>
      <c r="M72" s="1287"/>
      <c r="N72" s="1287"/>
      <c r="O72" s="1287"/>
      <c r="P72" s="1287"/>
      <c r="Q72" s="1287"/>
      <c r="R72" s="1287"/>
      <c r="U72" s="456"/>
    </row>
    <row r="73" spans="1:21" ht="18.75" customHeight="1">
      <c r="A73" s="849"/>
      <c r="E73" s="1286" t="s">
        <v>779</v>
      </c>
      <c r="F73" s="1286"/>
      <c r="G73" s="1286"/>
      <c r="H73" s="1286"/>
      <c r="I73" s="1286"/>
      <c r="J73" s="1286"/>
      <c r="K73" s="1286"/>
      <c r="L73" s="1286"/>
      <c r="M73" s="1286"/>
      <c r="N73" s="1286"/>
      <c r="O73" s="1286"/>
      <c r="P73" s="1286"/>
      <c r="Q73" s="1286"/>
      <c r="R73" s="1286"/>
      <c r="U73" s="853"/>
    </row>
    <row r="74" spans="1:21" ht="23.25" customHeight="1">
      <c r="A74" s="854" t="s">
        <v>780</v>
      </c>
      <c r="B74" s="855"/>
      <c r="C74" s="855"/>
      <c r="D74" s="856" t="s">
        <v>826</v>
      </c>
      <c r="E74" s="857"/>
      <c r="F74" s="858"/>
      <c r="G74" s="859"/>
      <c r="H74" s="859"/>
      <c r="I74" s="859"/>
      <c r="J74" s="859"/>
      <c r="K74" s="859"/>
      <c r="L74" s="860"/>
      <c r="M74" s="1460"/>
      <c r="N74" s="1460"/>
      <c r="O74" s="1460"/>
      <c r="P74" s="1461" t="s">
        <v>781</v>
      </c>
      <c r="Q74" s="1461"/>
      <c r="R74" s="1461"/>
      <c r="S74" s="855"/>
      <c r="T74" s="861">
        <v>46297</v>
      </c>
      <c r="U74" s="456"/>
    </row>
    <row r="75" spans="1:21" ht="23.25" customHeight="1">
      <c r="A75" s="854"/>
      <c r="B75" s="862"/>
      <c r="C75" s="862"/>
      <c r="D75" s="862"/>
      <c r="E75" s="163"/>
      <c r="F75" s="863"/>
      <c r="G75" s="863"/>
      <c r="H75" s="863"/>
      <c r="I75" s="863"/>
      <c r="J75" s="863"/>
      <c r="K75" s="863"/>
      <c r="U75" s="456"/>
    </row>
    <row r="76" spans="1:21" ht="21" customHeight="1">
      <c r="A76" s="864" t="s">
        <v>782</v>
      </c>
      <c r="B76" s="865"/>
      <c r="C76" s="866"/>
      <c r="D76" s="867"/>
      <c r="E76" s="868"/>
      <c r="F76" s="869"/>
      <c r="G76" s="869"/>
      <c r="H76" s="869"/>
      <c r="I76" s="870"/>
      <c r="J76" s="870"/>
      <c r="P76" s="1462"/>
      <c r="Q76" s="1462"/>
      <c r="R76" s="1462"/>
      <c r="S76" s="1462"/>
      <c r="T76" s="871"/>
      <c r="U76" s="456"/>
    </row>
    <row r="77" spans="1:21" ht="21" customHeight="1">
      <c r="A77" s="872"/>
      <c r="B77" s="873"/>
      <c r="C77" s="869"/>
      <c r="D77" s="869"/>
      <c r="E77" s="869"/>
      <c r="F77" s="869"/>
      <c r="G77" s="869"/>
      <c r="H77" s="869"/>
      <c r="I77" s="870"/>
      <c r="J77" s="870"/>
      <c r="U77" s="456"/>
    </row>
    <row r="78" spans="1:21" ht="15" customHeight="1">
      <c r="A78" s="1463" t="s">
        <v>783</v>
      </c>
      <c r="B78" s="1463"/>
      <c r="C78" s="1463"/>
      <c r="D78" s="1463"/>
      <c r="E78" s="1463"/>
      <c r="F78" s="1463"/>
      <c r="G78" s="1463"/>
      <c r="H78" s="1463"/>
      <c r="I78" s="1463"/>
      <c r="J78" s="1463"/>
      <c r="K78" s="1463"/>
      <c r="L78" s="1463"/>
      <c r="M78" s="1463"/>
      <c r="N78" s="1463"/>
      <c r="O78" s="1463"/>
      <c r="P78" s="1463"/>
      <c r="Q78" s="1463"/>
      <c r="R78" s="1463"/>
      <c r="S78" s="1463"/>
      <c r="T78" s="1463"/>
      <c r="U78" s="1463"/>
    </row>
    <row r="79" spans="1:21" ht="15" customHeight="1">
      <c r="A79" s="1463"/>
      <c r="B79" s="1463"/>
      <c r="C79" s="1463"/>
      <c r="D79" s="1463"/>
      <c r="E79" s="1463"/>
      <c r="F79" s="1463"/>
      <c r="G79" s="1463"/>
      <c r="H79" s="1463"/>
      <c r="I79" s="1463"/>
      <c r="J79" s="1463"/>
      <c r="K79" s="1463"/>
      <c r="L79" s="1463"/>
      <c r="M79" s="1463"/>
      <c r="N79" s="1463"/>
      <c r="O79" s="1463"/>
      <c r="P79" s="1463"/>
      <c r="Q79" s="1463"/>
      <c r="R79" s="1463"/>
      <c r="S79" s="1463"/>
      <c r="T79" s="1463"/>
      <c r="U79" s="1463"/>
    </row>
    <row r="80" spans="1:21" ht="18" customHeight="1">
      <c r="A80" s="1464" t="s">
        <v>784</v>
      </c>
      <c r="B80" s="1464"/>
      <c r="C80" s="1464"/>
      <c r="D80" s="1464"/>
      <c r="E80" s="1464"/>
      <c r="F80" s="1464"/>
      <c r="G80" s="1464"/>
      <c r="H80" s="1464"/>
      <c r="I80" s="1464"/>
      <c r="J80" s="1464"/>
      <c r="K80" s="1464"/>
      <c r="L80" s="1464"/>
      <c r="M80" s="1464"/>
      <c r="N80" s="1464"/>
      <c r="O80" s="1464"/>
      <c r="P80" s="1464"/>
      <c r="Q80" s="1464"/>
      <c r="R80" s="1464"/>
      <c r="S80" s="1464"/>
      <c r="T80" s="1464"/>
      <c r="U80" s="1464"/>
    </row>
    <row r="81" spans="1:21" ht="23.25" customHeight="1">
      <c r="A81" s="1465" t="s">
        <v>785</v>
      </c>
      <c r="B81" s="1465"/>
      <c r="C81" s="1465"/>
      <c r="D81" s="1465"/>
      <c r="E81" s="1465"/>
      <c r="F81" s="1465"/>
      <c r="G81" s="1465"/>
      <c r="H81" s="1465"/>
      <c r="I81" s="1465"/>
      <c r="J81" s="1465"/>
      <c r="K81" s="1465"/>
      <c r="L81" s="1465"/>
      <c r="M81" s="1465"/>
      <c r="N81" s="1465"/>
      <c r="O81" s="1465"/>
      <c r="P81" s="1465"/>
      <c r="Q81" s="1465"/>
      <c r="R81" s="1465"/>
      <c r="S81" s="1465"/>
      <c r="T81" s="1465"/>
      <c r="U81" s="1465"/>
    </row>
    <row r="82" spans="1:21" ht="21.75" customHeight="1">
      <c r="A82" s="874"/>
      <c r="B82" s="875"/>
      <c r="C82" s="875"/>
      <c r="D82" s="875"/>
      <c r="E82" s="875"/>
      <c r="F82" s="875"/>
      <c r="G82" s="875"/>
      <c r="H82" s="875"/>
      <c r="I82" s="875"/>
      <c r="J82" s="875"/>
      <c r="K82" s="875"/>
      <c r="L82" s="875"/>
      <c r="M82" s="875"/>
      <c r="N82" s="875"/>
      <c r="O82" s="875"/>
      <c r="P82" s="875"/>
      <c r="Q82" s="875"/>
      <c r="R82" s="875"/>
      <c r="S82" s="875"/>
      <c r="T82" s="875"/>
      <c r="U82" s="876"/>
    </row>
    <row r="83" spans="1:21" ht="15" customHeight="1">
      <c r="A83" s="1466" t="s">
        <v>786</v>
      </c>
      <c r="B83" s="1467" t="s">
        <v>787</v>
      </c>
      <c r="C83" s="1468" t="s">
        <v>788</v>
      </c>
      <c r="D83" s="1468" t="s">
        <v>789</v>
      </c>
      <c r="E83" s="1469" t="s">
        <v>790</v>
      </c>
      <c r="F83" s="1468" t="s">
        <v>791</v>
      </c>
      <c r="G83" s="1468"/>
      <c r="H83" s="1468"/>
      <c r="I83" s="1468"/>
      <c r="J83" s="1468"/>
      <c r="K83" s="1468"/>
      <c r="L83" s="1468"/>
      <c r="M83" s="1468"/>
      <c r="N83" s="1468"/>
      <c r="O83" s="1468"/>
      <c r="P83" s="1470"/>
      <c r="Q83" s="1470"/>
      <c r="R83" s="1470"/>
      <c r="S83" s="1470"/>
      <c r="T83" s="1470"/>
      <c r="U83" s="1470"/>
    </row>
    <row r="84" spans="1:21" ht="15.75" customHeight="1">
      <c r="A84" s="1466"/>
      <c r="B84" s="1467"/>
      <c r="C84" s="1468"/>
      <c r="D84" s="1468"/>
      <c r="E84" s="1469"/>
      <c r="F84" s="1468"/>
      <c r="G84" s="1468"/>
      <c r="H84" s="1468"/>
      <c r="I84" s="1468"/>
      <c r="J84" s="1468"/>
      <c r="K84" s="1468"/>
      <c r="L84" s="1468"/>
      <c r="M84" s="1468"/>
      <c r="N84" s="1468"/>
      <c r="O84" s="1468"/>
      <c r="P84" s="1470"/>
      <c r="Q84" s="1470"/>
      <c r="R84" s="1470"/>
      <c r="S84" s="1470"/>
      <c r="T84" s="1470"/>
      <c r="U84" s="1470"/>
    </row>
    <row r="85" spans="1:21" ht="48" customHeight="1">
      <c r="A85" s="1466"/>
      <c r="B85" s="1467"/>
      <c r="C85" s="1468"/>
      <c r="D85" s="1468"/>
      <c r="E85" s="1469"/>
      <c r="F85" s="878" t="s">
        <v>792</v>
      </c>
      <c r="G85" s="877" t="s">
        <v>793</v>
      </c>
      <c r="H85" s="878" t="s">
        <v>794</v>
      </c>
      <c r="I85" s="879" t="s">
        <v>795</v>
      </c>
      <c r="J85" s="880" t="s">
        <v>796</v>
      </c>
      <c r="K85" s="1468" t="s">
        <v>797</v>
      </c>
      <c r="L85" s="1468"/>
      <c r="M85" s="1468"/>
      <c r="N85" s="1468"/>
      <c r="O85" s="1468"/>
      <c r="P85" s="881" t="s">
        <v>798</v>
      </c>
      <c r="Q85" s="882" t="s">
        <v>799</v>
      </c>
      <c r="R85" s="1469" t="s">
        <v>800</v>
      </c>
      <c r="S85" s="1469"/>
      <c r="T85" s="877" t="s">
        <v>801</v>
      </c>
      <c r="U85" s="879" t="s">
        <v>104</v>
      </c>
    </row>
    <row r="86" spans="1:21" ht="19.5" customHeight="1">
      <c r="A86" s="883"/>
      <c r="B86" s="884" t="str">
        <f>IF('BIS Doc'!AC39=130, "130 × 130", IF('BIS Doc'!AC39=160, "160 × 160", IF('BIS Doc'!AC39=110, "110 × 110", "Value not 130, 160, or 110")))</f>
        <v>Value not 130, 160, or 110</v>
      </c>
      <c r="C86" s="885">
        <f>'BIS Doc'!W39</f>
        <v>0</v>
      </c>
      <c r="D86" s="886"/>
      <c r="E86" s="887">
        <f>'BIS Doc'!AE39</f>
        <v>0</v>
      </c>
      <c r="F86" s="888">
        <f ca="1">'BIS Doc'!F39</f>
        <v>0</v>
      </c>
      <c r="G86" s="888">
        <f ca="1">'BIS Doc'!J39</f>
        <v>0</v>
      </c>
      <c r="H86" s="888">
        <f ca="1">'BIS Doc'!G39</f>
        <v>0.57477513704205485</v>
      </c>
      <c r="I86" s="889">
        <f ca="1">'BIS Doc'!H39</f>
        <v>0</v>
      </c>
      <c r="J86" s="889">
        <f ca="1">'BIS Doc'!I39</f>
        <v>0</v>
      </c>
      <c r="K86" s="1449" t="str">
        <f t="shared" ref="K86:K91" ca="1" si="2">IF(H86&lt;0.6, "IS 14650 CPS 10748/GR2", "IS 14650 CPS 10748/GR3")</f>
        <v>IS 14650 CPS 10748/GR2</v>
      </c>
      <c r="L86" s="1449"/>
      <c r="M86" s="1449"/>
      <c r="N86" s="1449"/>
      <c r="O86" s="1449"/>
      <c r="P86" s="890"/>
      <c r="Q86" s="891"/>
      <c r="R86" s="1449"/>
      <c r="S86" s="1449"/>
      <c r="T86" s="892"/>
      <c r="U86" s="1450" t="s">
        <v>802</v>
      </c>
    </row>
    <row r="87" spans="1:21" ht="19.5" customHeight="1">
      <c r="A87" s="893"/>
      <c r="B87" s="894" t="str">
        <f>IF('BIS Doc'!AC41=130, "130 × 130", IF('BIS Doc'!AC41=160, "160 × 160", IF('BIS Doc'!AC41=110, "110 × 110", "Value not 130, 160, or 110")))</f>
        <v>Value not 130, 160, or 110</v>
      </c>
      <c r="C87" s="895">
        <f>'BIS Doc'!W41</f>
        <v>0</v>
      </c>
      <c r="D87" s="896"/>
      <c r="E87" s="897">
        <f>'BIS Doc'!AE41</f>
        <v>0</v>
      </c>
      <c r="F87" s="898">
        <f ca="1">'BIS Doc'!F41</f>
        <v>0</v>
      </c>
      <c r="G87" s="899">
        <f ca="1">'BIS Doc'!J41</f>
        <v>0</v>
      </c>
      <c r="H87" s="900">
        <f ca="1">'BIS Doc'!G41</f>
        <v>0.52857093836404823</v>
      </c>
      <c r="I87" s="901">
        <f ca="1">'BIS Doc'!H41</f>
        <v>0</v>
      </c>
      <c r="J87" s="901">
        <f ca="1">'BIS Doc'!I41</f>
        <v>0</v>
      </c>
      <c r="K87" s="1451" t="str">
        <f t="shared" ca="1" si="2"/>
        <v>IS 14650 CPS 10748/GR2</v>
      </c>
      <c r="L87" s="1451"/>
      <c r="M87" s="1451"/>
      <c r="N87" s="1451"/>
      <c r="O87" s="1451"/>
      <c r="P87" s="902"/>
      <c r="Q87" s="903"/>
      <c r="R87" s="1451"/>
      <c r="S87" s="1451"/>
      <c r="T87" s="904"/>
      <c r="U87" s="1450"/>
    </row>
    <row r="88" spans="1:21" ht="19.5" customHeight="1">
      <c r="A88" s="864"/>
      <c r="B88" s="894" t="str">
        <f>IF('BIS Doc'!AC43=130, "130 × 130", IF('BIS Doc'!AC43=160, "160 × 160", IF('BIS Doc'!AC43=110, "110 × 110", "Value not 130, 160, or 110")))</f>
        <v>Value not 130, 160, or 110</v>
      </c>
      <c r="C88" s="895">
        <f>'BIS Doc'!W43</f>
        <v>0</v>
      </c>
      <c r="D88" s="896" t="s">
        <v>803</v>
      </c>
      <c r="E88" s="897">
        <f>'BIS Doc'!AE43</f>
        <v>0</v>
      </c>
      <c r="F88" s="898">
        <f ca="1">'BIS Doc'!F43</f>
        <v>0</v>
      </c>
      <c r="G88" s="899">
        <f ca="1">'BIS Doc'!J43</f>
        <v>0</v>
      </c>
      <c r="H88" s="900">
        <f ca="1">'BIS Doc'!G43</f>
        <v>0.52998558335626511</v>
      </c>
      <c r="I88" s="901">
        <f ca="1">'BIS Doc'!H43</f>
        <v>0</v>
      </c>
      <c r="J88" s="901">
        <f ca="1">'BIS Doc'!I43</f>
        <v>0</v>
      </c>
      <c r="K88" s="1451" t="str">
        <f t="shared" ca="1" si="2"/>
        <v>IS 14650 CPS 10748/GR2</v>
      </c>
      <c r="L88" s="1451"/>
      <c r="M88" s="1451"/>
      <c r="N88" s="1451"/>
      <c r="O88" s="1451"/>
      <c r="P88" s="902"/>
      <c r="Q88" s="905"/>
      <c r="R88" s="1451"/>
      <c r="S88" s="1451"/>
      <c r="T88" s="904"/>
      <c r="U88" s="1450"/>
    </row>
    <row r="89" spans="1:21" ht="19.5" customHeight="1">
      <c r="A89" s="864"/>
      <c r="B89" s="894" t="str">
        <f>IF('BIS Doc'!AC45=130, "130 × 130", IF('BIS Doc'!AC45=160, "160 × 160", IF('BIS Doc'!AC45=110, "110 × 110", "Value not 130, 160, or 110")))</f>
        <v>Value not 130, 160, or 110</v>
      </c>
      <c r="C89" s="895">
        <f>'BIS Doc'!W45</f>
        <v>0</v>
      </c>
      <c r="D89" s="896"/>
      <c r="E89" s="897">
        <f>'BIS Doc'!AE45</f>
        <v>0</v>
      </c>
      <c r="F89" s="898">
        <f ca="1">'BIS Doc'!F45</f>
        <v>0</v>
      </c>
      <c r="G89" s="899">
        <f ca="1">'BIS Doc'!J45</f>
        <v>0</v>
      </c>
      <c r="H89" s="900">
        <f ca="1">'BIS Doc'!G45</f>
        <v>0.52636670952882858</v>
      </c>
      <c r="I89" s="901">
        <f ca="1">'BIS Doc'!H45</f>
        <v>0</v>
      </c>
      <c r="J89" s="901">
        <f ca="1">'BIS Doc'!I45</f>
        <v>0</v>
      </c>
      <c r="K89" s="1451" t="str">
        <f t="shared" ca="1" si="2"/>
        <v>IS 14650 CPS 10748/GR2</v>
      </c>
      <c r="L89" s="1451"/>
      <c r="M89" s="1451"/>
      <c r="N89" s="1451"/>
      <c r="O89" s="1451"/>
      <c r="P89" s="902"/>
      <c r="Q89" s="905"/>
      <c r="R89" s="1451"/>
      <c r="S89" s="1451"/>
      <c r="T89" s="904"/>
      <c r="U89" s="1450"/>
    </row>
    <row r="90" spans="1:21" ht="19.5" customHeight="1">
      <c r="A90" s="864"/>
      <c r="B90" s="894" t="str">
        <f>IF('BIS Doc'!AC47=130, "130 × 130", IF('BIS Doc'!AC47=160, "160 × 160", IF('BIS Doc'!AC47=110, "110 × 110", "Value not 130, 160, or 110")))</f>
        <v>Value not 130, 160, or 110</v>
      </c>
      <c r="C90" s="895">
        <f>'BIS Doc'!W47</f>
        <v>0</v>
      </c>
      <c r="D90" s="896"/>
      <c r="E90" s="897">
        <f>'BIS Doc'!AE47</f>
        <v>0</v>
      </c>
      <c r="F90" s="898">
        <f ca="1">'BIS Doc'!F47</f>
        <v>0</v>
      </c>
      <c r="G90" s="899">
        <f ca="1">'BIS Doc'!J47</f>
        <v>0</v>
      </c>
      <c r="H90" s="900">
        <f ca="1">'BIS Doc'!G47</f>
        <v>0.53106803613343012</v>
      </c>
      <c r="I90" s="901">
        <f ca="1">'BIS Doc'!H47</f>
        <v>0</v>
      </c>
      <c r="J90" s="901">
        <f ca="1">'BIS Doc'!I47</f>
        <v>0</v>
      </c>
      <c r="K90" s="1451" t="str">
        <f t="shared" ca="1" si="2"/>
        <v>IS 14650 CPS 10748/GR2</v>
      </c>
      <c r="L90" s="1451"/>
      <c r="M90" s="1451"/>
      <c r="N90" s="1451"/>
      <c r="O90" s="1451"/>
      <c r="P90" s="902"/>
      <c r="Q90" s="905"/>
      <c r="R90" s="1451"/>
      <c r="S90" s="1451"/>
      <c r="T90" s="904"/>
      <c r="U90" s="1450"/>
    </row>
    <row r="91" spans="1:21" ht="19.5" customHeight="1">
      <c r="A91" s="864"/>
      <c r="B91" s="894" t="str">
        <f>IF('BIS Doc'!AC49=130, "130 × 130", IF('BIS Doc'!AC49=160, "160 × 160", IF('BIS Doc'!AC49=110, "110 × 110", "Value not 130, 160, or 110")))</f>
        <v>Value not 130, 160, or 110</v>
      </c>
      <c r="C91" s="895">
        <f>'BIS Doc'!W49</f>
        <v>0</v>
      </c>
      <c r="D91" s="896"/>
      <c r="E91" s="897">
        <f>'BIS Doc'!AE49</f>
        <v>0</v>
      </c>
      <c r="F91" s="898">
        <f ca="1">'BIS Doc'!F49</f>
        <v>0</v>
      </c>
      <c r="G91" s="899">
        <f ca="1">'BIS Doc'!J49</f>
        <v>0</v>
      </c>
      <c r="H91" s="900">
        <f ca="1">'BIS Doc'!G49</f>
        <v>0.56820287307327466</v>
      </c>
      <c r="I91" s="901">
        <f ca="1">'BIS Doc'!H49</f>
        <v>0</v>
      </c>
      <c r="J91" s="901">
        <f ca="1">'BIS Doc'!I49</f>
        <v>0</v>
      </c>
      <c r="K91" s="1451" t="str">
        <f t="shared" ca="1" si="2"/>
        <v>IS 14650 CPS 10748/GR2</v>
      </c>
      <c r="L91" s="1451"/>
      <c r="M91" s="1451"/>
      <c r="N91" s="1451"/>
      <c r="O91" s="1451"/>
      <c r="P91" s="902"/>
      <c r="Q91" s="903"/>
      <c r="R91" s="1451"/>
      <c r="S91" s="1451"/>
      <c r="T91" s="904"/>
      <c r="U91" s="1450"/>
    </row>
    <row r="92" spans="1:21" ht="19.5" customHeight="1">
      <c r="A92" s="864"/>
      <c r="B92" s="904"/>
      <c r="C92" s="895"/>
      <c r="D92" s="896"/>
      <c r="E92" s="897"/>
      <c r="F92" s="906"/>
      <c r="G92" s="907"/>
      <c r="H92" s="908"/>
      <c r="I92" s="909"/>
      <c r="J92" s="909"/>
      <c r="K92" s="1451"/>
      <c r="L92" s="1451"/>
      <c r="M92" s="1451"/>
      <c r="N92" s="1451"/>
      <c r="O92" s="1451"/>
      <c r="P92" s="902"/>
      <c r="Q92" s="903"/>
      <c r="R92" s="1451"/>
      <c r="S92" s="1451"/>
      <c r="T92" s="904"/>
      <c r="U92" s="1450"/>
    </row>
    <row r="93" spans="1:21" ht="19.5" customHeight="1">
      <c r="A93" s="864"/>
      <c r="B93" s="904"/>
      <c r="C93" s="895"/>
      <c r="D93" s="896"/>
      <c r="E93" s="897"/>
      <c r="F93" s="906"/>
      <c r="G93" s="907"/>
      <c r="H93" s="908"/>
      <c r="I93" s="909"/>
      <c r="J93" s="909"/>
      <c r="K93" s="1451"/>
      <c r="L93" s="1451"/>
      <c r="M93" s="1451"/>
      <c r="N93" s="1451"/>
      <c r="O93" s="1451"/>
      <c r="P93" s="902"/>
      <c r="Q93" s="905"/>
      <c r="R93" s="1451"/>
      <c r="S93" s="1451"/>
      <c r="T93" s="904"/>
      <c r="U93" s="1450"/>
    </row>
    <row r="94" spans="1:21" ht="19.5" customHeight="1">
      <c r="A94" s="864"/>
      <c r="B94" s="910"/>
      <c r="C94" s="911"/>
      <c r="D94" s="896"/>
      <c r="E94" s="897"/>
      <c r="F94" s="906"/>
      <c r="G94" s="907"/>
      <c r="H94" s="908"/>
      <c r="I94" s="909"/>
      <c r="J94" s="909"/>
      <c r="K94" s="1451"/>
      <c r="L94" s="1451"/>
      <c r="M94" s="1451"/>
      <c r="N94" s="1451"/>
      <c r="O94" s="1451"/>
      <c r="P94" s="912"/>
      <c r="Q94" s="913"/>
      <c r="R94" s="1452"/>
      <c r="S94" s="1452"/>
      <c r="T94" s="910"/>
      <c r="U94" s="1450"/>
    </row>
    <row r="95" spans="1:21" ht="19.5" customHeight="1">
      <c r="A95" s="914"/>
      <c r="B95" s="915"/>
      <c r="C95" s="916"/>
      <c r="D95" s="917"/>
      <c r="E95" s="918">
        <f>SUM(E86:E91)</f>
        <v>0</v>
      </c>
      <c r="F95" s="919"/>
      <c r="G95" s="920"/>
      <c r="H95" s="921"/>
      <c r="I95" s="922"/>
      <c r="J95" s="922"/>
      <c r="K95" s="1453"/>
      <c r="L95" s="1453"/>
      <c r="M95" s="1453"/>
      <c r="N95" s="1453"/>
      <c r="O95" s="1453"/>
      <c r="P95" s="923"/>
      <c r="Q95" s="924"/>
      <c r="R95" s="1454"/>
      <c r="S95" s="1454"/>
      <c r="T95" s="915"/>
      <c r="U95" s="1450"/>
    </row>
    <row r="96" spans="1:21" ht="15.75" customHeight="1">
      <c r="A96" s="864"/>
      <c r="B96" s="773"/>
      <c r="C96" s="773"/>
      <c r="D96" s="925"/>
      <c r="E96" s="926"/>
      <c r="F96" s="927"/>
      <c r="G96" s="928"/>
      <c r="H96" s="259"/>
      <c r="I96" s="259"/>
      <c r="J96" s="928"/>
      <c r="K96" s="929"/>
      <c r="L96" s="929"/>
      <c r="M96" s="929"/>
      <c r="N96" s="929"/>
      <c r="O96" s="928"/>
      <c r="P96" s="930"/>
      <c r="Q96" s="931"/>
      <c r="R96" s="931"/>
      <c r="U96" s="932"/>
    </row>
    <row r="97" spans="1:21" ht="18.75" customHeight="1">
      <c r="A97" s="864"/>
      <c r="B97" s="773"/>
      <c r="C97" s="773"/>
      <c r="D97" s="773"/>
      <c r="E97" s="773"/>
      <c r="F97" s="773"/>
      <c r="G97" s="773"/>
      <c r="H97" s="773"/>
      <c r="I97" s="773"/>
      <c r="J97" s="773"/>
      <c r="K97" s="773"/>
      <c r="P97" s="1446" t="s">
        <v>804</v>
      </c>
      <c r="Q97" s="1446"/>
      <c r="R97" s="1446"/>
      <c r="S97" s="1446"/>
      <c r="T97" s="1446"/>
      <c r="U97" s="1446"/>
    </row>
    <row r="98" spans="1:21" ht="18.75" customHeight="1">
      <c r="A98" s="1447" t="s">
        <v>805</v>
      </c>
      <c r="B98" s="1447"/>
      <c r="C98" s="933"/>
      <c r="D98" s="933"/>
      <c r="E98" s="933"/>
      <c r="F98" s="933"/>
      <c r="P98" s="855"/>
      <c r="Q98" s="855"/>
      <c r="R98" s="855"/>
      <c r="S98" s="855"/>
      <c r="T98" s="855"/>
      <c r="U98" s="934"/>
    </row>
    <row r="99" spans="1:21" ht="18.75" customHeight="1">
      <c r="A99" s="854"/>
      <c r="B99" s="855"/>
      <c r="P99" s="855"/>
      <c r="Q99" s="855"/>
      <c r="R99" s="855"/>
      <c r="S99" s="855"/>
      <c r="T99" s="855"/>
      <c r="U99" s="934"/>
    </row>
    <row r="100" spans="1:21" ht="18.75" customHeight="1">
      <c r="A100" s="854" t="s">
        <v>806</v>
      </c>
      <c r="B100" s="855"/>
      <c r="C100" s="867"/>
      <c r="D100" s="941"/>
      <c r="E100" s="933"/>
      <c r="F100" s="933"/>
      <c r="P100" s="855"/>
      <c r="Q100" s="855"/>
      <c r="R100" s="855"/>
      <c r="S100" s="855"/>
      <c r="T100" s="855"/>
      <c r="U100" s="934"/>
    </row>
    <row r="101" spans="1:21" ht="18.75" customHeight="1">
      <c r="A101" s="854"/>
      <c r="B101" s="855"/>
      <c r="C101" s="937"/>
      <c r="P101" s="855"/>
      <c r="Q101" s="855"/>
      <c r="R101" s="855"/>
      <c r="S101" s="855"/>
      <c r="T101" s="855"/>
      <c r="U101" s="934"/>
    </row>
    <row r="102" spans="1:21" ht="19.5" customHeight="1">
      <c r="A102" s="938"/>
      <c r="B102" s="939"/>
      <c r="C102" s="940"/>
      <c r="D102" s="453"/>
      <c r="E102" s="453"/>
      <c r="F102" s="453"/>
      <c r="G102" s="453"/>
      <c r="H102" s="453"/>
      <c r="I102" s="453"/>
      <c r="J102" s="453"/>
      <c r="K102" s="453"/>
      <c r="L102" s="453"/>
      <c r="M102" s="453"/>
      <c r="N102" s="453"/>
      <c r="O102" s="453"/>
      <c r="P102" s="1448" t="s">
        <v>807</v>
      </c>
      <c r="Q102" s="1448"/>
      <c r="R102" s="1448"/>
      <c r="S102" s="1448"/>
      <c r="T102" s="1448"/>
      <c r="U102" s="1448"/>
    </row>
    <row r="103" spans="1:21" ht="45.75" customHeight="1">
      <c r="A103" s="1455"/>
      <c r="B103" s="1455"/>
      <c r="C103" s="1455"/>
      <c r="D103" s="847"/>
      <c r="E103" s="1456" t="s">
        <v>774</v>
      </c>
      <c r="F103" s="1456"/>
      <c r="G103" s="1456"/>
      <c r="H103" s="1456"/>
      <c r="I103" s="1456"/>
      <c r="J103" s="1456"/>
      <c r="K103" s="1456"/>
      <c r="L103" s="1456"/>
      <c r="M103" s="1456"/>
      <c r="N103" s="1456"/>
      <c r="O103" s="1456"/>
      <c r="P103" s="1456"/>
      <c r="Q103" s="1456"/>
      <c r="R103" s="1456"/>
      <c r="S103" s="848"/>
      <c r="T103" s="1457" t="s">
        <v>775</v>
      </c>
      <c r="U103" s="1457"/>
    </row>
    <row r="104" spans="1:21" ht="18.75" customHeight="1">
      <c r="A104" s="849"/>
      <c r="E104" s="1458" t="s">
        <v>776</v>
      </c>
      <c r="F104" s="1458"/>
      <c r="G104" s="1458"/>
      <c r="H104" s="1458"/>
      <c r="I104" s="1458"/>
      <c r="J104" s="1458"/>
      <c r="K104" s="1458"/>
      <c r="L104" s="1458"/>
      <c r="M104" s="1458"/>
      <c r="N104" s="1458"/>
      <c r="O104" s="1458"/>
      <c r="P104" s="1458"/>
      <c r="Q104" s="1458"/>
      <c r="R104" s="1458"/>
      <c r="U104" s="456"/>
    </row>
    <row r="105" spans="1:21" ht="18.75" customHeight="1">
      <c r="A105" s="850"/>
      <c r="F105" s="587"/>
      <c r="G105" s="587"/>
      <c r="H105" s="587"/>
      <c r="I105" s="587"/>
      <c r="J105" s="587"/>
      <c r="K105" s="587"/>
      <c r="L105" s="587"/>
      <c r="M105" s="851"/>
      <c r="N105" s="852"/>
      <c r="O105" s="851"/>
      <c r="P105" s="1459" t="s">
        <v>777</v>
      </c>
      <c r="Q105" s="1459"/>
      <c r="R105" s="1459"/>
      <c r="S105" s="1459"/>
      <c r="T105" s="1459"/>
      <c r="U105" s="1459"/>
    </row>
    <row r="106" spans="1:21" ht="15" customHeight="1">
      <c r="A106" s="849"/>
      <c r="E106" s="1287" t="s">
        <v>778</v>
      </c>
      <c r="F106" s="1287"/>
      <c r="G106" s="1287"/>
      <c r="H106" s="1287"/>
      <c r="I106" s="1287"/>
      <c r="J106" s="1287"/>
      <c r="K106" s="1287"/>
      <c r="L106" s="1287"/>
      <c r="M106" s="1287"/>
      <c r="N106" s="1287"/>
      <c r="O106" s="1287"/>
      <c r="P106" s="1287"/>
      <c r="Q106" s="1287"/>
      <c r="R106" s="1287"/>
      <c r="U106" s="456"/>
    </row>
    <row r="107" spans="1:21" ht="18.75" customHeight="1">
      <c r="A107" s="849"/>
      <c r="E107" s="1286" t="s">
        <v>779</v>
      </c>
      <c r="F107" s="1286"/>
      <c r="G107" s="1286"/>
      <c r="H107" s="1286"/>
      <c r="I107" s="1286"/>
      <c r="J107" s="1286"/>
      <c r="K107" s="1286"/>
      <c r="L107" s="1286"/>
      <c r="M107" s="1286"/>
      <c r="N107" s="1286"/>
      <c r="O107" s="1286"/>
      <c r="P107" s="1286"/>
      <c r="Q107" s="1286"/>
      <c r="R107" s="1286"/>
      <c r="U107" s="853"/>
    </row>
    <row r="108" spans="1:21" ht="23.25" customHeight="1">
      <c r="A108" s="854" t="s">
        <v>780</v>
      </c>
      <c r="B108" s="855"/>
      <c r="C108" s="855"/>
      <c r="D108" s="856" t="s">
        <v>827</v>
      </c>
      <c r="E108" s="857"/>
      <c r="F108" s="858"/>
      <c r="G108" s="859"/>
      <c r="H108" s="859"/>
      <c r="I108" s="859"/>
      <c r="J108" s="859"/>
      <c r="K108" s="859"/>
      <c r="L108" s="860"/>
      <c r="M108" s="1460"/>
      <c r="N108" s="1460"/>
      <c r="O108" s="1460"/>
      <c r="P108" s="1461" t="s">
        <v>781</v>
      </c>
      <c r="Q108" s="1461"/>
      <c r="R108" s="1461"/>
      <c r="S108" s="855"/>
      <c r="T108" s="861">
        <v>46297</v>
      </c>
      <c r="U108" s="456"/>
    </row>
    <row r="109" spans="1:21" ht="23.25" customHeight="1">
      <c r="A109" s="854"/>
      <c r="B109" s="862"/>
      <c r="C109" s="862"/>
      <c r="D109" s="862"/>
      <c r="E109" s="163"/>
      <c r="F109" s="863"/>
      <c r="G109" s="863"/>
      <c r="H109" s="863"/>
      <c r="I109" s="863"/>
      <c r="J109" s="863"/>
      <c r="K109" s="863"/>
      <c r="U109" s="456"/>
    </row>
    <row r="110" spans="1:21" ht="21" customHeight="1">
      <c r="A110" s="864" t="s">
        <v>782</v>
      </c>
      <c r="B110" s="865"/>
      <c r="C110" s="866"/>
      <c r="D110" s="867"/>
      <c r="E110" s="868"/>
      <c r="F110" s="869"/>
      <c r="G110" s="869"/>
      <c r="H110" s="869"/>
      <c r="I110" s="870"/>
      <c r="J110" s="870"/>
      <c r="P110" s="1462"/>
      <c r="Q110" s="1462"/>
      <c r="R110" s="1462"/>
      <c r="S110" s="1462"/>
      <c r="T110" s="871"/>
      <c r="U110" s="456"/>
    </row>
    <row r="111" spans="1:21" ht="21" customHeight="1">
      <c r="A111" s="872"/>
      <c r="B111" s="873"/>
      <c r="C111" s="869"/>
      <c r="D111" s="869"/>
      <c r="E111" s="869"/>
      <c r="F111" s="869"/>
      <c r="G111" s="869"/>
      <c r="H111" s="869"/>
      <c r="I111" s="870"/>
      <c r="J111" s="870"/>
      <c r="U111" s="456"/>
    </row>
    <row r="112" spans="1:21" ht="15" customHeight="1">
      <c r="A112" s="1463" t="s">
        <v>783</v>
      </c>
      <c r="B112" s="1463"/>
      <c r="C112" s="1463"/>
      <c r="D112" s="1463"/>
      <c r="E112" s="1463"/>
      <c r="F112" s="1463"/>
      <c r="G112" s="1463"/>
      <c r="H112" s="1463"/>
      <c r="I112" s="1463"/>
      <c r="J112" s="1463"/>
      <c r="K112" s="1463"/>
      <c r="L112" s="1463"/>
      <c r="M112" s="1463"/>
      <c r="N112" s="1463"/>
      <c r="O112" s="1463"/>
      <c r="P112" s="1463"/>
      <c r="Q112" s="1463"/>
      <c r="R112" s="1463"/>
      <c r="S112" s="1463"/>
      <c r="T112" s="1463"/>
      <c r="U112" s="1463"/>
    </row>
    <row r="113" spans="1:21" ht="15" customHeight="1">
      <c r="A113" s="1463"/>
      <c r="B113" s="1463"/>
      <c r="C113" s="1463"/>
      <c r="D113" s="1463"/>
      <c r="E113" s="1463"/>
      <c r="F113" s="1463"/>
      <c r="G113" s="1463"/>
      <c r="H113" s="1463"/>
      <c r="I113" s="1463"/>
      <c r="J113" s="1463"/>
      <c r="K113" s="1463"/>
      <c r="L113" s="1463"/>
      <c r="M113" s="1463"/>
      <c r="N113" s="1463"/>
      <c r="O113" s="1463"/>
      <c r="P113" s="1463"/>
      <c r="Q113" s="1463"/>
      <c r="R113" s="1463"/>
      <c r="S113" s="1463"/>
      <c r="T113" s="1463"/>
      <c r="U113" s="1463"/>
    </row>
    <row r="114" spans="1:21" ht="18" customHeight="1">
      <c r="A114" s="1464" t="s">
        <v>784</v>
      </c>
      <c r="B114" s="1464"/>
      <c r="C114" s="1464"/>
      <c r="D114" s="1464"/>
      <c r="E114" s="1464"/>
      <c r="F114" s="1464"/>
      <c r="G114" s="1464"/>
      <c r="H114" s="1464"/>
      <c r="I114" s="1464"/>
      <c r="J114" s="1464"/>
      <c r="K114" s="1464"/>
      <c r="L114" s="1464"/>
      <c r="M114" s="1464"/>
      <c r="N114" s="1464"/>
      <c r="O114" s="1464"/>
      <c r="P114" s="1464"/>
      <c r="Q114" s="1464"/>
      <c r="R114" s="1464"/>
      <c r="S114" s="1464"/>
      <c r="T114" s="1464"/>
      <c r="U114" s="1464"/>
    </row>
    <row r="115" spans="1:21" ht="23.25" customHeight="1">
      <c r="A115" s="1465" t="s">
        <v>785</v>
      </c>
      <c r="B115" s="1465"/>
      <c r="C115" s="1465"/>
      <c r="D115" s="1465"/>
      <c r="E115" s="1465"/>
      <c r="F115" s="1465"/>
      <c r="G115" s="1465"/>
      <c r="H115" s="1465"/>
      <c r="I115" s="1465"/>
      <c r="J115" s="1465"/>
      <c r="K115" s="1465"/>
      <c r="L115" s="1465"/>
      <c r="M115" s="1465"/>
      <c r="N115" s="1465"/>
      <c r="O115" s="1465"/>
      <c r="P115" s="1465"/>
      <c r="Q115" s="1465"/>
      <c r="R115" s="1465"/>
      <c r="S115" s="1465"/>
      <c r="T115" s="1465"/>
      <c r="U115" s="1465"/>
    </row>
    <row r="116" spans="1:21" ht="21.75" customHeight="1">
      <c r="A116" s="874"/>
      <c r="B116" s="875"/>
      <c r="C116" s="875"/>
      <c r="D116" s="875"/>
      <c r="E116" s="875"/>
      <c r="F116" s="875"/>
      <c r="G116" s="875"/>
      <c r="H116" s="875"/>
      <c r="I116" s="875"/>
      <c r="J116" s="875"/>
      <c r="K116" s="875"/>
      <c r="L116" s="875"/>
      <c r="M116" s="875"/>
      <c r="N116" s="875"/>
      <c r="O116" s="875"/>
      <c r="P116" s="875"/>
      <c r="Q116" s="875"/>
      <c r="R116" s="875"/>
      <c r="S116" s="875"/>
      <c r="T116" s="875"/>
      <c r="U116" s="876"/>
    </row>
    <row r="117" spans="1:21" ht="15" customHeight="1">
      <c r="A117" s="1466" t="s">
        <v>786</v>
      </c>
      <c r="B117" s="1467" t="s">
        <v>787</v>
      </c>
      <c r="C117" s="1468" t="s">
        <v>788</v>
      </c>
      <c r="D117" s="1468" t="s">
        <v>789</v>
      </c>
      <c r="E117" s="1469" t="s">
        <v>790</v>
      </c>
      <c r="F117" s="1468" t="s">
        <v>791</v>
      </c>
      <c r="G117" s="1468"/>
      <c r="H117" s="1468"/>
      <c r="I117" s="1468"/>
      <c r="J117" s="1468"/>
      <c r="K117" s="1468"/>
      <c r="L117" s="1468"/>
      <c r="M117" s="1468"/>
      <c r="N117" s="1468"/>
      <c r="O117" s="1468"/>
      <c r="P117" s="1470"/>
      <c r="Q117" s="1470"/>
      <c r="R117" s="1470"/>
      <c r="S117" s="1470"/>
      <c r="T117" s="1470"/>
      <c r="U117" s="1470"/>
    </row>
    <row r="118" spans="1:21" ht="15.75" customHeight="1">
      <c r="A118" s="1466"/>
      <c r="B118" s="1467"/>
      <c r="C118" s="1468"/>
      <c r="D118" s="1468"/>
      <c r="E118" s="1469"/>
      <c r="F118" s="1468"/>
      <c r="G118" s="1468"/>
      <c r="H118" s="1468"/>
      <c r="I118" s="1468"/>
      <c r="J118" s="1468"/>
      <c r="K118" s="1468"/>
      <c r="L118" s="1468"/>
      <c r="M118" s="1468"/>
      <c r="N118" s="1468"/>
      <c r="O118" s="1468"/>
      <c r="P118" s="1470"/>
      <c r="Q118" s="1470"/>
      <c r="R118" s="1470"/>
      <c r="S118" s="1470"/>
      <c r="T118" s="1470"/>
      <c r="U118" s="1470"/>
    </row>
    <row r="119" spans="1:21" ht="48" customHeight="1">
      <c r="A119" s="1466"/>
      <c r="B119" s="1467"/>
      <c r="C119" s="1468"/>
      <c r="D119" s="1468"/>
      <c r="E119" s="1469"/>
      <c r="F119" s="878" t="s">
        <v>792</v>
      </c>
      <c r="G119" s="877" t="s">
        <v>793</v>
      </c>
      <c r="H119" s="878" t="s">
        <v>794</v>
      </c>
      <c r="I119" s="879" t="s">
        <v>795</v>
      </c>
      <c r="J119" s="880" t="s">
        <v>796</v>
      </c>
      <c r="K119" s="1468" t="s">
        <v>797</v>
      </c>
      <c r="L119" s="1468"/>
      <c r="M119" s="1468"/>
      <c r="N119" s="1468"/>
      <c r="O119" s="1468"/>
      <c r="P119" s="881" t="s">
        <v>798</v>
      </c>
      <c r="Q119" s="882" t="s">
        <v>799</v>
      </c>
      <c r="R119" s="1469" t="s">
        <v>800</v>
      </c>
      <c r="S119" s="1469"/>
      <c r="T119" s="877" t="s">
        <v>801</v>
      </c>
      <c r="U119" s="879" t="s">
        <v>104</v>
      </c>
    </row>
    <row r="120" spans="1:21" ht="19.5" customHeight="1">
      <c r="A120" s="883"/>
      <c r="B120" s="884" t="str">
        <f>IF('BIS Doc'!AC51=130, "130 × 130", IF('BIS Doc'!AC51=160, "160 × 160", IF('BIS Doc'!AC51=110, "110 × 110", "Value not 130, 160, or 110")))</f>
        <v>Value not 130, 160, or 110</v>
      </c>
      <c r="C120" s="885">
        <f>'BIS Doc'!W51</f>
        <v>0</v>
      </c>
      <c r="D120" s="886"/>
      <c r="E120" s="887">
        <f>'BIS Doc'!AE51</f>
        <v>0</v>
      </c>
      <c r="F120" s="888">
        <f ca="1">'BIS Doc'!F51</f>
        <v>0</v>
      </c>
      <c r="G120" s="888">
        <f ca="1">'BIS Doc'!J51</f>
        <v>0</v>
      </c>
      <c r="H120" s="888">
        <f ca="1">'BIS Doc'!G51</f>
        <v>0.57342496374217999</v>
      </c>
      <c r="I120" s="889">
        <f ca="1">'BIS Doc'!H51</f>
        <v>0</v>
      </c>
      <c r="J120" s="889">
        <f ca="1">'BIS Doc'!I51</f>
        <v>0</v>
      </c>
      <c r="K120" s="1449" t="str">
        <f t="shared" ref="K120:K125" ca="1" si="3">IF(H120&lt;0.6, "IS 14650 CPS 10748/GR2", "IS 14650 CPS 10748/GR3")</f>
        <v>IS 14650 CPS 10748/GR2</v>
      </c>
      <c r="L120" s="1449"/>
      <c r="M120" s="1449"/>
      <c r="N120" s="1449"/>
      <c r="O120" s="1449"/>
      <c r="P120" s="890"/>
      <c r="Q120" s="891"/>
      <c r="R120" s="1449"/>
      <c r="S120" s="1449"/>
      <c r="T120" s="892"/>
      <c r="U120" s="1450" t="s">
        <v>802</v>
      </c>
    </row>
    <row r="121" spans="1:21" ht="19.5" customHeight="1">
      <c r="A121" s="893"/>
      <c r="B121" s="894" t="str">
        <f>IF('BIS Doc'!AC53=130, "130 × 130", IF('BIS Doc'!AC53=160, "160 × 160", IF('BIS Doc'!AC53=110, "110 × 110", "Value not 130, 160, or 110")))</f>
        <v>Value not 130, 160, or 110</v>
      </c>
      <c r="C121" s="895">
        <f>'BIS Doc'!W53</f>
        <v>0</v>
      </c>
      <c r="D121" s="896"/>
      <c r="E121" s="897">
        <f>'BIS Doc'!AE53</f>
        <v>0</v>
      </c>
      <c r="F121" s="898">
        <f ca="1">'BIS Doc'!F53</f>
        <v>0</v>
      </c>
      <c r="G121" s="899">
        <f ca="1">'BIS Doc'!J53</f>
        <v>0</v>
      </c>
      <c r="H121" s="900">
        <f ca="1">'BIS Doc'!G53</f>
        <v>0.52436656290696004</v>
      </c>
      <c r="I121" s="901">
        <f ca="1">'BIS Doc'!H53</f>
        <v>0</v>
      </c>
      <c r="J121" s="901">
        <f ca="1">'BIS Doc'!I53</f>
        <v>0</v>
      </c>
      <c r="K121" s="1451" t="str">
        <f t="shared" ca="1" si="3"/>
        <v>IS 14650 CPS 10748/GR2</v>
      </c>
      <c r="L121" s="1451"/>
      <c r="M121" s="1451"/>
      <c r="N121" s="1451"/>
      <c r="O121" s="1451"/>
      <c r="P121" s="902"/>
      <c r="Q121" s="903"/>
      <c r="R121" s="1451"/>
      <c r="S121" s="1451"/>
      <c r="T121" s="904"/>
      <c r="U121" s="1450"/>
    </row>
    <row r="122" spans="1:21" ht="19.5" customHeight="1">
      <c r="A122" s="864"/>
      <c r="B122" s="894" t="str">
        <f>IF('BIS Doc'!AC55=130, "130 × 130", IF('BIS Doc'!AC55=160, "160 × 160", IF('BIS Doc'!AC55=110, "110 × 110", "Value not 130, 160, or 110")))</f>
        <v>Value not 130, 160, or 110</v>
      </c>
      <c r="C122" s="895">
        <f>'BIS Doc'!W55</f>
        <v>0</v>
      </c>
      <c r="D122" s="896" t="s">
        <v>803</v>
      </c>
      <c r="E122" s="897">
        <f>'BIS Doc'!AE55</f>
        <v>0</v>
      </c>
      <c r="F122" s="898">
        <f ca="1">'BIS Doc'!F55</f>
        <v>0</v>
      </c>
      <c r="G122" s="899">
        <f ca="1">'BIS Doc'!J55</f>
        <v>0</v>
      </c>
      <c r="H122" s="900">
        <f ca="1">'BIS Doc'!G55</f>
        <v>0.5476271876966935</v>
      </c>
      <c r="I122" s="901">
        <f ca="1">'BIS Doc'!H55</f>
        <v>0</v>
      </c>
      <c r="J122" s="901">
        <f ca="1">'BIS Doc'!I55</f>
        <v>0</v>
      </c>
      <c r="K122" s="1451" t="str">
        <f t="shared" ca="1" si="3"/>
        <v>IS 14650 CPS 10748/GR2</v>
      </c>
      <c r="L122" s="1451"/>
      <c r="M122" s="1451"/>
      <c r="N122" s="1451"/>
      <c r="O122" s="1451"/>
      <c r="P122" s="902"/>
      <c r="Q122" s="905"/>
      <c r="R122" s="1451"/>
      <c r="S122" s="1451"/>
      <c r="T122" s="904"/>
      <c r="U122" s="1450"/>
    </row>
    <row r="123" spans="1:21" ht="19.5" customHeight="1">
      <c r="A123" s="864"/>
      <c r="B123" s="894" t="str">
        <f>IF('BIS Doc'!AC57=130, "130 × 130", IF('BIS Doc'!AC57=160, "160 × 160", IF('BIS Doc'!AC57=110, "110 × 110", "Value not 130, 160, or 110")))</f>
        <v>Value not 130, 160, or 110</v>
      </c>
      <c r="C123" s="895">
        <f>'BIS Doc'!W57</f>
        <v>0</v>
      </c>
      <c r="D123" s="896"/>
      <c r="E123" s="897">
        <f>'BIS Doc'!AE57</f>
        <v>0</v>
      </c>
      <c r="F123" s="898">
        <f ca="1">'BIS Doc'!F57</f>
        <v>0</v>
      </c>
      <c r="G123" s="899">
        <f ca="1">'BIS Doc'!J57</f>
        <v>0</v>
      </c>
      <c r="H123" s="900">
        <f ca="1">'BIS Doc'!G57</f>
        <v>0.53848405682090239</v>
      </c>
      <c r="I123" s="901">
        <f ca="1">'BIS Doc'!H57</f>
        <v>0</v>
      </c>
      <c r="J123" s="901">
        <f ca="1">'BIS Doc'!I57</f>
        <v>0</v>
      </c>
      <c r="K123" s="1451" t="str">
        <f t="shared" ca="1" si="3"/>
        <v>IS 14650 CPS 10748/GR2</v>
      </c>
      <c r="L123" s="1451"/>
      <c r="M123" s="1451"/>
      <c r="N123" s="1451"/>
      <c r="O123" s="1451"/>
      <c r="P123" s="902"/>
      <c r="Q123" s="905"/>
      <c r="R123" s="1451"/>
      <c r="S123" s="1451"/>
      <c r="T123" s="904"/>
      <c r="U123" s="1450"/>
    </row>
    <row r="124" spans="1:21" ht="19.5" customHeight="1">
      <c r="A124" s="864"/>
      <c r="B124" s="894" t="str">
        <f>IF('BIS Doc'!AC59=130, "130 × 130", IF('BIS Doc'!AC59=160, "160 × 160", IF('BIS Doc'!AC59=110, "110 × 110", "Value not 130, 160, or 110")))</f>
        <v>Value not 130, 160, or 110</v>
      </c>
      <c r="C124" s="895">
        <f>'BIS Doc'!W59</f>
        <v>0</v>
      </c>
      <c r="D124" s="896"/>
      <c r="E124" s="897">
        <f>'BIS Doc'!AE59</f>
        <v>0</v>
      </c>
      <c r="F124" s="898">
        <f ca="1">'BIS Doc'!F59</f>
        <v>0</v>
      </c>
      <c r="G124" s="899">
        <f ca="1">'BIS Doc'!J59</f>
        <v>0</v>
      </c>
      <c r="H124" s="900">
        <f ca="1">'BIS Doc'!G59</f>
        <v>0.53059325579382821</v>
      </c>
      <c r="I124" s="901">
        <f ca="1">'BIS Doc'!H59</f>
        <v>0</v>
      </c>
      <c r="J124" s="901">
        <f ca="1">'BIS Doc'!I59</f>
        <v>0</v>
      </c>
      <c r="K124" s="1451" t="str">
        <f t="shared" ca="1" si="3"/>
        <v>IS 14650 CPS 10748/GR2</v>
      </c>
      <c r="L124" s="1451"/>
      <c r="M124" s="1451"/>
      <c r="N124" s="1451"/>
      <c r="O124" s="1451"/>
      <c r="P124" s="902"/>
      <c r="Q124" s="905"/>
      <c r="R124" s="1451"/>
      <c r="S124" s="1451"/>
      <c r="T124" s="904"/>
      <c r="U124" s="1450"/>
    </row>
    <row r="125" spans="1:21" ht="19.5" customHeight="1">
      <c r="A125" s="864"/>
      <c r="B125" s="894" t="str">
        <f>IF('BIS Doc'!AC61=130, "130 × 130", IF('BIS Doc'!AC61=160, "160 × 160", IF('BIS Doc'!AC61=110, "110 × 110", "Value not 130, 160, or 110")))</f>
        <v>Value not 130, 160, or 110</v>
      </c>
      <c r="C125" s="895">
        <f>'BIS Doc'!W61</f>
        <v>0</v>
      </c>
      <c r="D125" s="896"/>
      <c r="E125" s="897">
        <f>'BIS Doc'!AE61</f>
        <v>0</v>
      </c>
      <c r="F125" s="898">
        <f ca="1">'BIS Doc'!F61</f>
        <v>0</v>
      </c>
      <c r="G125" s="899">
        <f ca="1">'BIS Doc'!J61</f>
        <v>0</v>
      </c>
      <c r="H125" s="900">
        <f ca="1">'BIS Doc'!G61</f>
        <v>0.54318103707435195</v>
      </c>
      <c r="I125" s="901">
        <f ca="1">'BIS Doc'!H61</f>
        <v>0</v>
      </c>
      <c r="J125" s="901">
        <f ca="1">'BIS Doc'!I61</f>
        <v>0</v>
      </c>
      <c r="K125" s="1451" t="str">
        <f t="shared" ca="1" si="3"/>
        <v>IS 14650 CPS 10748/GR2</v>
      </c>
      <c r="L125" s="1451"/>
      <c r="M125" s="1451"/>
      <c r="N125" s="1451"/>
      <c r="O125" s="1451"/>
      <c r="P125" s="902"/>
      <c r="Q125" s="903"/>
      <c r="R125" s="1451"/>
      <c r="S125" s="1451"/>
      <c r="T125" s="904"/>
      <c r="U125" s="1450"/>
    </row>
    <row r="126" spans="1:21" ht="19.5" customHeight="1">
      <c r="A126" s="864"/>
      <c r="B126" s="904"/>
      <c r="C126" s="895"/>
      <c r="D126" s="896"/>
      <c r="E126" s="897"/>
      <c r="F126" s="906"/>
      <c r="G126" s="907"/>
      <c r="H126" s="908"/>
      <c r="I126" s="909"/>
      <c r="J126" s="909"/>
      <c r="K126" s="1451"/>
      <c r="L126" s="1451"/>
      <c r="M126" s="1451"/>
      <c r="N126" s="1451"/>
      <c r="O126" s="1451"/>
      <c r="P126" s="902"/>
      <c r="Q126" s="903"/>
      <c r="R126" s="1451"/>
      <c r="S126" s="1451"/>
      <c r="T126" s="904"/>
      <c r="U126" s="1450"/>
    </row>
    <row r="127" spans="1:21" ht="19.5" customHeight="1">
      <c r="A127" s="864"/>
      <c r="B127" s="904"/>
      <c r="C127" s="895"/>
      <c r="D127" s="896"/>
      <c r="E127" s="897"/>
      <c r="F127" s="906"/>
      <c r="G127" s="907"/>
      <c r="H127" s="908"/>
      <c r="I127" s="909"/>
      <c r="J127" s="909"/>
      <c r="K127" s="1451"/>
      <c r="L127" s="1451"/>
      <c r="M127" s="1451"/>
      <c r="N127" s="1451"/>
      <c r="O127" s="1451"/>
      <c r="P127" s="902"/>
      <c r="Q127" s="905"/>
      <c r="R127" s="1451"/>
      <c r="S127" s="1451"/>
      <c r="T127" s="904"/>
      <c r="U127" s="1450"/>
    </row>
    <row r="128" spans="1:21" ht="19.5" customHeight="1">
      <c r="A128" s="864"/>
      <c r="B128" s="910"/>
      <c r="C128" s="911"/>
      <c r="D128" s="896"/>
      <c r="E128" s="897"/>
      <c r="F128" s="906"/>
      <c r="G128" s="907"/>
      <c r="H128" s="908"/>
      <c r="I128" s="909"/>
      <c r="J128" s="909"/>
      <c r="K128" s="1451"/>
      <c r="L128" s="1451"/>
      <c r="M128" s="1451"/>
      <c r="N128" s="1451"/>
      <c r="O128" s="1451"/>
      <c r="P128" s="912"/>
      <c r="Q128" s="913"/>
      <c r="R128" s="1452"/>
      <c r="S128" s="1452"/>
      <c r="T128" s="910"/>
      <c r="U128" s="1450"/>
    </row>
    <row r="129" spans="1:21" ht="19.5" customHeight="1">
      <c r="A129" s="914"/>
      <c r="B129" s="915"/>
      <c r="C129" s="916"/>
      <c r="D129" s="917"/>
      <c r="E129" s="918">
        <f>SUM(E120:E125)</f>
        <v>0</v>
      </c>
      <c r="F129" s="919"/>
      <c r="G129" s="920"/>
      <c r="H129" s="921"/>
      <c r="I129" s="922"/>
      <c r="J129" s="922"/>
      <c r="K129" s="1453"/>
      <c r="L129" s="1453"/>
      <c r="M129" s="1453"/>
      <c r="N129" s="1453"/>
      <c r="O129" s="1453"/>
      <c r="P129" s="923"/>
      <c r="Q129" s="924"/>
      <c r="R129" s="1454"/>
      <c r="S129" s="1454"/>
      <c r="T129" s="915"/>
      <c r="U129" s="1450"/>
    </row>
    <row r="130" spans="1:21" ht="15.75" customHeight="1">
      <c r="A130" s="864"/>
      <c r="B130" s="773"/>
      <c r="C130" s="773"/>
      <c r="D130" s="925"/>
      <c r="E130" s="926"/>
      <c r="F130" s="927"/>
      <c r="G130" s="928"/>
      <c r="H130" s="259"/>
      <c r="I130" s="259"/>
      <c r="J130" s="928"/>
      <c r="K130" s="929"/>
      <c r="L130" s="929"/>
      <c r="M130" s="929"/>
      <c r="N130" s="929"/>
      <c r="O130" s="928"/>
      <c r="P130" s="930"/>
      <c r="Q130" s="931"/>
      <c r="R130" s="931"/>
      <c r="U130" s="932"/>
    </row>
    <row r="131" spans="1:21" ht="18.75" customHeight="1">
      <c r="A131" s="864"/>
      <c r="B131" s="773"/>
      <c r="C131" s="773"/>
      <c r="D131" s="773"/>
      <c r="E131" s="773"/>
      <c r="F131" s="773"/>
      <c r="G131" s="773"/>
      <c r="H131" s="773"/>
      <c r="I131" s="773"/>
      <c r="J131" s="773"/>
      <c r="K131" s="773"/>
      <c r="P131" s="1446" t="s">
        <v>804</v>
      </c>
      <c r="Q131" s="1446"/>
      <c r="R131" s="1446"/>
      <c r="S131" s="1446"/>
      <c r="T131" s="1446"/>
      <c r="U131" s="1446"/>
    </row>
    <row r="132" spans="1:21" ht="18.75" customHeight="1">
      <c r="A132" s="1447" t="s">
        <v>805</v>
      </c>
      <c r="B132" s="1447"/>
      <c r="C132" s="933"/>
      <c r="D132" s="933"/>
      <c r="E132" s="933"/>
      <c r="F132" s="933"/>
      <c r="P132" s="855"/>
      <c r="Q132" s="855"/>
      <c r="R132" s="855"/>
      <c r="S132" s="855"/>
      <c r="T132" s="855"/>
      <c r="U132" s="934"/>
    </row>
    <row r="133" spans="1:21" ht="18.75" customHeight="1">
      <c r="A133" s="854"/>
      <c r="B133" s="855"/>
      <c r="P133" s="855"/>
      <c r="Q133" s="855"/>
      <c r="R133" s="855"/>
      <c r="S133" s="855"/>
      <c r="T133" s="855"/>
      <c r="U133" s="934"/>
    </row>
    <row r="134" spans="1:21" ht="18.75" customHeight="1">
      <c r="A134" s="854" t="s">
        <v>806</v>
      </c>
      <c r="B134" s="855"/>
      <c r="C134" s="867"/>
      <c r="D134" s="941"/>
      <c r="E134" s="933"/>
      <c r="F134" s="933"/>
      <c r="P134" s="855"/>
      <c r="Q134" s="855"/>
      <c r="R134" s="855"/>
      <c r="S134" s="855"/>
      <c r="T134" s="855"/>
      <c r="U134" s="934"/>
    </row>
    <row r="135" spans="1:21" ht="18.75" customHeight="1">
      <c r="A135" s="854"/>
      <c r="B135" s="855"/>
      <c r="C135" s="937"/>
      <c r="P135" s="855"/>
      <c r="Q135" s="855"/>
      <c r="R135" s="855"/>
      <c r="S135" s="855"/>
      <c r="T135" s="855"/>
      <c r="U135" s="934"/>
    </row>
    <row r="136" spans="1:21" ht="19.5" customHeight="1">
      <c r="A136" s="938"/>
      <c r="B136" s="939"/>
      <c r="C136" s="940"/>
      <c r="D136" s="453"/>
      <c r="E136" s="453"/>
      <c r="F136" s="453"/>
      <c r="G136" s="453"/>
      <c r="H136" s="453"/>
      <c r="I136" s="453"/>
      <c r="J136" s="453"/>
      <c r="K136" s="453"/>
      <c r="L136" s="453"/>
      <c r="M136" s="453"/>
      <c r="N136" s="453"/>
      <c r="O136" s="453"/>
      <c r="P136" s="1448" t="s">
        <v>807</v>
      </c>
      <c r="Q136" s="1448"/>
      <c r="R136" s="1448"/>
      <c r="S136" s="1448"/>
      <c r="T136" s="1448"/>
      <c r="U136" s="1448"/>
    </row>
    <row r="137" spans="1:21" ht="45.75" customHeight="1">
      <c r="A137" s="1455"/>
      <c r="B137" s="1455"/>
      <c r="C137" s="1455"/>
      <c r="D137" s="847"/>
      <c r="E137" s="1456" t="s">
        <v>774</v>
      </c>
      <c r="F137" s="1456"/>
      <c r="G137" s="1456"/>
      <c r="H137" s="1456"/>
      <c r="I137" s="1456"/>
      <c r="J137" s="1456"/>
      <c r="K137" s="1456"/>
      <c r="L137" s="1456"/>
      <c r="M137" s="1456"/>
      <c r="N137" s="1456"/>
      <c r="O137" s="1456"/>
      <c r="P137" s="1456"/>
      <c r="Q137" s="1456"/>
      <c r="R137" s="1456"/>
      <c r="S137" s="848"/>
      <c r="T137" s="1457" t="s">
        <v>775</v>
      </c>
      <c r="U137" s="1457"/>
    </row>
    <row r="138" spans="1:21" ht="18.75" customHeight="1">
      <c r="A138" s="849"/>
      <c r="E138" s="1458" t="s">
        <v>776</v>
      </c>
      <c r="F138" s="1458"/>
      <c r="G138" s="1458"/>
      <c r="H138" s="1458"/>
      <c r="I138" s="1458"/>
      <c r="J138" s="1458"/>
      <c r="K138" s="1458"/>
      <c r="L138" s="1458"/>
      <c r="M138" s="1458"/>
      <c r="N138" s="1458"/>
      <c r="O138" s="1458"/>
      <c r="P138" s="1458"/>
      <c r="Q138" s="1458"/>
      <c r="R138" s="1458"/>
      <c r="U138" s="456"/>
    </row>
    <row r="139" spans="1:21" ht="18.75" customHeight="1">
      <c r="A139" s="850"/>
      <c r="F139" s="587"/>
      <c r="G139" s="587"/>
      <c r="H139" s="587"/>
      <c r="I139" s="587"/>
      <c r="J139" s="587"/>
      <c r="K139" s="587"/>
      <c r="L139" s="587"/>
      <c r="M139" s="851"/>
      <c r="N139" s="852"/>
      <c r="O139" s="851"/>
      <c r="P139" s="1459" t="s">
        <v>777</v>
      </c>
      <c r="Q139" s="1459"/>
      <c r="R139" s="1459"/>
      <c r="S139" s="1459"/>
      <c r="T139" s="1459"/>
      <c r="U139" s="1459"/>
    </row>
    <row r="140" spans="1:21" ht="15" customHeight="1">
      <c r="A140" s="849"/>
      <c r="E140" s="1287" t="s">
        <v>778</v>
      </c>
      <c r="F140" s="1287"/>
      <c r="G140" s="1287"/>
      <c r="H140" s="1287"/>
      <c r="I140" s="1287"/>
      <c r="J140" s="1287"/>
      <c r="K140" s="1287"/>
      <c r="L140" s="1287"/>
      <c r="M140" s="1287"/>
      <c r="N140" s="1287"/>
      <c r="O140" s="1287"/>
      <c r="P140" s="1287"/>
      <c r="Q140" s="1287"/>
      <c r="R140" s="1287"/>
      <c r="U140" s="456"/>
    </row>
    <row r="141" spans="1:21" ht="18.75" customHeight="1">
      <c r="A141" s="849"/>
      <c r="E141" s="1286" t="s">
        <v>779</v>
      </c>
      <c r="F141" s="1286"/>
      <c r="G141" s="1286"/>
      <c r="H141" s="1286"/>
      <c r="I141" s="1286"/>
      <c r="J141" s="1286"/>
      <c r="K141" s="1286"/>
      <c r="L141" s="1286"/>
      <c r="M141" s="1286"/>
      <c r="N141" s="1286"/>
      <c r="O141" s="1286"/>
      <c r="P141" s="1286"/>
      <c r="Q141" s="1286"/>
      <c r="R141" s="1286"/>
      <c r="U141" s="853"/>
    </row>
    <row r="142" spans="1:21" ht="23.25" customHeight="1">
      <c r="A142" s="854" t="s">
        <v>780</v>
      </c>
      <c r="B142" s="855"/>
      <c r="C142" s="855"/>
      <c r="D142" s="856" t="s">
        <v>828</v>
      </c>
      <c r="E142" s="857"/>
      <c r="F142" s="858"/>
      <c r="G142" s="859"/>
      <c r="H142" s="859"/>
      <c r="I142" s="859"/>
      <c r="J142" s="859"/>
      <c r="K142" s="859"/>
      <c r="L142" s="860"/>
      <c r="M142" s="1460"/>
      <c r="N142" s="1460"/>
      <c r="O142" s="1460"/>
      <c r="P142" s="1461" t="s">
        <v>781</v>
      </c>
      <c r="Q142" s="1461"/>
      <c r="R142" s="1461"/>
      <c r="S142" s="855"/>
      <c r="T142" s="861">
        <v>46298</v>
      </c>
      <c r="U142" s="456"/>
    </row>
    <row r="143" spans="1:21" ht="23.25" customHeight="1">
      <c r="A143" s="854"/>
      <c r="B143" s="862"/>
      <c r="C143" s="862"/>
      <c r="D143" s="862"/>
      <c r="E143" s="163"/>
      <c r="F143" s="863"/>
      <c r="G143" s="863"/>
      <c r="H143" s="863"/>
      <c r="I143" s="863"/>
      <c r="J143" s="863"/>
      <c r="K143" s="863"/>
      <c r="U143" s="456"/>
    </row>
    <row r="144" spans="1:21" ht="21" customHeight="1">
      <c r="A144" s="864" t="s">
        <v>782</v>
      </c>
      <c r="B144" s="865"/>
      <c r="C144" s="866"/>
      <c r="D144" s="867"/>
      <c r="E144" s="868"/>
      <c r="F144" s="869"/>
      <c r="G144" s="869"/>
      <c r="H144" s="869"/>
      <c r="I144" s="870"/>
      <c r="J144" s="870"/>
      <c r="P144" s="1462"/>
      <c r="Q144" s="1462"/>
      <c r="R144" s="1462"/>
      <c r="S144" s="1462"/>
      <c r="T144" s="871"/>
      <c r="U144" s="456"/>
    </row>
    <row r="145" spans="1:21" ht="21" customHeight="1">
      <c r="A145" s="872"/>
      <c r="B145" s="873"/>
      <c r="C145" s="869"/>
      <c r="D145" s="869"/>
      <c r="E145" s="869"/>
      <c r="F145" s="869"/>
      <c r="G145" s="869"/>
      <c r="H145" s="869"/>
      <c r="I145" s="870"/>
      <c r="J145" s="870"/>
      <c r="U145" s="456"/>
    </row>
    <row r="146" spans="1:21" ht="15" customHeight="1">
      <c r="A146" s="1463" t="s">
        <v>783</v>
      </c>
      <c r="B146" s="1463"/>
      <c r="C146" s="1463"/>
      <c r="D146" s="1463"/>
      <c r="E146" s="1463"/>
      <c r="F146" s="1463"/>
      <c r="G146" s="1463"/>
      <c r="H146" s="1463"/>
      <c r="I146" s="1463"/>
      <c r="J146" s="1463"/>
      <c r="K146" s="1463"/>
      <c r="L146" s="1463"/>
      <c r="M146" s="1463"/>
      <c r="N146" s="1463"/>
      <c r="O146" s="1463"/>
      <c r="P146" s="1463"/>
      <c r="Q146" s="1463"/>
      <c r="R146" s="1463"/>
      <c r="S146" s="1463"/>
      <c r="T146" s="1463"/>
      <c r="U146" s="1463"/>
    </row>
    <row r="147" spans="1:21" ht="15" customHeight="1">
      <c r="A147" s="1463"/>
      <c r="B147" s="1463"/>
      <c r="C147" s="1463"/>
      <c r="D147" s="1463"/>
      <c r="E147" s="1463"/>
      <c r="F147" s="1463"/>
      <c r="G147" s="1463"/>
      <c r="H147" s="1463"/>
      <c r="I147" s="1463"/>
      <c r="J147" s="1463"/>
      <c r="K147" s="1463"/>
      <c r="L147" s="1463"/>
      <c r="M147" s="1463"/>
      <c r="N147" s="1463"/>
      <c r="O147" s="1463"/>
      <c r="P147" s="1463"/>
      <c r="Q147" s="1463"/>
      <c r="R147" s="1463"/>
      <c r="S147" s="1463"/>
      <c r="T147" s="1463"/>
      <c r="U147" s="1463"/>
    </row>
    <row r="148" spans="1:21" ht="18" customHeight="1">
      <c r="A148" s="1464" t="s">
        <v>784</v>
      </c>
      <c r="B148" s="1464"/>
      <c r="C148" s="1464"/>
      <c r="D148" s="1464"/>
      <c r="E148" s="1464"/>
      <c r="F148" s="1464"/>
      <c r="G148" s="1464"/>
      <c r="H148" s="1464"/>
      <c r="I148" s="1464"/>
      <c r="J148" s="1464"/>
      <c r="K148" s="1464"/>
      <c r="L148" s="1464"/>
      <c r="M148" s="1464"/>
      <c r="N148" s="1464"/>
      <c r="O148" s="1464"/>
      <c r="P148" s="1464"/>
      <c r="Q148" s="1464"/>
      <c r="R148" s="1464"/>
      <c r="S148" s="1464"/>
      <c r="T148" s="1464"/>
      <c r="U148" s="1464"/>
    </row>
    <row r="149" spans="1:21" ht="23.25" customHeight="1">
      <c r="A149" s="1465" t="s">
        <v>785</v>
      </c>
      <c r="B149" s="1465"/>
      <c r="C149" s="1465"/>
      <c r="D149" s="1465"/>
      <c r="E149" s="1465"/>
      <c r="F149" s="1465"/>
      <c r="G149" s="1465"/>
      <c r="H149" s="1465"/>
      <c r="I149" s="1465"/>
      <c r="J149" s="1465"/>
      <c r="K149" s="1465"/>
      <c r="L149" s="1465"/>
      <c r="M149" s="1465"/>
      <c r="N149" s="1465"/>
      <c r="O149" s="1465"/>
      <c r="P149" s="1465"/>
      <c r="Q149" s="1465"/>
      <c r="R149" s="1465"/>
      <c r="S149" s="1465"/>
      <c r="T149" s="1465"/>
      <c r="U149" s="1465"/>
    </row>
    <row r="150" spans="1:21" ht="21.75" customHeight="1">
      <c r="A150" s="874"/>
      <c r="B150" s="875"/>
      <c r="C150" s="875"/>
      <c r="D150" s="875"/>
      <c r="E150" s="875"/>
      <c r="F150" s="875"/>
      <c r="G150" s="875"/>
      <c r="H150" s="875"/>
      <c r="I150" s="875"/>
      <c r="J150" s="875"/>
      <c r="K150" s="875"/>
      <c r="L150" s="875"/>
      <c r="M150" s="875"/>
      <c r="N150" s="875"/>
      <c r="O150" s="875"/>
      <c r="P150" s="875"/>
      <c r="Q150" s="875"/>
      <c r="R150" s="875"/>
      <c r="S150" s="875"/>
      <c r="T150" s="875"/>
      <c r="U150" s="876"/>
    </row>
    <row r="151" spans="1:21" ht="15" customHeight="1">
      <c r="A151" s="1466" t="s">
        <v>786</v>
      </c>
      <c r="B151" s="1467" t="s">
        <v>787</v>
      </c>
      <c r="C151" s="1468" t="s">
        <v>788</v>
      </c>
      <c r="D151" s="1468" t="s">
        <v>789</v>
      </c>
      <c r="E151" s="1469" t="s">
        <v>790</v>
      </c>
      <c r="F151" s="1468" t="s">
        <v>791</v>
      </c>
      <c r="G151" s="1468"/>
      <c r="H151" s="1468"/>
      <c r="I151" s="1468"/>
      <c r="J151" s="1468"/>
      <c r="K151" s="1468"/>
      <c r="L151" s="1468"/>
      <c r="M151" s="1468"/>
      <c r="N151" s="1468"/>
      <c r="O151" s="1468"/>
      <c r="P151" s="1470"/>
      <c r="Q151" s="1470"/>
      <c r="R151" s="1470"/>
      <c r="S151" s="1470"/>
      <c r="T151" s="1470"/>
      <c r="U151" s="1470"/>
    </row>
    <row r="152" spans="1:21" ht="15.75" customHeight="1">
      <c r="A152" s="1466"/>
      <c r="B152" s="1467"/>
      <c r="C152" s="1468"/>
      <c r="D152" s="1468"/>
      <c r="E152" s="1469"/>
      <c r="F152" s="1468"/>
      <c r="G152" s="1468"/>
      <c r="H152" s="1468"/>
      <c r="I152" s="1468"/>
      <c r="J152" s="1468"/>
      <c r="K152" s="1468"/>
      <c r="L152" s="1468"/>
      <c r="M152" s="1468"/>
      <c r="N152" s="1468"/>
      <c r="O152" s="1468"/>
      <c r="P152" s="1470"/>
      <c r="Q152" s="1470"/>
      <c r="R152" s="1470"/>
      <c r="S152" s="1470"/>
      <c r="T152" s="1470"/>
      <c r="U152" s="1470"/>
    </row>
    <row r="153" spans="1:21" ht="48" customHeight="1">
      <c r="A153" s="1466"/>
      <c r="B153" s="1467"/>
      <c r="C153" s="1468"/>
      <c r="D153" s="1468"/>
      <c r="E153" s="1469"/>
      <c r="F153" s="878" t="s">
        <v>792</v>
      </c>
      <c r="G153" s="877" t="s">
        <v>793</v>
      </c>
      <c r="H153" s="878" t="s">
        <v>794</v>
      </c>
      <c r="I153" s="879" t="s">
        <v>795</v>
      </c>
      <c r="J153" s="880" t="s">
        <v>796</v>
      </c>
      <c r="K153" s="1468" t="s">
        <v>797</v>
      </c>
      <c r="L153" s="1468"/>
      <c r="M153" s="1468"/>
      <c r="N153" s="1468"/>
      <c r="O153" s="1468"/>
      <c r="P153" s="881" t="s">
        <v>798</v>
      </c>
      <c r="Q153" s="882" t="s">
        <v>799</v>
      </c>
      <c r="R153" s="1469" t="s">
        <v>800</v>
      </c>
      <c r="S153" s="1469"/>
      <c r="T153" s="877" t="s">
        <v>801</v>
      </c>
      <c r="U153" s="879" t="s">
        <v>104</v>
      </c>
    </row>
    <row r="154" spans="1:21" ht="19.5" customHeight="1">
      <c r="A154" s="883"/>
      <c r="B154" s="884" t="str">
        <f>IF('BIS Doc'!AC71=130, "130 × 130", IF('BIS Doc'!AC71=160, "160 × 160", IF('BIS Doc'!AC71=110, "110 × 110", "Value not 130, 160, or 110")))</f>
        <v>Value not 130, 160, or 110</v>
      </c>
      <c r="C154" s="885">
        <f>'BIS Doc'!W71</f>
        <v>0</v>
      </c>
      <c r="D154" s="886"/>
      <c r="E154" s="887">
        <f>'BIS Doc'!AE71</f>
        <v>0</v>
      </c>
      <c r="F154" s="888">
        <f ca="1">'BIS Doc'!F71</f>
        <v>0</v>
      </c>
      <c r="G154" s="888">
        <f ca="1">'BIS Doc'!J71</f>
        <v>0</v>
      </c>
      <c r="H154" s="888">
        <f ca="1">'BIS Doc'!G71</f>
        <v>0.57350329586844606</v>
      </c>
      <c r="I154" s="889">
        <f ca="1">'BIS Doc'!H71</f>
        <v>0</v>
      </c>
      <c r="J154" s="889">
        <f ca="1">'BIS Doc'!I71</f>
        <v>0</v>
      </c>
      <c r="K154" s="1449" t="str">
        <f t="shared" ref="K154:K159" ca="1" si="4">IF(H154&lt;0.6, "IS 14650 CPS 10748/GR2", "IS 14650 CPS 10748/GR3")</f>
        <v>IS 14650 CPS 10748/GR2</v>
      </c>
      <c r="L154" s="1449"/>
      <c r="M154" s="1449"/>
      <c r="N154" s="1449"/>
      <c r="O154" s="1449"/>
      <c r="P154" s="890"/>
      <c r="Q154" s="891"/>
      <c r="R154" s="1449"/>
      <c r="S154" s="1449"/>
      <c r="T154" s="892"/>
      <c r="U154" s="1450" t="s">
        <v>802</v>
      </c>
    </row>
    <row r="155" spans="1:21" ht="19.5" customHeight="1">
      <c r="A155" s="893"/>
      <c r="B155" s="894" t="str">
        <f>IF('BIS Doc'!AC73=130, "130 × 130", IF('BIS Doc'!AC73=160, "160 × 160", IF('BIS Doc'!AC73=110, "110 × 110", "Value not 130, 160, or 110")))</f>
        <v>Value not 130, 160, or 110</v>
      </c>
      <c r="C155" s="895">
        <f>'BIS Doc'!W73</f>
        <v>0</v>
      </c>
      <c r="D155" s="896"/>
      <c r="E155" s="897">
        <f>'BIS Doc'!AE73</f>
        <v>0</v>
      </c>
      <c r="F155" s="898">
        <f ca="1">'BIS Doc'!F73</f>
        <v>0</v>
      </c>
      <c r="G155" s="899">
        <f ca="1">'BIS Doc'!J73</f>
        <v>0</v>
      </c>
      <c r="H155" s="900">
        <f ca="1">'BIS Doc'!G73</f>
        <v>0.58255417410866051</v>
      </c>
      <c r="I155" s="901">
        <f ca="1">'BIS Doc'!H73</f>
        <v>0</v>
      </c>
      <c r="J155" s="901">
        <f ca="1">'BIS Doc'!I73</f>
        <v>0</v>
      </c>
      <c r="K155" s="1451" t="str">
        <f t="shared" ca="1" si="4"/>
        <v>IS 14650 CPS 10748/GR2</v>
      </c>
      <c r="L155" s="1451"/>
      <c r="M155" s="1451"/>
      <c r="N155" s="1451"/>
      <c r="O155" s="1451"/>
      <c r="P155" s="902"/>
      <c r="Q155" s="903"/>
      <c r="R155" s="1451"/>
      <c r="S155" s="1451"/>
      <c r="T155" s="904"/>
      <c r="U155" s="1450"/>
    </row>
    <row r="156" spans="1:21" ht="19.5" customHeight="1">
      <c r="A156" s="864"/>
      <c r="B156" s="894" t="str">
        <f>IF('BIS Doc'!AC75=130, "130 × 130", IF('BIS Doc'!AC75=160, "160 × 160", IF('BIS Doc'!AC75=110, "110 × 110", "Value not 130, 160, or 110")))</f>
        <v>Value not 130, 160, or 110</v>
      </c>
      <c r="C156" s="895">
        <f>'BIS Doc'!W75</f>
        <v>0</v>
      </c>
      <c r="D156" s="896" t="s">
        <v>803</v>
      </c>
      <c r="E156" s="897">
        <f>'BIS Doc'!AE75</f>
        <v>0</v>
      </c>
      <c r="F156" s="898">
        <f ca="1">'BIS Doc'!F75</f>
        <v>0</v>
      </c>
      <c r="G156" s="899">
        <f ca="1">'BIS Doc'!J75</f>
        <v>0</v>
      </c>
      <c r="H156" s="900">
        <f ca="1">'BIS Doc'!G75</f>
        <v>0.52463157772814795</v>
      </c>
      <c r="I156" s="901">
        <f ca="1">'BIS Doc'!H75</f>
        <v>0</v>
      </c>
      <c r="J156" s="901">
        <f ca="1">'BIS Doc'!I75</f>
        <v>0</v>
      </c>
      <c r="K156" s="1451" t="str">
        <f t="shared" ca="1" si="4"/>
        <v>IS 14650 CPS 10748/GR2</v>
      </c>
      <c r="L156" s="1451"/>
      <c r="M156" s="1451"/>
      <c r="N156" s="1451"/>
      <c r="O156" s="1451"/>
      <c r="P156" s="902"/>
      <c r="Q156" s="905"/>
      <c r="R156" s="1451"/>
      <c r="S156" s="1451"/>
      <c r="T156" s="904"/>
      <c r="U156" s="1450"/>
    </row>
    <row r="157" spans="1:21" ht="19.5" customHeight="1">
      <c r="A157" s="864"/>
      <c r="B157" s="894" t="str">
        <f>IF('BIS Doc'!AC77=130, "130 × 130", IF('BIS Doc'!AC77=160, "160 × 160", IF('BIS Doc'!AC77=110, "110 × 110", "Value not 130, 160, or 110")))</f>
        <v>Value not 130, 160, or 110</v>
      </c>
      <c r="C157" s="895">
        <f>'BIS Doc'!W77</f>
        <v>0</v>
      </c>
      <c r="D157" s="896"/>
      <c r="E157" s="897">
        <f>'BIS Doc'!AE77</f>
        <v>0</v>
      </c>
      <c r="F157" s="898">
        <f ca="1">'BIS Doc'!F77</f>
        <v>0</v>
      </c>
      <c r="G157" s="899">
        <f ca="1">'BIS Doc'!J77</f>
        <v>0</v>
      </c>
      <c r="H157" s="900">
        <f ca="1">'BIS Doc'!G77</f>
        <v>0.58204155131212276</v>
      </c>
      <c r="I157" s="901">
        <f ca="1">'BIS Doc'!H77</f>
        <v>0</v>
      </c>
      <c r="J157" s="901">
        <f ca="1">'BIS Doc'!I77</f>
        <v>0</v>
      </c>
      <c r="K157" s="1451" t="str">
        <f t="shared" ca="1" si="4"/>
        <v>IS 14650 CPS 10748/GR2</v>
      </c>
      <c r="L157" s="1451"/>
      <c r="M157" s="1451"/>
      <c r="N157" s="1451"/>
      <c r="O157" s="1451"/>
      <c r="P157" s="902"/>
      <c r="Q157" s="905"/>
      <c r="R157" s="1451"/>
      <c r="S157" s="1451"/>
      <c r="T157" s="904"/>
      <c r="U157" s="1450"/>
    </row>
    <row r="158" spans="1:21" ht="19.5" customHeight="1">
      <c r="A158" s="864"/>
      <c r="B158" s="894" t="str">
        <f>IF('BIS Doc'!AC79=130, "130 × 130", IF('BIS Doc'!AC79=160, "160 × 160", IF('BIS Doc'!AC79=110, "110 × 110", "Value not 130, 160, or 110")))</f>
        <v>Value not 130, 160, or 110</v>
      </c>
      <c r="C158" s="895">
        <f>'BIS Doc'!W79</f>
        <v>0</v>
      </c>
      <c r="D158" s="896"/>
      <c r="E158" s="897">
        <f>'BIS Doc'!AE79</f>
        <v>0</v>
      </c>
      <c r="F158" s="898">
        <f ca="1">'BIS Doc'!F79</f>
        <v>0</v>
      </c>
      <c r="G158" s="899">
        <f ca="1">'BIS Doc'!J79</f>
        <v>0</v>
      </c>
      <c r="H158" s="900">
        <f ca="1">'BIS Doc'!G79</f>
        <v>0.57329207585672182</v>
      </c>
      <c r="I158" s="901">
        <f ca="1">'BIS Doc'!H79</f>
        <v>0</v>
      </c>
      <c r="J158" s="901">
        <f ca="1">'BIS Doc'!I79</f>
        <v>0</v>
      </c>
      <c r="K158" s="1451" t="str">
        <f t="shared" ca="1" si="4"/>
        <v>IS 14650 CPS 10748/GR2</v>
      </c>
      <c r="L158" s="1451"/>
      <c r="M158" s="1451"/>
      <c r="N158" s="1451"/>
      <c r="O158" s="1451"/>
      <c r="P158" s="902"/>
      <c r="Q158" s="905"/>
      <c r="R158" s="1451"/>
      <c r="S158" s="1451"/>
      <c r="T158" s="904"/>
      <c r="U158" s="1450"/>
    </row>
    <row r="159" spans="1:21" ht="19.5" customHeight="1">
      <c r="A159" s="864"/>
      <c r="B159" s="894" t="str">
        <f>IF('BIS Doc'!AC81=130, "130 × 130", IF('BIS Doc'!AC81=160, "160 × 160", IF('BIS Doc'!AC81=110, "110 × 110", "Value not 130, 160, or 110")))</f>
        <v>Value not 130, 160, or 110</v>
      </c>
      <c r="C159" s="895">
        <f>'BIS Doc'!W81</f>
        <v>0</v>
      </c>
      <c r="D159" s="896"/>
      <c r="E159" s="897">
        <f>'BIS Doc'!AE81</f>
        <v>0</v>
      </c>
      <c r="F159" s="898">
        <f ca="1">'BIS Doc'!F81</f>
        <v>0</v>
      </c>
      <c r="G159" s="899">
        <f ca="1">'BIS Doc'!J81</f>
        <v>0</v>
      </c>
      <c r="H159" s="900">
        <f ca="1">'BIS Doc'!G81</f>
        <v>0.53312457041282246</v>
      </c>
      <c r="I159" s="901">
        <f ca="1">'BIS Doc'!H81</f>
        <v>0</v>
      </c>
      <c r="J159" s="901">
        <f ca="1">'BIS Doc'!I81</f>
        <v>0</v>
      </c>
      <c r="K159" s="1451" t="str">
        <f t="shared" ca="1" si="4"/>
        <v>IS 14650 CPS 10748/GR2</v>
      </c>
      <c r="L159" s="1451"/>
      <c r="M159" s="1451"/>
      <c r="N159" s="1451"/>
      <c r="O159" s="1451"/>
      <c r="P159" s="902"/>
      <c r="Q159" s="903"/>
      <c r="R159" s="1451"/>
      <c r="S159" s="1451"/>
      <c r="T159" s="904"/>
      <c r="U159" s="1450"/>
    </row>
    <row r="160" spans="1:21" ht="19.5" customHeight="1">
      <c r="A160" s="864"/>
      <c r="B160" s="904"/>
      <c r="C160" s="895"/>
      <c r="D160" s="896"/>
      <c r="E160" s="897"/>
      <c r="F160" s="906"/>
      <c r="G160" s="907"/>
      <c r="H160" s="908"/>
      <c r="I160" s="909"/>
      <c r="J160" s="909"/>
      <c r="K160" s="1451"/>
      <c r="L160" s="1451"/>
      <c r="M160" s="1451"/>
      <c r="N160" s="1451"/>
      <c r="O160" s="1451"/>
      <c r="P160" s="902"/>
      <c r="Q160" s="903"/>
      <c r="R160" s="1451"/>
      <c r="S160" s="1451"/>
      <c r="T160" s="904"/>
      <c r="U160" s="1450"/>
    </row>
    <row r="161" spans="1:21" ht="19.5" customHeight="1">
      <c r="A161" s="864"/>
      <c r="B161" s="904"/>
      <c r="C161" s="895"/>
      <c r="D161" s="896"/>
      <c r="E161" s="897"/>
      <c r="F161" s="906"/>
      <c r="G161" s="907"/>
      <c r="H161" s="908"/>
      <c r="I161" s="909"/>
      <c r="J161" s="909"/>
      <c r="K161" s="1451"/>
      <c r="L161" s="1451"/>
      <c r="M161" s="1451"/>
      <c r="N161" s="1451"/>
      <c r="O161" s="1451"/>
      <c r="P161" s="902"/>
      <c r="Q161" s="905"/>
      <c r="R161" s="1451"/>
      <c r="S161" s="1451"/>
      <c r="T161" s="904"/>
      <c r="U161" s="1450"/>
    </row>
    <row r="162" spans="1:21" ht="19.5" customHeight="1">
      <c r="A162" s="864"/>
      <c r="B162" s="910"/>
      <c r="C162" s="911"/>
      <c r="D162" s="896"/>
      <c r="E162" s="897"/>
      <c r="F162" s="906"/>
      <c r="G162" s="907"/>
      <c r="H162" s="908"/>
      <c r="I162" s="909"/>
      <c r="J162" s="909"/>
      <c r="K162" s="1451"/>
      <c r="L162" s="1451"/>
      <c r="M162" s="1451"/>
      <c r="N162" s="1451"/>
      <c r="O162" s="1451"/>
      <c r="P162" s="912"/>
      <c r="Q162" s="913"/>
      <c r="R162" s="1452"/>
      <c r="S162" s="1452"/>
      <c r="T162" s="910"/>
      <c r="U162" s="1450"/>
    </row>
    <row r="163" spans="1:21" ht="19.5" customHeight="1">
      <c r="A163" s="914"/>
      <c r="B163" s="915"/>
      <c r="C163" s="916"/>
      <c r="D163" s="917"/>
      <c r="E163" s="918">
        <f>SUM(E154:E159)</f>
        <v>0</v>
      </c>
      <c r="F163" s="919"/>
      <c r="G163" s="920"/>
      <c r="H163" s="921"/>
      <c r="I163" s="922"/>
      <c r="J163" s="922"/>
      <c r="K163" s="1453"/>
      <c r="L163" s="1453"/>
      <c r="M163" s="1453"/>
      <c r="N163" s="1453"/>
      <c r="O163" s="1453"/>
      <c r="P163" s="923"/>
      <c r="Q163" s="924"/>
      <c r="R163" s="1454"/>
      <c r="S163" s="1454"/>
      <c r="T163" s="915"/>
      <c r="U163" s="1450"/>
    </row>
    <row r="164" spans="1:21" ht="15.75" customHeight="1">
      <c r="A164" s="864"/>
      <c r="B164" s="773"/>
      <c r="C164" s="773"/>
      <c r="D164" s="925"/>
      <c r="E164" s="926"/>
      <c r="F164" s="927"/>
      <c r="G164" s="928"/>
      <c r="H164" s="259"/>
      <c r="I164" s="259"/>
      <c r="J164" s="928"/>
      <c r="K164" s="929"/>
      <c r="L164" s="929"/>
      <c r="M164" s="929"/>
      <c r="N164" s="929"/>
      <c r="O164" s="928"/>
      <c r="P164" s="930"/>
      <c r="Q164" s="931"/>
      <c r="R164" s="931"/>
      <c r="U164" s="932"/>
    </row>
    <row r="165" spans="1:21" ht="18.75" customHeight="1">
      <c r="A165" s="864"/>
      <c r="B165" s="773"/>
      <c r="C165" s="773"/>
      <c r="D165" s="773"/>
      <c r="E165" s="773"/>
      <c r="F165" s="773"/>
      <c r="G165" s="773"/>
      <c r="H165" s="773"/>
      <c r="I165" s="773"/>
      <c r="J165" s="773"/>
      <c r="K165" s="773"/>
      <c r="P165" s="1446" t="s">
        <v>804</v>
      </c>
      <c r="Q165" s="1446"/>
      <c r="R165" s="1446"/>
      <c r="S165" s="1446"/>
      <c r="T165" s="1446"/>
      <c r="U165" s="1446"/>
    </row>
    <row r="166" spans="1:21" ht="18.75" customHeight="1">
      <c r="A166" s="1447" t="s">
        <v>805</v>
      </c>
      <c r="B166" s="1447"/>
      <c r="C166" s="933"/>
      <c r="D166" s="933"/>
      <c r="E166" s="933"/>
      <c r="F166" s="933"/>
      <c r="P166" s="855"/>
      <c r="Q166" s="855"/>
      <c r="R166" s="855"/>
      <c r="S166" s="855"/>
      <c r="T166" s="855"/>
      <c r="U166" s="934"/>
    </row>
    <row r="167" spans="1:21" ht="18.75" customHeight="1">
      <c r="A167" s="854"/>
      <c r="B167" s="855"/>
      <c r="P167" s="855"/>
      <c r="Q167" s="855"/>
      <c r="R167" s="855"/>
      <c r="S167" s="855"/>
      <c r="T167" s="855"/>
      <c r="U167" s="934"/>
    </row>
    <row r="168" spans="1:21" ht="18.75" customHeight="1">
      <c r="A168" s="854" t="s">
        <v>806</v>
      </c>
      <c r="B168" s="855"/>
      <c r="C168" s="867"/>
      <c r="D168" s="941"/>
      <c r="E168" s="933"/>
      <c r="F168" s="933"/>
      <c r="P168" s="855"/>
      <c r="Q168" s="855"/>
      <c r="R168" s="855"/>
      <c r="S168" s="855"/>
      <c r="T168" s="855"/>
      <c r="U168" s="934"/>
    </row>
    <row r="169" spans="1:21" ht="18.75" customHeight="1">
      <c r="A169" s="854"/>
      <c r="B169" s="855"/>
      <c r="C169" s="937"/>
      <c r="P169" s="855"/>
      <c r="Q169" s="855"/>
      <c r="R169" s="855"/>
      <c r="S169" s="855"/>
      <c r="T169" s="855"/>
      <c r="U169" s="934"/>
    </row>
    <row r="170" spans="1:21" ht="19.5" customHeight="1">
      <c r="A170" s="938"/>
      <c r="B170" s="939"/>
      <c r="C170" s="940"/>
      <c r="D170" s="453"/>
      <c r="E170" s="453"/>
      <c r="F170" s="453"/>
      <c r="G170" s="453"/>
      <c r="H170" s="453"/>
      <c r="I170" s="453"/>
      <c r="J170" s="453"/>
      <c r="K170" s="453"/>
      <c r="L170" s="453"/>
      <c r="M170" s="453"/>
      <c r="N170" s="453"/>
      <c r="O170" s="453"/>
      <c r="P170" s="1448" t="s">
        <v>807</v>
      </c>
      <c r="Q170" s="1448"/>
      <c r="R170" s="1448"/>
      <c r="S170" s="1448"/>
      <c r="T170" s="1448"/>
      <c r="U170" s="1448"/>
    </row>
    <row r="171" spans="1:21" ht="45.75" customHeight="1">
      <c r="A171" s="1455"/>
      <c r="B171" s="1455"/>
      <c r="C171" s="1455"/>
      <c r="D171" s="847"/>
      <c r="E171" s="1456" t="s">
        <v>774</v>
      </c>
      <c r="F171" s="1456"/>
      <c r="G171" s="1456"/>
      <c r="H171" s="1456"/>
      <c r="I171" s="1456"/>
      <c r="J171" s="1456"/>
      <c r="K171" s="1456"/>
      <c r="L171" s="1456"/>
      <c r="M171" s="1456"/>
      <c r="N171" s="1456"/>
      <c r="O171" s="1456"/>
      <c r="P171" s="1456"/>
      <c r="Q171" s="1456"/>
      <c r="R171" s="1456"/>
      <c r="S171" s="848"/>
      <c r="T171" s="1457" t="s">
        <v>775</v>
      </c>
      <c r="U171" s="1457"/>
    </row>
    <row r="172" spans="1:21" ht="18.75" customHeight="1">
      <c r="A172" s="849"/>
      <c r="E172" s="1458" t="s">
        <v>776</v>
      </c>
      <c r="F172" s="1458"/>
      <c r="G172" s="1458"/>
      <c r="H172" s="1458"/>
      <c r="I172" s="1458"/>
      <c r="J172" s="1458"/>
      <c r="K172" s="1458"/>
      <c r="L172" s="1458"/>
      <c r="M172" s="1458"/>
      <c r="N172" s="1458"/>
      <c r="O172" s="1458"/>
      <c r="P172" s="1458"/>
      <c r="Q172" s="1458"/>
      <c r="R172" s="1458"/>
      <c r="U172" s="456"/>
    </row>
    <row r="173" spans="1:21" ht="18.75" customHeight="1">
      <c r="A173" s="850"/>
      <c r="F173" s="587"/>
      <c r="G173" s="587"/>
      <c r="H173" s="587"/>
      <c r="I173" s="587"/>
      <c r="J173" s="587"/>
      <c r="K173" s="587"/>
      <c r="L173" s="587"/>
      <c r="M173" s="851"/>
      <c r="N173" s="852"/>
      <c r="O173" s="851"/>
      <c r="P173" s="1459" t="s">
        <v>777</v>
      </c>
      <c r="Q173" s="1459"/>
      <c r="R173" s="1459"/>
      <c r="S173" s="1459"/>
      <c r="T173" s="1459"/>
      <c r="U173" s="1459"/>
    </row>
    <row r="174" spans="1:21" ht="15" customHeight="1">
      <c r="A174" s="849"/>
      <c r="E174" s="1287" t="s">
        <v>778</v>
      </c>
      <c r="F174" s="1287"/>
      <c r="G174" s="1287"/>
      <c r="H174" s="1287"/>
      <c r="I174" s="1287"/>
      <c r="J174" s="1287"/>
      <c r="K174" s="1287"/>
      <c r="L174" s="1287"/>
      <c r="M174" s="1287"/>
      <c r="N174" s="1287"/>
      <c r="O174" s="1287"/>
      <c r="P174" s="1287"/>
      <c r="Q174" s="1287"/>
      <c r="R174" s="1287"/>
      <c r="U174" s="456"/>
    </row>
    <row r="175" spans="1:21" ht="18.75" customHeight="1">
      <c r="A175" s="849"/>
      <c r="E175" s="1286" t="s">
        <v>779</v>
      </c>
      <c r="F175" s="1286"/>
      <c r="G175" s="1286"/>
      <c r="H175" s="1286"/>
      <c r="I175" s="1286"/>
      <c r="J175" s="1286"/>
      <c r="K175" s="1286"/>
      <c r="L175" s="1286"/>
      <c r="M175" s="1286"/>
      <c r="N175" s="1286"/>
      <c r="O175" s="1286"/>
      <c r="P175" s="1286"/>
      <c r="Q175" s="1286"/>
      <c r="R175" s="1286"/>
      <c r="U175" s="853"/>
    </row>
    <row r="176" spans="1:21" ht="23.25" customHeight="1">
      <c r="A176" s="854" t="s">
        <v>780</v>
      </c>
      <c r="B176" s="855"/>
      <c r="C176" s="855"/>
      <c r="D176" s="856" t="s">
        <v>829</v>
      </c>
      <c r="E176" s="857"/>
      <c r="F176" s="858"/>
      <c r="G176" s="859"/>
      <c r="H176" s="859"/>
      <c r="I176" s="859"/>
      <c r="J176" s="859"/>
      <c r="K176" s="859"/>
      <c r="L176" s="860"/>
      <c r="M176" s="1460"/>
      <c r="N176" s="1460"/>
      <c r="O176" s="1460"/>
      <c r="P176" s="1461" t="s">
        <v>781</v>
      </c>
      <c r="Q176" s="1461"/>
      <c r="R176" s="1461"/>
      <c r="S176" s="855"/>
      <c r="T176" s="861">
        <v>46298</v>
      </c>
      <c r="U176" s="456"/>
    </row>
    <row r="177" spans="1:21" ht="23.25" customHeight="1">
      <c r="A177" s="854"/>
      <c r="B177" s="862"/>
      <c r="C177" s="862"/>
      <c r="D177" s="862"/>
      <c r="E177" s="163"/>
      <c r="F177" s="863"/>
      <c r="G177" s="863"/>
      <c r="H177" s="863"/>
      <c r="I177" s="863"/>
      <c r="J177" s="863"/>
      <c r="K177" s="863"/>
      <c r="U177" s="456"/>
    </row>
    <row r="178" spans="1:21" ht="21" customHeight="1">
      <c r="A178" s="864" t="s">
        <v>782</v>
      </c>
      <c r="B178" s="865"/>
      <c r="C178" s="866"/>
      <c r="D178" s="867"/>
      <c r="E178" s="868"/>
      <c r="F178" s="869"/>
      <c r="G178" s="869"/>
      <c r="H178" s="869"/>
      <c r="I178" s="870"/>
      <c r="J178" s="870"/>
      <c r="P178" s="1462"/>
      <c r="Q178" s="1462"/>
      <c r="R178" s="1462"/>
      <c r="S178" s="1462"/>
      <c r="T178" s="871"/>
      <c r="U178" s="456"/>
    </row>
    <row r="179" spans="1:21" ht="21" customHeight="1">
      <c r="A179" s="872"/>
      <c r="B179" s="873"/>
      <c r="C179" s="869"/>
      <c r="D179" s="869"/>
      <c r="E179" s="869"/>
      <c r="F179" s="869"/>
      <c r="G179" s="869"/>
      <c r="H179" s="869"/>
      <c r="I179" s="870"/>
      <c r="J179" s="870"/>
      <c r="U179" s="456"/>
    </row>
    <row r="180" spans="1:21" ht="15" customHeight="1">
      <c r="A180" s="1463" t="s">
        <v>783</v>
      </c>
      <c r="B180" s="1463"/>
      <c r="C180" s="1463"/>
      <c r="D180" s="1463"/>
      <c r="E180" s="1463"/>
      <c r="F180" s="1463"/>
      <c r="G180" s="1463"/>
      <c r="H180" s="1463"/>
      <c r="I180" s="1463"/>
      <c r="J180" s="1463"/>
      <c r="K180" s="1463"/>
      <c r="L180" s="1463"/>
      <c r="M180" s="1463"/>
      <c r="N180" s="1463"/>
      <c r="O180" s="1463"/>
      <c r="P180" s="1463"/>
      <c r="Q180" s="1463"/>
      <c r="R180" s="1463"/>
      <c r="S180" s="1463"/>
      <c r="T180" s="1463"/>
      <c r="U180" s="1463"/>
    </row>
    <row r="181" spans="1:21" ht="15" customHeight="1">
      <c r="A181" s="1463"/>
      <c r="B181" s="1463"/>
      <c r="C181" s="1463"/>
      <c r="D181" s="1463"/>
      <c r="E181" s="1463"/>
      <c r="F181" s="1463"/>
      <c r="G181" s="1463"/>
      <c r="H181" s="1463"/>
      <c r="I181" s="1463"/>
      <c r="J181" s="1463"/>
      <c r="K181" s="1463"/>
      <c r="L181" s="1463"/>
      <c r="M181" s="1463"/>
      <c r="N181" s="1463"/>
      <c r="O181" s="1463"/>
      <c r="P181" s="1463"/>
      <c r="Q181" s="1463"/>
      <c r="R181" s="1463"/>
      <c r="S181" s="1463"/>
      <c r="T181" s="1463"/>
      <c r="U181" s="1463"/>
    </row>
    <row r="182" spans="1:21" ht="18" customHeight="1">
      <c r="A182" s="1464" t="s">
        <v>784</v>
      </c>
      <c r="B182" s="1464"/>
      <c r="C182" s="1464"/>
      <c r="D182" s="1464"/>
      <c r="E182" s="1464"/>
      <c r="F182" s="1464"/>
      <c r="G182" s="1464"/>
      <c r="H182" s="1464"/>
      <c r="I182" s="1464"/>
      <c r="J182" s="1464"/>
      <c r="K182" s="1464"/>
      <c r="L182" s="1464"/>
      <c r="M182" s="1464"/>
      <c r="N182" s="1464"/>
      <c r="O182" s="1464"/>
      <c r="P182" s="1464"/>
      <c r="Q182" s="1464"/>
      <c r="R182" s="1464"/>
      <c r="S182" s="1464"/>
      <c r="T182" s="1464"/>
      <c r="U182" s="1464"/>
    </row>
    <row r="183" spans="1:21" ht="23.25" customHeight="1">
      <c r="A183" s="1465" t="s">
        <v>785</v>
      </c>
      <c r="B183" s="1465"/>
      <c r="C183" s="1465"/>
      <c r="D183" s="1465"/>
      <c r="E183" s="1465"/>
      <c r="F183" s="1465"/>
      <c r="G183" s="1465"/>
      <c r="H183" s="1465"/>
      <c r="I183" s="1465"/>
      <c r="J183" s="1465"/>
      <c r="K183" s="1465"/>
      <c r="L183" s="1465"/>
      <c r="M183" s="1465"/>
      <c r="N183" s="1465"/>
      <c r="O183" s="1465"/>
      <c r="P183" s="1465"/>
      <c r="Q183" s="1465"/>
      <c r="R183" s="1465"/>
      <c r="S183" s="1465"/>
      <c r="T183" s="1465"/>
      <c r="U183" s="1465"/>
    </row>
    <row r="184" spans="1:21" ht="21.75" customHeight="1">
      <c r="A184" s="874"/>
      <c r="B184" s="875"/>
      <c r="C184" s="875"/>
      <c r="D184" s="875"/>
      <c r="E184" s="875"/>
      <c r="F184" s="875"/>
      <c r="G184" s="875"/>
      <c r="H184" s="875"/>
      <c r="I184" s="875"/>
      <c r="J184" s="875"/>
      <c r="K184" s="875"/>
      <c r="L184" s="875"/>
      <c r="M184" s="875"/>
      <c r="N184" s="875"/>
      <c r="O184" s="875"/>
      <c r="P184" s="875"/>
      <c r="Q184" s="875"/>
      <c r="R184" s="875"/>
      <c r="S184" s="875"/>
      <c r="T184" s="875"/>
      <c r="U184" s="876"/>
    </row>
    <row r="185" spans="1:21" ht="15" customHeight="1">
      <c r="A185" s="1466" t="s">
        <v>786</v>
      </c>
      <c r="B185" s="1467" t="s">
        <v>787</v>
      </c>
      <c r="C185" s="1468" t="s">
        <v>788</v>
      </c>
      <c r="D185" s="1468" t="s">
        <v>789</v>
      </c>
      <c r="E185" s="1469" t="s">
        <v>790</v>
      </c>
      <c r="F185" s="1468" t="s">
        <v>791</v>
      </c>
      <c r="G185" s="1468"/>
      <c r="H185" s="1468"/>
      <c r="I185" s="1468"/>
      <c r="J185" s="1468"/>
      <c r="K185" s="1468"/>
      <c r="L185" s="1468"/>
      <c r="M185" s="1468"/>
      <c r="N185" s="1468"/>
      <c r="O185" s="1468"/>
      <c r="P185" s="1470"/>
      <c r="Q185" s="1470"/>
      <c r="R185" s="1470"/>
      <c r="S185" s="1470"/>
      <c r="T185" s="1470"/>
      <c r="U185" s="1470"/>
    </row>
    <row r="186" spans="1:21" ht="15.75" customHeight="1">
      <c r="A186" s="1466"/>
      <c r="B186" s="1467"/>
      <c r="C186" s="1468"/>
      <c r="D186" s="1468"/>
      <c r="E186" s="1469"/>
      <c r="F186" s="1468"/>
      <c r="G186" s="1468"/>
      <c r="H186" s="1468"/>
      <c r="I186" s="1468"/>
      <c r="J186" s="1468"/>
      <c r="K186" s="1468"/>
      <c r="L186" s="1468"/>
      <c r="M186" s="1468"/>
      <c r="N186" s="1468"/>
      <c r="O186" s="1468"/>
      <c r="P186" s="1470"/>
      <c r="Q186" s="1470"/>
      <c r="R186" s="1470"/>
      <c r="S186" s="1470"/>
      <c r="T186" s="1470"/>
      <c r="U186" s="1470"/>
    </row>
    <row r="187" spans="1:21" ht="48" customHeight="1">
      <c r="A187" s="1466"/>
      <c r="B187" s="1467"/>
      <c r="C187" s="1468"/>
      <c r="D187" s="1468"/>
      <c r="E187" s="1469"/>
      <c r="F187" s="878" t="s">
        <v>792</v>
      </c>
      <c r="G187" s="877" t="s">
        <v>793</v>
      </c>
      <c r="H187" s="878" t="s">
        <v>794</v>
      </c>
      <c r="I187" s="879" t="s">
        <v>795</v>
      </c>
      <c r="J187" s="880" t="s">
        <v>796</v>
      </c>
      <c r="K187" s="1468" t="s">
        <v>797</v>
      </c>
      <c r="L187" s="1468"/>
      <c r="M187" s="1468"/>
      <c r="N187" s="1468"/>
      <c r="O187" s="1468"/>
      <c r="P187" s="881" t="s">
        <v>798</v>
      </c>
      <c r="Q187" s="882" t="s">
        <v>799</v>
      </c>
      <c r="R187" s="1469" t="s">
        <v>800</v>
      </c>
      <c r="S187" s="1469"/>
      <c r="T187" s="877" t="s">
        <v>801</v>
      </c>
      <c r="U187" s="879" t="s">
        <v>104</v>
      </c>
    </row>
    <row r="188" spans="1:21" ht="19.5" customHeight="1">
      <c r="A188" s="883"/>
      <c r="B188" s="884" t="str">
        <f>IF('BIS Doc'!AC83=130, "130 × 130", IF('BIS Doc'!AC83=160, "160 × 160", IF('BIS Doc'!AC83=110, "110 × 110", "Value not 130, 160, or 110")))</f>
        <v>Value not 130, 160, or 110</v>
      </c>
      <c r="C188" s="885">
        <f>'BIS Doc'!W83</f>
        <v>0</v>
      </c>
      <c r="D188" s="886"/>
      <c r="E188" s="887">
        <f>'BIS Doc'!AE83</f>
        <v>0</v>
      </c>
      <c r="F188" s="888">
        <f ca="1">'BIS Doc'!F83</f>
        <v>0</v>
      </c>
      <c r="G188" s="888">
        <f ca="1">'BIS Doc'!J83</f>
        <v>0</v>
      </c>
      <c r="H188" s="888">
        <f ca="1">'BIS Doc'!G83</f>
        <v>0.53299319348364294</v>
      </c>
      <c r="I188" s="889">
        <f ca="1">'BIS Doc'!H83</f>
        <v>0</v>
      </c>
      <c r="J188" s="889">
        <f ca="1">'BIS Doc'!I83</f>
        <v>0</v>
      </c>
      <c r="K188" s="1449" t="str">
        <f t="shared" ref="K188:K193" ca="1" si="5">IF(H188&lt;0.6, "IS 14650 CPS 10748/GR2", "IS 14650 CPS 10748/GR3")</f>
        <v>IS 14650 CPS 10748/GR2</v>
      </c>
      <c r="L188" s="1449"/>
      <c r="M188" s="1449"/>
      <c r="N188" s="1449"/>
      <c r="O188" s="1449"/>
      <c r="P188" s="890"/>
      <c r="Q188" s="891"/>
      <c r="R188" s="1449"/>
      <c r="S188" s="1449"/>
      <c r="T188" s="892"/>
      <c r="U188" s="1450" t="s">
        <v>802</v>
      </c>
    </row>
    <row r="189" spans="1:21" ht="19.5" customHeight="1">
      <c r="A189" s="893"/>
      <c r="B189" s="894" t="str">
        <f>IF('BIS Doc'!AC85=130, "130 × 130", IF('BIS Doc'!AC85=160, "160 × 160", IF('BIS Doc'!AC85=110, "110 × 110", "Value not 130, 160, or 110")))</f>
        <v>Value not 130, 160, or 110</v>
      </c>
      <c r="C189" s="895">
        <f>'BIS Doc'!W85</f>
        <v>0</v>
      </c>
      <c r="D189" s="896"/>
      <c r="E189" s="897">
        <f>'BIS Doc'!AE85</f>
        <v>0</v>
      </c>
      <c r="F189" s="898">
        <f ca="1">'BIS Doc'!F85</f>
        <v>0</v>
      </c>
      <c r="G189" s="899">
        <f ca="1">'BIS Doc'!J85</f>
        <v>0</v>
      </c>
      <c r="H189" s="900">
        <f ca="1">'BIS Doc'!G85</f>
        <v>0.57615004239434453</v>
      </c>
      <c r="I189" s="901">
        <f ca="1">'BIS Doc'!H85</f>
        <v>0</v>
      </c>
      <c r="J189" s="901">
        <f ca="1">'BIS Doc'!I85</f>
        <v>0</v>
      </c>
      <c r="K189" s="1451" t="str">
        <f t="shared" ca="1" si="5"/>
        <v>IS 14650 CPS 10748/GR2</v>
      </c>
      <c r="L189" s="1451"/>
      <c r="M189" s="1451"/>
      <c r="N189" s="1451"/>
      <c r="O189" s="1451"/>
      <c r="P189" s="902"/>
      <c r="Q189" s="903"/>
      <c r="R189" s="1451"/>
      <c r="S189" s="1451"/>
      <c r="T189" s="904"/>
      <c r="U189" s="1450"/>
    </row>
    <row r="190" spans="1:21" ht="19.5" customHeight="1">
      <c r="A190" s="864"/>
      <c r="B190" s="894" t="str">
        <f>IF('BIS Doc'!AC87=130, "130 × 130", IF('BIS Doc'!AC87=160, "160 × 160", IF('BIS Doc'!AC87=110, "110 × 110", "Value not 130, 160, or 110")))</f>
        <v>Value not 130, 160, or 110</v>
      </c>
      <c r="C190" s="895">
        <f>'BIS Doc'!W87</f>
        <v>0</v>
      </c>
      <c r="D190" s="896" t="s">
        <v>803</v>
      </c>
      <c r="E190" s="897">
        <f>'BIS Doc'!AE87</f>
        <v>0</v>
      </c>
      <c r="F190" s="898">
        <f ca="1">'BIS Doc'!F87</f>
        <v>0</v>
      </c>
      <c r="G190" s="899">
        <f ca="1">'BIS Doc'!J87</f>
        <v>0</v>
      </c>
      <c r="H190" s="900">
        <f ca="1">'BIS Doc'!G87</f>
        <v>0.54227679863407885</v>
      </c>
      <c r="I190" s="901">
        <f ca="1">'BIS Doc'!H87</f>
        <v>0</v>
      </c>
      <c r="J190" s="901">
        <f ca="1">'BIS Doc'!I87</f>
        <v>0</v>
      </c>
      <c r="K190" s="1451" t="str">
        <f t="shared" ca="1" si="5"/>
        <v>IS 14650 CPS 10748/GR2</v>
      </c>
      <c r="L190" s="1451"/>
      <c r="M190" s="1451"/>
      <c r="N190" s="1451"/>
      <c r="O190" s="1451"/>
      <c r="P190" s="902"/>
      <c r="Q190" s="905"/>
      <c r="R190" s="1451"/>
      <c r="S190" s="1451"/>
      <c r="T190" s="904"/>
      <c r="U190" s="1450"/>
    </row>
    <row r="191" spans="1:21" ht="19.5" customHeight="1">
      <c r="A191" s="864"/>
      <c r="B191" s="894" t="str">
        <f>IF('BIS Doc'!AC89=130, "130 × 130", IF('BIS Doc'!AC89=160, "160 × 160", IF('BIS Doc'!AC89=110, "110 × 110", "Value not 130, 160, or 110")))</f>
        <v>Value not 130, 160, or 110</v>
      </c>
      <c r="C191" s="895">
        <f>'BIS Doc'!W89</f>
        <v>0</v>
      </c>
      <c r="D191" s="896"/>
      <c r="E191" s="897">
        <f>'BIS Doc'!AE89</f>
        <v>0</v>
      </c>
      <c r="F191" s="898">
        <f ca="1">'BIS Doc'!F89</f>
        <v>0</v>
      </c>
      <c r="G191" s="899">
        <f ca="1">'BIS Doc'!J89</f>
        <v>0</v>
      </c>
      <c r="H191" s="900">
        <f ca="1">'BIS Doc'!G89</f>
        <v>0.58687025151365924</v>
      </c>
      <c r="I191" s="901">
        <f ca="1">'BIS Doc'!H89</f>
        <v>0</v>
      </c>
      <c r="J191" s="901">
        <f ca="1">'BIS Doc'!I89</f>
        <v>0</v>
      </c>
      <c r="K191" s="1451" t="str">
        <f t="shared" ca="1" si="5"/>
        <v>IS 14650 CPS 10748/GR2</v>
      </c>
      <c r="L191" s="1451"/>
      <c r="M191" s="1451"/>
      <c r="N191" s="1451"/>
      <c r="O191" s="1451"/>
      <c r="P191" s="902"/>
      <c r="Q191" s="905"/>
      <c r="R191" s="1451"/>
      <c r="S191" s="1451"/>
      <c r="T191" s="904"/>
      <c r="U191" s="1450"/>
    </row>
    <row r="192" spans="1:21" ht="19.5" customHeight="1">
      <c r="A192" s="864"/>
      <c r="B192" s="894" t="str">
        <f>IF('BIS Doc'!AC91=130, "130 × 130", IF('BIS Doc'!AC91=160, "160 × 160", IF('BIS Doc'!AC91=110, "110 × 110", "Value not 130, 160, or 110")))</f>
        <v>Value not 130, 160, or 110</v>
      </c>
      <c r="C192" s="895">
        <f>'BIS Doc'!W91</f>
        <v>0</v>
      </c>
      <c r="D192" s="896"/>
      <c r="E192" s="897">
        <f>'BIS Doc'!AE91</f>
        <v>0</v>
      </c>
      <c r="F192" s="898">
        <f ca="1">'BIS Doc'!F91</f>
        <v>0</v>
      </c>
      <c r="G192" s="899">
        <f ca="1">'BIS Doc'!J91</f>
        <v>0</v>
      </c>
      <c r="H192" s="900">
        <f ca="1">'BIS Doc'!G91</f>
        <v>0.57291119614921182</v>
      </c>
      <c r="I192" s="901">
        <f ca="1">'BIS Doc'!H91</f>
        <v>0</v>
      </c>
      <c r="J192" s="901">
        <f ca="1">'BIS Doc'!I91</f>
        <v>0</v>
      </c>
      <c r="K192" s="1451" t="str">
        <f t="shared" ca="1" si="5"/>
        <v>IS 14650 CPS 10748/GR2</v>
      </c>
      <c r="L192" s="1451"/>
      <c r="M192" s="1451"/>
      <c r="N192" s="1451"/>
      <c r="O192" s="1451"/>
      <c r="P192" s="902"/>
      <c r="Q192" s="905"/>
      <c r="R192" s="1451"/>
      <c r="S192" s="1451"/>
      <c r="T192" s="904"/>
      <c r="U192" s="1450"/>
    </row>
    <row r="193" spans="1:21" ht="19.5" customHeight="1">
      <c r="A193" s="864"/>
      <c r="B193" s="894" t="str">
        <f>IF('BIS Doc'!AC93=130, "130 × 130", IF('BIS Doc'!AC93=160, "160 × 160", IF('BIS Doc'!AC93=110, "110 × 110", "Value not 130, 160, or 110")))</f>
        <v>Value not 130, 160, or 110</v>
      </c>
      <c r="C193" s="895">
        <f>'BIS Doc'!W93</f>
        <v>0</v>
      </c>
      <c r="D193" s="896"/>
      <c r="E193" s="897">
        <f>'BIS Doc'!AE93</f>
        <v>0</v>
      </c>
      <c r="F193" s="898">
        <f ca="1">'BIS Doc'!F93</f>
        <v>0</v>
      </c>
      <c r="G193" s="899">
        <f ca="1">'BIS Doc'!J93</f>
        <v>0</v>
      </c>
      <c r="H193" s="900">
        <f ca="1">'BIS Doc'!G93</f>
        <v>0.53477747321189839</v>
      </c>
      <c r="I193" s="901">
        <f ca="1">'BIS Doc'!H93</f>
        <v>0</v>
      </c>
      <c r="J193" s="901">
        <f ca="1">'BIS Doc'!I93</f>
        <v>0</v>
      </c>
      <c r="K193" s="1451" t="str">
        <f t="shared" ca="1" si="5"/>
        <v>IS 14650 CPS 10748/GR2</v>
      </c>
      <c r="L193" s="1451"/>
      <c r="M193" s="1451"/>
      <c r="N193" s="1451"/>
      <c r="O193" s="1451"/>
      <c r="P193" s="902"/>
      <c r="Q193" s="903"/>
      <c r="R193" s="1451"/>
      <c r="S193" s="1451"/>
      <c r="T193" s="904"/>
      <c r="U193" s="1450"/>
    </row>
    <row r="194" spans="1:21" ht="19.5" customHeight="1">
      <c r="A194" s="864"/>
      <c r="B194" s="904"/>
      <c r="C194" s="895"/>
      <c r="D194" s="896"/>
      <c r="E194" s="897"/>
      <c r="F194" s="906"/>
      <c r="G194" s="907"/>
      <c r="H194" s="908"/>
      <c r="I194" s="909"/>
      <c r="J194" s="909"/>
      <c r="K194" s="1451"/>
      <c r="L194" s="1451"/>
      <c r="M194" s="1451"/>
      <c r="N194" s="1451"/>
      <c r="O194" s="1451"/>
      <c r="P194" s="902"/>
      <c r="Q194" s="903"/>
      <c r="R194" s="1451"/>
      <c r="S194" s="1451"/>
      <c r="T194" s="904"/>
      <c r="U194" s="1450"/>
    </row>
    <row r="195" spans="1:21" ht="19.5" customHeight="1">
      <c r="A195" s="864"/>
      <c r="B195" s="904"/>
      <c r="C195" s="895"/>
      <c r="D195" s="896"/>
      <c r="E195" s="897"/>
      <c r="F195" s="906"/>
      <c r="G195" s="907"/>
      <c r="H195" s="908"/>
      <c r="I195" s="909"/>
      <c r="J195" s="909"/>
      <c r="K195" s="1451"/>
      <c r="L195" s="1451"/>
      <c r="M195" s="1451"/>
      <c r="N195" s="1451"/>
      <c r="O195" s="1451"/>
      <c r="P195" s="902"/>
      <c r="Q195" s="905"/>
      <c r="R195" s="1451"/>
      <c r="S195" s="1451"/>
      <c r="T195" s="904"/>
      <c r="U195" s="1450"/>
    </row>
    <row r="196" spans="1:21" ht="19.5" customHeight="1">
      <c r="A196" s="864"/>
      <c r="B196" s="910"/>
      <c r="C196" s="911"/>
      <c r="D196" s="896"/>
      <c r="E196" s="897"/>
      <c r="F196" s="906"/>
      <c r="G196" s="907"/>
      <c r="H196" s="908"/>
      <c r="I196" s="909"/>
      <c r="J196" s="909"/>
      <c r="K196" s="1451"/>
      <c r="L196" s="1451"/>
      <c r="M196" s="1451"/>
      <c r="N196" s="1451"/>
      <c r="O196" s="1451"/>
      <c r="P196" s="912"/>
      <c r="Q196" s="913"/>
      <c r="R196" s="1452"/>
      <c r="S196" s="1452"/>
      <c r="T196" s="910"/>
      <c r="U196" s="1450"/>
    </row>
    <row r="197" spans="1:21" ht="19.5" customHeight="1">
      <c r="A197" s="914"/>
      <c r="B197" s="915"/>
      <c r="C197" s="916"/>
      <c r="D197" s="917"/>
      <c r="E197" s="918">
        <f>SUM(E188:E193)</f>
        <v>0</v>
      </c>
      <c r="F197" s="919"/>
      <c r="G197" s="920"/>
      <c r="H197" s="921"/>
      <c r="I197" s="922"/>
      <c r="J197" s="922"/>
      <c r="K197" s="1453"/>
      <c r="L197" s="1453"/>
      <c r="M197" s="1453"/>
      <c r="N197" s="1453"/>
      <c r="O197" s="1453"/>
      <c r="P197" s="923"/>
      <c r="Q197" s="924"/>
      <c r="R197" s="1454"/>
      <c r="S197" s="1454"/>
      <c r="T197" s="915"/>
      <c r="U197" s="1450"/>
    </row>
    <row r="198" spans="1:21" ht="15.75" customHeight="1">
      <c r="A198" s="864"/>
      <c r="B198" s="773"/>
      <c r="C198" s="773"/>
      <c r="D198" s="925"/>
      <c r="E198" s="926"/>
      <c r="F198" s="927"/>
      <c r="G198" s="928"/>
      <c r="H198" s="259"/>
      <c r="I198" s="259"/>
      <c r="J198" s="928"/>
      <c r="K198" s="929"/>
      <c r="L198" s="929"/>
      <c r="M198" s="929"/>
      <c r="N198" s="929"/>
      <c r="O198" s="928"/>
      <c r="P198" s="930"/>
      <c r="Q198" s="931"/>
      <c r="R198" s="931"/>
      <c r="U198" s="932"/>
    </row>
    <row r="199" spans="1:21" ht="18.75" customHeight="1">
      <c r="A199" s="864"/>
      <c r="B199" s="773"/>
      <c r="C199" s="773"/>
      <c r="D199" s="773"/>
      <c r="E199" s="773"/>
      <c r="F199" s="773"/>
      <c r="G199" s="773"/>
      <c r="H199" s="773"/>
      <c r="I199" s="773"/>
      <c r="J199" s="773"/>
      <c r="K199" s="773"/>
      <c r="P199" s="1446" t="s">
        <v>804</v>
      </c>
      <c r="Q199" s="1446"/>
      <c r="R199" s="1446"/>
      <c r="S199" s="1446"/>
      <c r="T199" s="1446"/>
      <c r="U199" s="1446"/>
    </row>
    <row r="200" spans="1:21" ht="18.75" customHeight="1">
      <c r="A200" s="1447" t="s">
        <v>805</v>
      </c>
      <c r="B200" s="1447"/>
      <c r="C200" s="933"/>
      <c r="D200" s="933"/>
      <c r="E200" s="933"/>
      <c r="F200" s="933"/>
      <c r="P200" s="855"/>
      <c r="Q200" s="855"/>
      <c r="R200" s="855"/>
      <c r="S200" s="855"/>
      <c r="T200" s="855"/>
      <c r="U200" s="934"/>
    </row>
    <row r="201" spans="1:21" ht="18.75" customHeight="1">
      <c r="A201" s="854"/>
      <c r="B201" s="855"/>
      <c r="P201" s="855"/>
      <c r="Q201" s="855"/>
      <c r="R201" s="855"/>
      <c r="S201" s="855"/>
      <c r="T201" s="855"/>
      <c r="U201" s="934"/>
    </row>
    <row r="202" spans="1:21" ht="18.75" customHeight="1">
      <c r="A202" s="854" t="s">
        <v>806</v>
      </c>
      <c r="B202" s="855"/>
      <c r="C202" s="867"/>
      <c r="D202" s="941"/>
      <c r="E202" s="933"/>
      <c r="F202" s="933"/>
      <c r="P202" s="855"/>
      <c r="Q202" s="855"/>
      <c r="R202" s="855"/>
      <c r="S202" s="855"/>
      <c r="T202" s="855"/>
      <c r="U202" s="934"/>
    </row>
    <row r="203" spans="1:21" ht="18.75" customHeight="1">
      <c r="A203" s="854"/>
      <c r="B203" s="855"/>
      <c r="C203" s="937"/>
      <c r="P203" s="855"/>
      <c r="Q203" s="855"/>
      <c r="R203" s="855"/>
      <c r="S203" s="855"/>
      <c r="T203" s="855"/>
      <c r="U203" s="934"/>
    </row>
    <row r="204" spans="1:21" ht="19.5" customHeight="1">
      <c r="A204" s="938"/>
      <c r="B204" s="939"/>
      <c r="C204" s="940"/>
      <c r="D204" s="453"/>
      <c r="E204" s="453"/>
      <c r="F204" s="453"/>
      <c r="G204" s="453"/>
      <c r="H204" s="453"/>
      <c r="I204" s="453"/>
      <c r="J204" s="453"/>
      <c r="K204" s="453"/>
      <c r="L204" s="453"/>
      <c r="M204" s="453"/>
      <c r="N204" s="453"/>
      <c r="O204" s="453"/>
      <c r="P204" s="1448" t="s">
        <v>807</v>
      </c>
      <c r="Q204" s="1448"/>
      <c r="R204" s="1448"/>
      <c r="S204" s="1448"/>
      <c r="T204" s="1448"/>
      <c r="U204" s="1448"/>
    </row>
    <row r="205" spans="1:21" ht="45.75" customHeight="1">
      <c r="A205" s="1455"/>
      <c r="B205" s="1455"/>
      <c r="C205" s="1455"/>
      <c r="D205" s="847"/>
      <c r="E205" s="1456" t="s">
        <v>774</v>
      </c>
      <c r="F205" s="1456"/>
      <c r="G205" s="1456"/>
      <c r="H205" s="1456"/>
      <c r="I205" s="1456"/>
      <c r="J205" s="1456"/>
      <c r="K205" s="1456"/>
      <c r="L205" s="1456"/>
      <c r="M205" s="1456"/>
      <c r="N205" s="1456"/>
      <c r="O205" s="1456"/>
      <c r="P205" s="1456"/>
      <c r="Q205" s="1456"/>
      <c r="R205" s="1456"/>
      <c r="S205" s="848"/>
      <c r="T205" s="1457" t="s">
        <v>775</v>
      </c>
      <c r="U205" s="1457"/>
    </row>
    <row r="206" spans="1:21" ht="18.75" customHeight="1">
      <c r="A206" s="849"/>
      <c r="E206" s="1458" t="s">
        <v>776</v>
      </c>
      <c r="F206" s="1458"/>
      <c r="G206" s="1458"/>
      <c r="H206" s="1458"/>
      <c r="I206" s="1458"/>
      <c r="J206" s="1458"/>
      <c r="K206" s="1458"/>
      <c r="L206" s="1458"/>
      <c r="M206" s="1458"/>
      <c r="N206" s="1458"/>
      <c r="O206" s="1458"/>
      <c r="P206" s="1458"/>
      <c r="Q206" s="1458"/>
      <c r="R206" s="1458"/>
      <c r="U206" s="456"/>
    </row>
    <row r="207" spans="1:21" ht="18.75" customHeight="1">
      <c r="A207" s="850"/>
      <c r="F207" s="587"/>
      <c r="G207" s="587"/>
      <c r="H207" s="587"/>
      <c r="I207" s="587"/>
      <c r="J207" s="587"/>
      <c r="K207" s="587"/>
      <c r="L207" s="587"/>
      <c r="M207" s="851"/>
      <c r="N207" s="852"/>
      <c r="O207" s="851"/>
      <c r="P207" s="1459" t="s">
        <v>777</v>
      </c>
      <c r="Q207" s="1459"/>
      <c r="R207" s="1459"/>
      <c r="S207" s="1459"/>
      <c r="T207" s="1459"/>
      <c r="U207" s="1459"/>
    </row>
    <row r="208" spans="1:21" ht="15" customHeight="1">
      <c r="A208" s="849"/>
      <c r="E208" s="1287" t="s">
        <v>778</v>
      </c>
      <c r="F208" s="1287"/>
      <c r="G208" s="1287"/>
      <c r="H208" s="1287"/>
      <c r="I208" s="1287"/>
      <c r="J208" s="1287"/>
      <c r="K208" s="1287"/>
      <c r="L208" s="1287"/>
      <c r="M208" s="1287"/>
      <c r="N208" s="1287"/>
      <c r="O208" s="1287"/>
      <c r="P208" s="1287"/>
      <c r="Q208" s="1287"/>
      <c r="R208" s="1287"/>
      <c r="U208" s="456"/>
    </row>
    <row r="209" spans="1:21" ht="18.75" customHeight="1">
      <c r="A209" s="849"/>
      <c r="E209" s="1286" t="s">
        <v>779</v>
      </c>
      <c r="F209" s="1286"/>
      <c r="G209" s="1286"/>
      <c r="H209" s="1286"/>
      <c r="I209" s="1286"/>
      <c r="J209" s="1286"/>
      <c r="K209" s="1286"/>
      <c r="L209" s="1286"/>
      <c r="M209" s="1286"/>
      <c r="N209" s="1286"/>
      <c r="O209" s="1286"/>
      <c r="P209" s="1286"/>
      <c r="Q209" s="1286"/>
      <c r="R209" s="1286"/>
      <c r="U209" s="853"/>
    </row>
    <row r="210" spans="1:21" ht="23.25" customHeight="1">
      <c r="A210" s="854" t="s">
        <v>780</v>
      </c>
      <c r="B210" s="855"/>
      <c r="C210" s="855"/>
      <c r="D210" s="856" t="s">
        <v>830</v>
      </c>
      <c r="E210" s="857"/>
      <c r="F210" s="858"/>
      <c r="G210" s="859"/>
      <c r="H210" s="859"/>
      <c r="I210" s="859"/>
      <c r="J210" s="859"/>
      <c r="K210" s="859"/>
      <c r="L210" s="860"/>
      <c r="M210" s="1460"/>
      <c r="N210" s="1460"/>
      <c r="O210" s="1460"/>
      <c r="P210" s="1461" t="s">
        <v>781</v>
      </c>
      <c r="Q210" s="1461"/>
      <c r="R210" s="1461"/>
      <c r="S210" s="855"/>
      <c r="T210" s="861">
        <v>46299</v>
      </c>
      <c r="U210" s="456"/>
    </row>
    <row r="211" spans="1:21" ht="23.25" customHeight="1">
      <c r="A211" s="854"/>
      <c r="B211" s="862"/>
      <c r="C211" s="862"/>
      <c r="D211" s="862"/>
      <c r="E211" s="163"/>
      <c r="F211" s="863"/>
      <c r="G211" s="863"/>
      <c r="H211" s="863"/>
      <c r="I211" s="863"/>
      <c r="J211" s="863"/>
      <c r="K211" s="863"/>
      <c r="U211" s="456"/>
    </row>
    <row r="212" spans="1:21" ht="21" customHeight="1">
      <c r="A212" s="864" t="s">
        <v>782</v>
      </c>
      <c r="B212" s="865"/>
      <c r="C212" s="866"/>
      <c r="D212" s="867"/>
      <c r="E212" s="868"/>
      <c r="F212" s="869"/>
      <c r="G212" s="869"/>
      <c r="H212" s="869"/>
      <c r="I212" s="870"/>
      <c r="J212" s="870"/>
      <c r="P212" s="1462"/>
      <c r="Q212" s="1462"/>
      <c r="R212" s="1462"/>
      <c r="S212" s="1462"/>
      <c r="T212" s="871"/>
      <c r="U212" s="456"/>
    </row>
    <row r="213" spans="1:21" ht="21" customHeight="1">
      <c r="A213" s="872"/>
      <c r="B213" s="873"/>
      <c r="C213" s="869"/>
      <c r="D213" s="869"/>
      <c r="E213" s="869"/>
      <c r="F213" s="869"/>
      <c r="G213" s="869"/>
      <c r="H213" s="869"/>
      <c r="I213" s="870"/>
      <c r="J213" s="870"/>
      <c r="U213" s="456"/>
    </row>
    <row r="214" spans="1:21" ht="15" customHeight="1">
      <c r="A214" s="1463" t="s">
        <v>783</v>
      </c>
      <c r="B214" s="1463"/>
      <c r="C214" s="1463"/>
      <c r="D214" s="1463"/>
      <c r="E214" s="1463"/>
      <c r="F214" s="1463"/>
      <c r="G214" s="1463"/>
      <c r="H214" s="1463"/>
      <c r="I214" s="1463"/>
      <c r="J214" s="1463"/>
      <c r="K214" s="1463"/>
      <c r="L214" s="1463"/>
      <c r="M214" s="1463"/>
      <c r="N214" s="1463"/>
      <c r="O214" s="1463"/>
      <c r="P214" s="1463"/>
      <c r="Q214" s="1463"/>
      <c r="R214" s="1463"/>
      <c r="S214" s="1463"/>
      <c r="T214" s="1463"/>
      <c r="U214" s="1463"/>
    </row>
    <row r="215" spans="1:21" ht="15" customHeight="1">
      <c r="A215" s="1463"/>
      <c r="B215" s="1463"/>
      <c r="C215" s="1463"/>
      <c r="D215" s="1463"/>
      <c r="E215" s="1463"/>
      <c r="F215" s="1463"/>
      <c r="G215" s="1463"/>
      <c r="H215" s="1463"/>
      <c r="I215" s="1463"/>
      <c r="J215" s="1463"/>
      <c r="K215" s="1463"/>
      <c r="L215" s="1463"/>
      <c r="M215" s="1463"/>
      <c r="N215" s="1463"/>
      <c r="O215" s="1463"/>
      <c r="P215" s="1463"/>
      <c r="Q215" s="1463"/>
      <c r="R215" s="1463"/>
      <c r="S215" s="1463"/>
      <c r="T215" s="1463"/>
      <c r="U215" s="1463"/>
    </row>
    <row r="216" spans="1:21" ht="18" customHeight="1">
      <c r="A216" s="1464" t="s">
        <v>784</v>
      </c>
      <c r="B216" s="1464"/>
      <c r="C216" s="1464"/>
      <c r="D216" s="1464"/>
      <c r="E216" s="1464"/>
      <c r="F216" s="1464"/>
      <c r="G216" s="1464"/>
      <c r="H216" s="1464"/>
      <c r="I216" s="1464"/>
      <c r="J216" s="1464"/>
      <c r="K216" s="1464"/>
      <c r="L216" s="1464"/>
      <c r="M216" s="1464"/>
      <c r="N216" s="1464"/>
      <c r="O216" s="1464"/>
      <c r="P216" s="1464"/>
      <c r="Q216" s="1464"/>
      <c r="R216" s="1464"/>
      <c r="S216" s="1464"/>
      <c r="T216" s="1464"/>
      <c r="U216" s="1464"/>
    </row>
    <row r="217" spans="1:21" ht="23.25" customHeight="1">
      <c r="A217" s="1465" t="s">
        <v>785</v>
      </c>
      <c r="B217" s="1465"/>
      <c r="C217" s="1465"/>
      <c r="D217" s="1465"/>
      <c r="E217" s="1465"/>
      <c r="F217" s="1465"/>
      <c r="G217" s="1465"/>
      <c r="H217" s="1465"/>
      <c r="I217" s="1465"/>
      <c r="J217" s="1465"/>
      <c r="K217" s="1465"/>
      <c r="L217" s="1465"/>
      <c r="M217" s="1465"/>
      <c r="N217" s="1465"/>
      <c r="O217" s="1465"/>
      <c r="P217" s="1465"/>
      <c r="Q217" s="1465"/>
      <c r="R217" s="1465"/>
      <c r="S217" s="1465"/>
      <c r="T217" s="1465"/>
      <c r="U217" s="1465"/>
    </row>
    <row r="218" spans="1:21" ht="21.75" customHeight="1">
      <c r="A218" s="874"/>
      <c r="B218" s="875"/>
      <c r="C218" s="875"/>
      <c r="D218" s="875"/>
      <c r="E218" s="875"/>
      <c r="F218" s="875"/>
      <c r="G218" s="875"/>
      <c r="H218" s="875"/>
      <c r="I218" s="875"/>
      <c r="J218" s="875"/>
      <c r="K218" s="875"/>
      <c r="L218" s="875"/>
      <c r="M218" s="875"/>
      <c r="N218" s="875"/>
      <c r="O218" s="875"/>
      <c r="P218" s="875"/>
      <c r="Q218" s="875"/>
      <c r="R218" s="875"/>
      <c r="S218" s="875"/>
      <c r="T218" s="875"/>
      <c r="U218" s="876"/>
    </row>
    <row r="219" spans="1:21" ht="15" customHeight="1">
      <c r="A219" s="1466" t="s">
        <v>786</v>
      </c>
      <c r="B219" s="1467" t="s">
        <v>787</v>
      </c>
      <c r="C219" s="1468" t="s">
        <v>788</v>
      </c>
      <c r="D219" s="1468" t="s">
        <v>789</v>
      </c>
      <c r="E219" s="1469" t="s">
        <v>790</v>
      </c>
      <c r="F219" s="1468" t="s">
        <v>791</v>
      </c>
      <c r="G219" s="1468"/>
      <c r="H219" s="1468"/>
      <c r="I219" s="1468"/>
      <c r="J219" s="1468"/>
      <c r="K219" s="1468"/>
      <c r="L219" s="1468"/>
      <c r="M219" s="1468"/>
      <c r="N219" s="1468"/>
      <c r="O219" s="1468"/>
      <c r="P219" s="1470"/>
      <c r="Q219" s="1470"/>
      <c r="R219" s="1470"/>
      <c r="S219" s="1470"/>
      <c r="T219" s="1470"/>
      <c r="U219" s="1470"/>
    </row>
    <row r="220" spans="1:21" ht="15.75" customHeight="1">
      <c r="A220" s="1466"/>
      <c r="B220" s="1467"/>
      <c r="C220" s="1468"/>
      <c r="D220" s="1468"/>
      <c r="E220" s="1469"/>
      <c r="F220" s="1468"/>
      <c r="G220" s="1468"/>
      <c r="H220" s="1468"/>
      <c r="I220" s="1468"/>
      <c r="J220" s="1468"/>
      <c r="K220" s="1468"/>
      <c r="L220" s="1468"/>
      <c r="M220" s="1468"/>
      <c r="N220" s="1468"/>
      <c r="O220" s="1468"/>
      <c r="P220" s="1470"/>
      <c r="Q220" s="1470"/>
      <c r="R220" s="1470"/>
      <c r="S220" s="1470"/>
      <c r="T220" s="1470"/>
      <c r="U220" s="1470"/>
    </row>
    <row r="221" spans="1:21" ht="48" customHeight="1">
      <c r="A221" s="1466"/>
      <c r="B221" s="1467"/>
      <c r="C221" s="1468"/>
      <c r="D221" s="1468"/>
      <c r="E221" s="1469"/>
      <c r="F221" s="878" t="s">
        <v>792</v>
      </c>
      <c r="G221" s="877" t="s">
        <v>793</v>
      </c>
      <c r="H221" s="878" t="s">
        <v>794</v>
      </c>
      <c r="I221" s="879" t="s">
        <v>795</v>
      </c>
      <c r="J221" s="880" t="s">
        <v>796</v>
      </c>
      <c r="K221" s="1468" t="s">
        <v>797</v>
      </c>
      <c r="L221" s="1468"/>
      <c r="M221" s="1468"/>
      <c r="N221" s="1468"/>
      <c r="O221" s="1468"/>
      <c r="P221" s="881" t="s">
        <v>798</v>
      </c>
      <c r="Q221" s="882" t="s">
        <v>799</v>
      </c>
      <c r="R221" s="1469" t="s">
        <v>800</v>
      </c>
      <c r="S221" s="1469"/>
      <c r="T221" s="877" t="s">
        <v>801</v>
      </c>
      <c r="U221" s="879" t="s">
        <v>104</v>
      </c>
    </row>
    <row r="222" spans="1:21" ht="19.5" customHeight="1">
      <c r="A222" s="883"/>
      <c r="B222" s="884" t="str">
        <f>IF('BIS Doc'!AC103=130, "130 × 130", IF('BIS Doc'!AC103=160, "160 × 160", IF('BIS Doc'!AC103=110, "110 × 110", "Value not 130, 160, or 110")))</f>
        <v>Value not 130, 160, or 110</v>
      </c>
      <c r="C222" s="885">
        <f>'BIS Doc'!W103</f>
        <v>0</v>
      </c>
      <c r="D222" s="886"/>
      <c r="E222" s="887">
        <f>'BIS Doc'!AE103</f>
        <v>0</v>
      </c>
      <c r="F222" s="888">
        <f ca="1">'BIS Doc'!F103</f>
        <v>0</v>
      </c>
      <c r="G222" s="888">
        <f ca="1">'BIS Doc'!J103</f>
        <v>0</v>
      </c>
      <c r="H222" s="888">
        <f ca="1">'BIS Doc'!G103</f>
        <v>0.54068315147606927</v>
      </c>
      <c r="I222" s="889">
        <f ca="1">'BIS Doc'!H103</f>
        <v>0</v>
      </c>
      <c r="J222" s="889">
        <f ca="1">'BIS Doc'!I103</f>
        <v>0</v>
      </c>
      <c r="K222" s="1449" t="str">
        <f t="shared" ref="K222:K227" ca="1" si="6">IF(H222&lt;0.6, "IS 14650 CPS 10748/GR2", "IS 14650 CPS 10748/GR3")</f>
        <v>IS 14650 CPS 10748/GR2</v>
      </c>
      <c r="L222" s="1449"/>
      <c r="M222" s="1449"/>
      <c r="N222" s="1449"/>
      <c r="O222" s="1449"/>
      <c r="P222" s="890"/>
      <c r="Q222" s="891"/>
      <c r="R222" s="1449"/>
      <c r="S222" s="1449"/>
      <c r="T222" s="892"/>
      <c r="U222" s="1450" t="s">
        <v>802</v>
      </c>
    </row>
    <row r="223" spans="1:21" ht="19.5" customHeight="1">
      <c r="A223" s="893"/>
      <c r="B223" s="894" t="str">
        <f>IF('BIS Doc'!AC105=130, "130 × 130", IF('BIS Doc'!AC105=160, "160 × 160", IF('BIS Doc'!AC105=110, "110 × 110", "Value not 130, 160, or 110")))</f>
        <v>Value not 130, 160, or 110</v>
      </c>
      <c r="C223" s="895">
        <f>'BIS Doc'!W105</f>
        <v>0</v>
      </c>
      <c r="D223" s="896"/>
      <c r="E223" s="897">
        <f>'BIS Doc'!AE105</f>
        <v>0</v>
      </c>
      <c r="F223" s="898">
        <f ca="1">'BIS Doc'!F105</f>
        <v>0</v>
      </c>
      <c r="G223" s="899">
        <f ca="1">'BIS Doc'!J105</f>
        <v>0</v>
      </c>
      <c r="H223" s="900">
        <f ca="1">'BIS Doc'!G105</f>
        <v>0.54498250147421423</v>
      </c>
      <c r="I223" s="901">
        <f ca="1">'BIS Doc'!H105</f>
        <v>0</v>
      </c>
      <c r="J223" s="901">
        <f ca="1">'BIS Doc'!I105</f>
        <v>0</v>
      </c>
      <c r="K223" s="1451" t="str">
        <f t="shared" ca="1" si="6"/>
        <v>IS 14650 CPS 10748/GR2</v>
      </c>
      <c r="L223" s="1451"/>
      <c r="M223" s="1451"/>
      <c r="N223" s="1451"/>
      <c r="O223" s="1451"/>
      <c r="P223" s="902"/>
      <c r="Q223" s="903"/>
      <c r="R223" s="1451"/>
      <c r="S223" s="1451"/>
      <c r="T223" s="904"/>
      <c r="U223" s="1450"/>
    </row>
    <row r="224" spans="1:21" ht="19.5" customHeight="1">
      <c r="A224" s="864"/>
      <c r="B224" s="894" t="str">
        <f>IF('BIS Doc'!AC107=130, "130 × 130", IF('BIS Doc'!AC107=160, "160 × 160", IF('BIS Doc'!AC107=110, "110 × 110", "Value not 130, 160, or 110")))</f>
        <v>Value not 130, 160, or 110</v>
      </c>
      <c r="C224" s="895">
        <f>'BIS Doc'!W107</f>
        <v>0</v>
      </c>
      <c r="D224" s="896" t="s">
        <v>803</v>
      </c>
      <c r="E224" s="897">
        <f>'BIS Doc'!AE107</f>
        <v>0</v>
      </c>
      <c r="F224" s="898">
        <f ca="1">'BIS Doc'!F107</f>
        <v>0</v>
      </c>
      <c r="G224" s="899">
        <f ca="1">'BIS Doc'!J107</f>
        <v>0</v>
      </c>
      <c r="H224" s="900">
        <f ca="1">'BIS Doc'!G107</f>
        <v>0.5314521414065837</v>
      </c>
      <c r="I224" s="901">
        <f ca="1">'BIS Doc'!H107</f>
        <v>0</v>
      </c>
      <c r="J224" s="901">
        <f ca="1">'BIS Doc'!I107</f>
        <v>0</v>
      </c>
      <c r="K224" s="1451" t="str">
        <f t="shared" ca="1" si="6"/>
        <v>IS 14650 CPS 10748/GR2</v>
      </c>
      <c r="L224" s="1451"/>
      <c r="M224" s="1451"/>
      <c r="N224" s="1451"/>
      <c r="O224" s="1451"/>
      <c r="P224" s="902"/>
      <c r="Q224" s="905"/>
      <c r="R224" s="1451"/>
      <c r="S224" s="1451"/>
      <c r="T224" s="904"/>
      <c r="U224" s="1450"/>
    </row>
    <row r="225" spans="1:21" ht="19.5" customHeight="1">
      <c r="A225" s="864"/>
      <c r="B225" s="894" t="str">
        <f>IF('BIS Doc'!AC109=130, "130 × 130", IF('BIS Doc'!AC109=160, "160 × 160", IF('BIS Doc'!AC109=110, "110 × 110", "Value not 130, 160, or 110")))</f>
        <v>Value not 130, 160, or 110</v>
      </c>
      <c r="C225" s="895">
        <f>'BIS Doc'!W109</f>
        <v>0</v>
      </c>
      <c r="D225" s="896"/>
      <c r="E225" s="897">
        <f>'BIS Doc'!AE109</f>
        <v>0</v>
      </c>
      <c r="F225" s="898">
        <f ca="1">'BIS Doc'!F109</f>
        <v>0</v>
      </c>
      <c r="G225" s="899">
        <f ca="1">'BIS Doc'!J109</f>
        <v>0</v>
      </c>
      <c r="H225" s="900">
        <f ca="1">'BIS Doc'!G109</f>
        <v>0.59622248674849532</v>
      </c>
      <c r="I225" s="901">
        <f ca="1">'BIS Doc'!H109</f>
        <v>0</v>
      </c>
      <c r="J225" s="901">
        <f ca="1">'BIS Doc'!I109</f>
        <v>0</v>
      </c>
      <c r="K225" s="1451" t="str">
        <f t="shared" ca="1" si="6"/>
        <v>IS 14650 CPS 10748/GR2</v>
      </c>
      <c r="L225" s="1451"/>
      <c r="M225" s="1451"/>
      <c r="N225" s="1451"/>
      <c r="O225" s="1451"/>
      <c r="P225" s="902"/>
      <c r="Q225" s="905"/>
      <c r="R225" s="1451"/>
      <c r="S225" s="1451"/>
      <c r="T225" s="904"/>
      <c r="U225" s="1450"/>
    </row>
    <row r="226" spans="1:21" ht="19.5" customHeight="1">
      <c r="A226" s="864"/>
      <c r="B226" s="894" t="str">
        <f>IF('BIS Doc'!AC111=130, "130 × 130", IF('BIS Doc'!AC111=160, "160 × 160", IF('BIS Doc'!AC111=110, "110 × 110", "Value not 130, 160, or 110")))</f>
        <v>Value not 130, 160, or 110</v>
      </c>
      <c r="C226" s="895">
        <f>'BIS Doc'!W111</f>
        <v>0</v>
      </c>
      <c r="D226" s="896"/>
      <c r="E226" s="897">
        <f>'BIS Doc'!AE111</f>
        <v>0</v>
      </c>
      <c r="F226" s="898">
        <f ca="1">'BIS Doc'!F111</f>
        <v>0</v>
      </c>
      <c r="G226" s="899">
        <f ca="1">'BIS Doc'!J111</f>
        <v>0</v>
      </c>
      <c r="H226" s="900">
        <f ca="1">'BIS Doc'!G111</f>
        <v>0.56009540573688277</v>
      </c>
      <c r="I226" s="901">
        <f ca="1">'BIS Doc'!H111</f>
        <v>0</v>
      </c>
      <c r="J226" s="901">
        <f ca="1">'BIS Doc'!I111</f>
        <v>0</v>
      </c>
      <c r="K226" s="1451" t="str">
        <f t="shared" ca="1" si="6"/>
        <v>IS 14650 CPS 10748/GR2</v>
      </c>
      <c r="L226" s="1451"/>
      <c r="M226" s="1451"/>
      <c r="N226" s="1451"/>
      <c r="O226" s="1451"/>
      <c r="P226" s="902"/>
      <c r="Q226" s="905"/>
      <c r="R226" s="1451"/>
      <c r="S226" s="1451"/>
      <c r="T226" s="904"/>
      <c r="U226" s="1450"/>
    </row>
    <row r="227" spans="1:21" ht="19.5" customHeight="1">
      <c r="A227" s="864"/>
      <c r="B227" s="894" t="str">
        <f>IF('BIS Doc'!AC113=130, "130 × 130", IF('BIS Doc'!AC113=160, "160 × 160", IF('BIS Doc'!AC113=110, "110 × 110", "Value not 130, 160, or 110")))</f>
        <v>Value not 130, 160, or 110</v>
      </c>
      <c r="C227" s="895">
        <f>'BIS Doc'!W113</f>
        <v>0</v>
      </c>
      <c r="D227" s="896"/>
      <c r="E227" s="897">
        <f>'BIS Doc'!AE113</f>
        <v>0</v>
      </c>
      <c r="F227" s="898">
        <f ca="1">'BIS Doc'!F113</f>
        <v>0</v>
      </c>
      <c r="G227" s="899">
        <f ca="1">'BIS Doc'!J113</f>
        <v>0</v>
      </c>
      <c r="H227" s="900">
        <f ca="1">'BIS Doc'!G113</f>
        <v>0.57295418836841672</v>
      </c>
      <c r="I227" s="901">
        <f ca="1">'BIS Doc'!H113</f>
        <v>0</v>
      </c>
      <c r="J227" s="901">
        <f ca="1">'BIS Doc'!I113</f>
        <v>0</v>
      </c>
      <c r="K227" s="1451" t="str">
        <f t="shared" ca="1" si="6"/>
        <v>IS 14650 CPS 10748/GR2</v>
      </c>
      <c r="L227" s="1451"/>
      <c r="M227" s="1451"/>
      <c r="N227" s="1451"/>
      <c r="O227" s="1451"/>
      <c r="P227" s="902"/>
      <c r="Q227" s="903"/>
      <c r="R227" s="1451"/>
      <c r="S227" s="1451"/>
      <c r="T227" s="904"/>
      <c r="U227" s="1450"/>
    </row>
    <row r="228" spans="1:21" ht="19.5" customHeight="1">
      <c r="A228" s="864"/>
      <c r="B228" s="904"/>
      <c r="C228" s="895"/>
      <c r="D228" s="896"/>
      <c r="E228" s="897"/>
      <c r="F228" s="906"/>
      <c r="G228" s="907"/>
      <c r="H228" s="908"/>
      <c r="I228" s="909"/>
      <c r="J228" s="909"/>
      <c r="K228" s="1451"/>
      <c r="L228" s="1451"/>
      <c r="M228" s="1451"/>
      <c r="N228" s="1451"/>
      <c r="O228" s="1451"/>
      <c r="P228" s="902"/>
      <c r="Q228" s="903"/>
      <c r="R228" s="1451"/>
      <c r="S228" s="1451"/>
      <c r="T228" s="904"/>
      <c r="U228" s="1450"/>
    </row>
    <row r="229" spans="1:21" ht="19.5" customHeight="1">
      <c r="A229" s="864"/>
      <c r="B229" s="904"/>
      <c r="C229" s="895"/>
      <c r="D229" s="896"/>
      <c r="E229" s="897"/>
      <c r="F229" s="906"/>
      <c r="G229" s="907"/>
      <c r="H229" s="908"/>
      <c r="I229" s="909"/>
      <c r="J229" s="909"/>
      <c r="K229" s="1451"/>
      <c r="L229" s="1451"/>
      <c r="M229" s="1451"/>
      <c r="N229" s="1451"/>
      <c r="O229" s="1451"/>
      <c r="P229" s="902"/>
      <c r="Q229" s="905"/>
      <c r="R229" s="1451"/>
      <c r="S229" s="1451"/>
      <c r="T229" s="904"/>
      <c r="U229" s="1450"/>
    </row>
    <row r="230" spans="1:21" ht="19.5" customHeight="1">
      <c r="A230" s="864"/>
      <c r="B230" s="910"/>
      <c r="C230" s="911"/>
      <c r="D230" s="896"/>
      <c r="E230" s="897"/>
      <c r="F230" s="906"/>
      <c r="G230" s="907"/>
      <c r="H230" s="908"/>
      <c r="I230" s="909"/>
      <c r="J230" s="909"/>
      <c r="K230" s="1451"/>
      <c r="L230" s="1451"/>
      <c r="M230" s="1451"/>
      <c r="N230" s="1451"/>
      <c r="O230" s="1451"/>
      <c r="P230" s="912"/>
      <c r="Q230" s="913"/>
      <c r="R230" s="1452"/>
      <c r="S230" s="1452"/>
      <c r="T230" s="910"/>
      <c r="U230" s="1450"/>
    </row>
    <row r="231" spans="1:21" ht="19.5" customHeight="1">
      <c r="A231" s="914"/>
      <c r="B231" s="915"/>
      <c r="C231" s="916"/>
      <c r="D231" s="917"/>
      <c r="E231" s="918">
        <f>SUM(E222:E227)</f>
        <v>0</v>
      </c>
      <c r="F231" s="919"/>
      <c r="G231" s="920"/>
      <c r="H231" s="921"/>
      <c r="I231" s="922"/>
      <c r="J231" s="922"/>
      <c r="K231" s="1453"/>
      <c r="L231" s="1453"/>
      <c r="M231" s="1453"/>
      <c r="N231" s="1453"/>
      <c r="O231" s="1453"/>
      <c r="P231" s="923"/>
      <c r="Q231" s="924"/>
      <c r="R231" s="1454"/>
      <c r="S231" s="1454"/>
      <c r="T231" s="915"/>
      <c r="U231" s="1450"/>
    </row>
    <row r="232" spans="1:21" ht="15.75" customHeight="1">
      <c r="A232" s="864"/>
      <c r="B232" s="773"/>
      <c r="C232" s="773"/>
      <c r="D232" s="925"/>
      <c r="E232" s="926"/>
      <c r="F232" s="927"/>
      <c r="G232" s="928"/>
      <c r="H232" s="259"/>
      <c r="I232" s="259"/>
      <c r="J232" s="928"/>
      <c r="K232" s="929"/>
      <c r="L232" s="929"/>
      <c r="M232" s="929"/>
      <c r="N232" s="929"/>
      <c r="O232" s="928"/>
      <c r="P232" s="930"/>
      <c r="Q232" s="931"/>
      <c r="R232" s="931"/>
      <c r="U232" s="932"/>
    </row>
    <row r="233" spans="1:21" ht="18.75" customHeight="1">
      <c r="A233" s="864"/>
      <c r="B233" s="773"/>
      <c r="C233" s="773"/>
      <c r="D233" s="773"/>
      <c r="E233" s="773"/>
      <c r="F233" s="773"/>
      <c r="G233" s="773"/>
      <c r="H233" s="773"/>
      <c r="I233" s="773"/>
      <c r="J233" s="773"/>
      <c r="K233" s="773"/>
      <c r="P233" s="1446" t="s">
        <v>804</v>
      </c>
      <c r="Q233" s="1446"/>
      <c r="R233" s="1446"/>
      <c r="S233" s="1446"/>
      <c r="T233" s="1446"/>
      <c r="U233" s="1446"/>
    </row>
    <row r="234" spans="1:21" ht="18.75" customHeight="1">
      <c r="A234" s="1447" t="s">
        <v>805</v>
      </c>
      <c r="B234" s="1447"/>
      <c r="C234" s="933"/>
      <c r="D234" s="933"/>
      <c r="E234" s="933"/>
      <c r="F234" s="933"/>
      <c r="P234" s="855"/>
      <c r="Q234" s="855"/>
      <c r="R234" s="855"/>
      <c r="S234" s="855"/>
      <c r="T234" s="855"/>
      <c r="U234" s="934"/>
    </row>
    <row r="235" spans="1:21" ht="18.75" customHeight="1">
      <c r="A235" s="854"/>
      <c r="B235" s="855"/>
      <c r="P235" s="855"/>
      <c r="Q235" s="855"/>
      <c r="R235" s="855"/>
      <c r="S235" s="855"/>
      <c r="T235" s="855"/>
      <c r="U235" s="934"/>
    </row>
    <row r="236" spans="1:21" ht="18.75" customHeight="1">
      <c r="A236" s="854" t="s">
        <v>806</v>
      </c>
      <c r="B236" s="855"/>
      <c r="C236" s="867"/>
      <c r="D236" s="941"/>
      <c r="E236" s="933"/>
      <c r="F236" s="933"/>
      <c r="P236" s="855"/>
      <c r="Q236" s="855"/>
      <c r="R236" s="855"/>
      <c r="S236" s="855"/>
      <c r="T236" s="855"/>
      <c r="U236" s="934"/>
    </row>
    <row r="237" spans="1:21" ht="18.75" customHeight="1">
      <c r="A237" s="854"/>
      <c r="B237" s="855"/>
      <c r="C237" s="937"/>
      <c r="P237" s="855"/>
      <c r="Q237" s="855"/>
      <c r="R237" s="855"/>
      <c r="S237" s="855"/>
      <c r="T237" s="855"/>
      <c r="U237" s="934"/>
    </row>
    <row r="238" spans="1:21" ht="19.5" customHeight="1">
      <c r="A238" s="938"/>
      <c r="B238" s="939"/>
      <c r="C238" s="940"/>
      <c r="D238" s="453"/>
      <c r="E238" s="453"/>
      <c r="F238" s="453"/>
      <c r="G238" s="453"/>
      <c r="H238" s="453"/>
      <c r="I238" s="453"/>
      <c r="J238" s="453"/>
      <c r="K238" s="453"/>
      <c r="L238" s="453"/>
      <c r="M238" s="453"/>
      <c r="N238" s="453"/>
      <c r="O238" s="453"/>
      <c r="P238" s="1448" t="s">
        <v>807</v>
      </c>
      <c r="Q238" s="1448"/>
      <c r="R238" s="1448"/>
      <c r="S238" s="1448"/>
      <c r="T238" s="1448"/>
      <c r="U238" s="1448"/>
    </row>
    <row r="239" spans="1:21" ht="45.75" customHeight="1">
      <c r="A239" s="1455"/>
      <c r="B239" s="1455"/>
      <c r="C239" s="1455"/>
      <c r="D239" s="847"/>
      <c r="E239" s="1456" t="s">
        <v>774</v>
      </c>
      <c r="F239" s="1456"/>
      <c r="G239" s="1456"/>
      <c r="H239" s="1456"/>
      <c r="I239" s="1456"/>
      <c r="J239" s="1456"/>
      <c r="K239" s="1456"/>
      <c r="L239" s="1456"/>
      <c r="M239" s="1456"/>
      <c r="N239" s="1456"/>
      <c r="O239" s="1456"/>
      <c r="P239" s="1456"/>
      <c r="Q239" s="1456"/>
      <c r="R239" s="1456"/>
      <c r="S239" s="848"/>
      <c r="T239" s="1457" t="s">
        <v>775</v>
      </c>
      <c r="U239" s="1457"/>
    </row>
    <row r="240" spans="1:21" ht="18.75" customHeight="1">
      <c r="A240" s="849"/>
      <c r="E240" s="1458" t="s">
        <v>776</v>
      </c>
      <c r="F240" s="1458"/>
      <c r="G240" s="1458"/>
      <c r="H240" s="1458"/>
      <c r="I240" s="1458"/>
      <c r="J240" s="1458"/>
      <c r="K240" s="1458"/>
      <c r="L240" s="1458"/>
      <c r="M240" s="1458"/>
      <c r="N240" s="1458"/>
      <c r="O240" s="1458"/>
      <c r="P240" s="1458"/>
      <c r="Q240" s="1458"/>
      <c r="R240" s="1458"/>
      <c r="U240" s="456"/>
    </row>
    <row r="241" spans="1:21" ht="18.75" customHeight="1">
      <c r="A241" s="850"/>
      <c r="F241" s="587"/>
      <c r="G241" s="587"/>
      <c r="H241" s="587"/>
      <c r="I241" s="587"/>
      <c r="J241" s="587"/>
      <c r="K241" s="587"/>
      <c r="L241" s="587"/>
      <c r="M241" s="851"/>
      <c r="N241" s="852"/>
      <c r="O241" s="851"/>
      <c r="P241" s="1459" t="s">
        <v>777</v>
      </c>
      <c r="Q241" s="1459"/>
      <c r="R241" s="1459"/>
      <c r="S241" s="1459"/>
      <c r="T241" s="1459"/>
      <c r="U241" s="1459"/>
    </row>
    <row r="242" spans="1:21" ht="15" customHeight="1">
      <c r="A242" s="849"/>
      <c r="E242" s="1287" t="s">
        <v>778</v>
      </c>
      <c r="F242" s="1287"/>
      <c r="G242" s="1287"/>
      <c r="H242" s="1287"/>
      <c r="I242" s="1287"/>
      <c r="J242" s="1287"/>
      <c r="K242" s="1287"/>
      <c r="L242" s="1287"/>
      <c r="M242" s="1287"/>
      <c r="N242" s="1287"/>
      <c r="O242" s="1287"/>
      <c r="P242" s="1287"/>
      <c r="Q242" s="1287"/>
      <c r="R242" s="1287"/>
      <c r="U242" s="456"/>
    </row>
    <row r="243" spans="1:21" ht="18.75" customHeight="1">
      <c r="A243" s="849"/>
      <c r="E243" s="1286" t="s">
        <v>779</v>
      </c>
      <c r="F243" s="1286"/>
      <c r="G243" s="1286"/>
      <c r="H243" s="1286"/>
      <c r="I243" s="1286"/>
      <c r="J243" s="1286"/>
      <c r="K243" s="1286"/>
      <c r="L243" s="1286"/>
      <c r="M243" s="1286"/>
      <c r="N243" s="1286"/>
      <c r="O243" s="1286"/>
      <c r="P243" s="1286"/>
      <c r="Q243" s="1286"/>
      <c r="R243" s="1286"/>
      <c r="U243" s="853"/>
    </row>
    <row r="244" spans="1:21" ht="23.25" customHeight="1">
      <c r="A244" s="854" t="s">
        <v>780</v>
      </c>
      <c r="B244" s="855"/>
      <c r="C244" s="855"/>
      <c r="D244" s="856" t="s">
        <v>831</v>
      </c>
      <c r="E244" s="857"/>
      <c r="F244" s="858"/>
      <c r="G244" s="859"/>
      <c r="H244" s="859"/>
      <c r="I244" s="859"/>
      <c r="J244" s="859"/>
      <c r="K244" s="859"/>
      <c r="L244" s="860"/>
      <c r="M244" s="1460"/>
      <c r="N244" s="1460"/>
      <c r="O244" s="1460"/>
      <c r="P244" s="1461" t="s">
        <v>781</v>
      </c>
      <c r="Q244" s="1461"/>
      <c r="R244" s="1461"/>
      <c r="S244" s="855"/>
      <c r="T244" s="861">
        <v>46299</v>
      </c>
      <c r="U244" s="456"/>
    </row>
    <row r="245" spans="1:21" ht="23.25" customHeight="1">
      <c r="A245" s="854"/>
      <c r="B245" s="862"/>
      <c r="C245" s="862"/>
      <c r="D245" s="862"/>
      <c r="E245" s="163"/>
      <c r="F245" s="863"/>
      <c r="G245" s="863"/>
      <c r="H245" s="863"/>
      <c r="I245" s="863"/>
      <c r="J245" s="863"/>
      <c r="K245" s="863"/>
      <c r="U245" s="456"/>
    </row>
    <row r="246" spans="1:21" ht="21" customHeight="1">
      <c r="A246" s="864" t="s">
        <v>782</v>
      </c>
      <c r="B246" s="865"/>
      <c r="C246" s="866"/>
      <c r="D246" s="867"/>
      <c r="E246" s="868"/>
      <c r="F246" s="869"/>
      <c r="G246" s="869"/>
      <c r="H246" s="869"/>
      <c r="I246" s="870"/>
      <c r="J246" s="870"/>
      <c r="P246" s="1462"/>
      <c r="Q246" s="1462"/>
      <c r="R246" s="1462"/>
      <c r="S246" s="1462"/>
      <c r="T246" s="871"/>
      <c r="U246" s="456"/>
    </row>
    <row r="247" spans="1:21" ht="21" customHeight="1">
      <c r="A247" s="872"/>
      <c r="B247" s="873"/>
      <c r="C247" s="869"/>
      <c r="D247" s="869"/>
      <c r="E247" s="869"/>
      <c r="F247" s="869"/>
      <c r="G247" s="869"/>
      <c r="H247" s="869"/>
      <c r="I247" s="870"/>
      <c r="J247" s="870"/>
      <c r="U247" s="456"/>
    </row>
    <row r="248" spans="1:21" ht="15" customHeight="1">
      <c r="A248" s="1463" t="s">
        <v>783</v>
      </c>
      <c r="B248" s="1463"/>
      <c r="C248" s="1463"/>
      <c r="D248" s="1463"/>
      <c r="E248" s="1463"/>
      <c r="F248" s="1463"/>
      <c r="G248" s="1463"/>
      <c r="H248" s="1463"/>
      <c r="I248" s="1463"/>
      <c r="J248" s="1463"/>
      <c r="K248" s="1463"/>
      <c r="L248" s="1463"/>
      <c r="M248" s="1463"/>
      <c r="N248" s="1463"/>
      <c r="O248" s="1463"/>
      <c r="P248" s="1463"/>
      <c r="Q248" s="1463"/>
      <c r="R248" s="1463"/>
      <c r="S248" s="1463"/>
      <c r="T248" s="1463"/>
      <c r="U248" s="1463"/>
    </row>
    <row r="249" spans="1:21" ht="15" customHeight="1">
      <c r="A249" s="1463"/>
      <c r="B249" s="1463"/>
      <c r="C249" s="1463"/>
      <c r="D249" s="1463"/>
      <c r="E249" s="1463"/>
      <c r="F249" s="1463"/>
      <c r="G249" s="1463"/>
      <c r="H249" s="1463"/>
      <c r="I249" s="1463"/>
      <c r="J249" s="1463"/>
      <c r="K249" s="1463"/>
      <c r="L249" s="1463"/>
      <c r="M249" s="1463"/>
      <c r="N249" s="1463"/>
      <c r="O249" s="1463"/>
      <c r="P249" s="1463"/>
      <c r="Q249" s="1463"/>
      <c r="R249" s="1463"/>
      <c r="S249" s="1463"/>
      <c r="T249" s="1463"/>
      <c r="U249" s="1463"/>
    </row>
    <row r="250" spans="1:21" ht="18" customHeight="1">
      <c r="A250" s="1464" t="s">
        <v>784</v>
      </c>
      <c r="B250" s="1464"/>
      <c r="C250" s="1464"/>
      <c r="D250" s="1464"/>
      <c r="E250" s="1464"/>
      <c r="F250" s="1464"/>
      <c r="G250" s="1464"/>
      <c r="H250" s="1464"/>
      <c r="I250" s="1464"/>
      <c r="J250" s="1464"/>
      <c r="K250" s="1464"/>
      <c r="L250" s="1464"/>
      <c r="M250" s="1464"/>
      <c r="N250" s="1464"/>
      <c r="O250" s="1464"/>
      <c r="P250" s="1464"/>
      <c r="Q250" s="1464"/>
      <c r="R250" s="1464"/>
      <c r="S250" s="1464"/>
      <c r="T250" s="1464"/>
      <c r="U250" s="1464"/>
    </row>
    <row r="251" spans="1:21" ht="23.25" customHeight="1">
      <c r="A251" s="1465" t="s">
        <v>785</v>
      </c>
      <c r="B251" s="1465"/>
      <c r="C251" s="1465"/>
      <c r="D251" s="1465"/>
      <c r="E251" s="1465"/>
      <c r="F251" s="1465"/>
      <c r="G251" s="1465"/>
      <c r="H251" s="1465"/>
      <c r="I251" s="1465"/>
      <c r="J251" s="1465"/>
      <c r="K251" s="1465"/>
      <c r="L251" s="1465"/>
      <c r="M251" s="1465"/>
      <c r="N251" s="1465"/>
      <c r="O251" s="1465"/>
      <c r="P251" s="1465"/>
      <c r="Q251" s="1465"/>
      <c r="R251" s="1465"/>
      <c r="S251" s="1465"/>
      <c r="T251" s="1465"/>
      <c r="U251" s="1465"/>
    </row>
    <row r="252" spans="1:21" ht="21.75" customHeight="1">
      <c r="A252" s="874"/>
      <c r="B252" s="875"/>
      <c r="C252" s="875"/>
      <c r="D252" s="875"/>
      <c r="E252" s="875"/>
      <c r="F252" s="875"/>
      <c r="G252" s="875"/>
      <c r="H252" s="875"/>
      <c r="I252" s="875"/>
      <c r="J252" s="875"/>
      <c r="K252" s="875"/>
      <c r="L252" s="875"/>
      <c r="M252" s="875"/>
      <c r="N252" s="875"/>
      <c r="O252" s="875"/>
      <c r="P252" s="875"/>
      <c r="Q252" s="875"/>
      <c r="R252" s="875"/>
      <c r="S252" s="875"/>
      <c r="T252" s="875"/>
      <c r="U252" s="876"/>
    </row>
    <row r="253" spans="1:21" ht="15" customHeight="1">
      <c r="A253" s="1466" t="s">
        <v>786</v>
      </c>
      <c r="B253" s="1467" t="s">
        <v>787</v>
      </c>
      <c r="C253" s="1468" t="s">
        <v>788</v>
      </c>
      <c r="D253" s="1468" t="s">
        <v>789</v>
      </c>
      <c r="E253" s="1469" t="s">
        <v>790</v>
      </c>
      <c r="F253" s="1468" t="s">
        <v>791</v>
      </c>
      <c r="G253" s="1468"/>
      <c r="H253" s="1468"/>
      <c r="I253" s="1468"/>
      <c r="J253" s="1468"/>
      <c r="K253" s="1468"/>
      <c r="L253" s="1468"/>
      <c r="M253" s="1468"/>
      <c r="N253" s="1468"/>
      <c r="O253" s="1468"/>
      <c r="P253" s="1470"/>
      <c r="Q253" s="1470"/>
      <c r="R253" s="1470"/>
      <c r="S253" s="1470"/>
      <c r="T253" s="1470"/>
      <c r="U253" s="1470"/>
    </row>
    <row r="254" spans="1:21" ht="15.75" customHeight="1">
      <c r="A254" s="1466"/>
      <c r="B254" s="1467"/>
      <c r="C254" s="1468"/>
      <c r="D254" s="1468"/>
      <c r="E254" s="1469"/>
      <c r="F254" s="1468"/>
      <c r="G254" s="1468"/>
      <c r="H254" s="1468"/>
      <c r="I254" s="1468"/>
      <c r="J254" s="1468"/>
      <c r="K254" s="1468"/>
      <c r="L254" s="1468"/>
      <c r="M254" s="1468"/>
      <c r="N254" s="1468"/>
      <c r="O254" s="1468"/>
      <c r="P254" s="1470"/>
      <c r="Q254" s="1470"/>
      <c r="R254" s="1470"/>
      <c r="S254" s="1470"/>
      <c r="T254" s="1470"/>
      <c r="U254" s="1470"/>
    </row>
    <row r="255" spans="1:21" ht="48" customHeight="1">
      <c r="A255" s="1466"/>
      <c r="B255" s="1467"/>
      <c r="C255" s="1468"/>
      <c r="D255" s="1468"/>
      <c r="E255" s="1469"/>
      <c r="F255" s="878" t="s">
        <v>792</v>
      </c>
      <c r="G255" s="877" t="s">
        <v>793</v>
      </c>
      <c r="H255" s="878" t="s">
        <v>794</v>
      </c>
      <c r="I255" s="879" t="s">
        <v>795</v>
      </c>
      <c r="J255" s="880" t="s">
        <v>796</v>
      </c>
      <c r="K255" s="1468" t="s">
        <v>797</v>
      </c>
      <c r="L255" s="1468"/>
      <c r="M255" s="1468"/>
      <c r="N255" s="1468"/>
      <c r="O255" s="1468"/>
      <c r="P255" s="881" t="s">
        <v>798</v>
      </c>
      <c r="Q255" s="882" t="s">
        <v>799</v>
      </c>
      <c r="R255" s="1469" t="s">
        <v>800</v>
      </c>
      <c r="S255" s="1469"/>
      <c r="T255" s="877" t="s">
        <v>801</v>
      </c>
      <c r="U255" s="879" t="s">
        <v>104</v>
      </c>
    </row>
    <row r="256" spans="1:21" ht="19.5" customHeight="1">
      <c r="A256" s="883"/>
      <c r="B256" s="884" t="str">
        <f>IF('BIS Doc'!AC115=130, "130 × 130", IF('BIS Doc'!AC115=160, "160 × 160", IF('BIS Doc'!AC115=110, "110 × 110", "Value not 130, 160, or 110")))</f>
        <v>Value not 130, 160, or 110</v>
      </c>
      <c r="C256" s="885">
        <f>'BIS Doc'!W115</f>
        <v>0</v>
      </c>
      <c r="D256" s="886"/>
      <c r="E256" s="887">
        <f>'BIS Doc'!AE115</f>
        <v>0</v>
      </c>
      <c r="F256" s="888">
        <f ca="1">'BIS Doc'!F115</f>
        <v>0</v>
      </c>
      <c r="G256" s="888">
        <f ca="1">'BIS Doc'!J115</f>
        <v>0</v>
      </c>
      <c r="H256" s="888">
        <f ca="1">'BIS Doc'!G115</f>
        <v>0.55598057037227389</v>
      </c>
      <c r="I256" s="889">
        <f ca="1">'BIS Doc'!H115</f>
        <v>0</v>
      </c>
      <c r="J256" s="889">
        <f ca="1">'BIS Doc'!I115</f>
        <v>0</v>
      </c>
      <c r="K256" s="1449" t="str">
        <f t="shared" ref="K256:K261" ca="1" si="7">IF(H256&lt;0.6, "IS 14650 CPS 10748/GR2", "IS 14650 CPS 10748/GR3")</f>
        <v>IS 14650 CPS 10748/GR2</v>
      </c>
      <c r="L256" s="1449"/>
      <c r="M256" s="1449"/>
      <c r="N256" s="1449"/>
      <c r="O256" s="1449"/>
      <c r="P256" s="890"/>
      <c r="Q256" s="891"/>
      <c r="R256" s="1449"/>
      <c r="S256" s="1449"/>
      <c r="T256" s="892"/>
      <c r="U256" s="1450" t="s">
        <v>802</v>
      </c>
    </row>
    <row r="257" spans="1:21" ht="19.5" customHeight="1">
      <c r="A257" s="893"/>
      <c r="B257" s="894" t="str">
        <f>IF('BIS Doc'!AC117=130, "130 × 130", IF('BIS Doc'!AC117=160, "160 × 160", IF('BIS Doc'!AC117=110, "110 × 110", "Value not 130, 160, or 110")))</f>
        <v>Value not 130, 160, or 110</v>
      </c>
      <c r="C257" s="895">
        <f>'BIS Doc'!W117</f>
        <v>0</v>
      </c>
      <c r="D257" s="896"/>
      <c r="E257" s="897">
        <f>'BIS Doc'!AE117</f>
        <v>0</v>
      </c>
      <c r="F257" s="898">
        <f ca="1">'BIS Doc'!F117</f>
        <v>0</v>
      </c>
      <c r="G257" s="899">
        <f ca="1">'BIS Doc'!J117</f>
        <v>0</v>
      </c>
      <c r="H257" s="900">
        <f ca="1">'BIS Doc'!G117</f>
        <v>0.58075183149286458</v>
      </c>
      <c r="I257" s="901">
        <f ca="1">'BIS Doc'!H117</f>
        <v>0</v>
      </c>
      <c r="J257" s="901">
        <f ca="1">'BIS Doc'!I117</f>
        <v>0</v>
      </c>
      <c r="K257" s="1451" t="str">
        <f t="shared" ca="1" si="7"/>
        <v>IS 14650 CPS 10748/GR2</v>
      </c>
      <c r="L257" s="1451"/>
      <c r="M257" s="1451"/>
      <c r="N257" s="1451"/>
      <c r="O257" s="1451"/>
      <c r="P257" s="902"/>
      <c r="Q257" s="903"/>
      <c r="R257" s="1451"/>
      <c r="S257" s="1451"/>
      <c r="T257" s="904"/>
      <c r="U257" s="1450"/>
    </row>
    <row r="258" spans="1:21" ht="19.5" customHeight="1">
      <c r="A258" s="864"/>
      <c r="B258" s="894" t="str">
        <f>IF('BIS Doc'!AC119=130, "130 × 130", IF('BIS Doc'!AC119=160, "160 × 160", IF('BIS Doc'!AC119=110, "110 × 110", "Value not 130, 160, or 110")))</f>
        <v>Value not 130, 160, or 110</v>
      </c>
      <c r="C258" s="895">
        <f>'BIS Doc'!W119</f>
        <v>0</v>
      </c>
      <c r="D258" s="896" t="s">
        <v>803</v>
      </c>
      <c r="E258" s="897">
        <f>'BIS Doc'!AE119</f>
        <v>0</v>
      </c>
      <c r="F258" s="898">
        <f ca="1">'BIS Doc'!F119</f>
        <v>0</v>
      </c>
      <c r="G258" s="899">
        <f ca="1">'BIS Doc'!J119</f>
        <v>0</v>
      </c>
      <c r="H258" s="900">
        <f ca="1">'BIS Doc'!G119</f>
        <v>0.53608170906386565</v>
      </c>
      <c r="I258" s="901">
        <f ca="1">'BIS Doc'!H119</f>
        <v>0</v>
      </c>
      <c r="J258" s="901">
        <f ca="1">'BIS Doc'!I119</f>
        <v>0</v>
      </c>
      <c r="K258" s="1451" t="str">
        <f t="shared" ca="1" si="7"/>
        <v>IS 14650 CPS 10748/GR2</v>
      </c>
      <c r="L258" s="1451"/>
      <c r="M258" s="1451"/>
      <c r="N258" s="1451"/>
      <c r="O258" s="1451"/>
      <c r="P258" s="902"/>
      <c r="Q258" s="905"/>
      <c r="R258" s="1451"/>
      <c r="S258" s="1451"/>
      <c r="T258" s="904"/>
      <c r="U258" s="1450"/>
    </row>
    <row r="259" spans="1:21" ht="19.5" customHeight="1">
      <c r="A259" s="864"/>
      <c r="B259" s="894" t="str">
        <f>IF('BIS Doc'!AC121=130, "130 × 130", IF('BIS Doc'!AC121=160, "160 × 160", IF('BIS Doc'!AC121=110, "110 × 110", "Value not 130, 160, or 110")))</f>
        <v>Value not 130, 160, or 110</v>
      </c>
      <c r="C259" s="895">
        <f>'BIS Doc'!W121</f>
        <v>0</v>
      </c>
      <c r="D259" s="896"/>
      <c r="E259" s="897">
        <f>'BIS Doc'!AE121</f>
        <v>0</v>
      </c>
      <c r="F259" s="898">
        <f ca="1">'BIS Doc'!F121</f>
        <v>0</v>
      </c>
      <c r="G259" s="899">
        <f ca="1">'BIS Doc'!J121</f>
        <v>0</v>
      </c>
      <c r="H259" s="900">
        <f ca="1">'BIS Doc'!G121</f>
        <v>0.59435678208885556</v>
      </c>
      <c r="I259" s="901">
        <f ca="1">'BIS Doc'!H121</f>
        <v>0</v>
      </c>
      <c r="J259" s="901">
        <f ca="1">'BIS Doc'!I121</f>
        <v>0</v>
      </c>
      <c r="K259" s="1451" t="str">
        <f t="shared" ca="1" si="7"/>
        <v>IS 14650 CPS 10748/GR2</v>
      </c>
      <c r="L259" s="1451"/>
      <c r="M259" s="1451"/>
      <c r="N259" s="1451"/>
      <c r="O259" s="1451"/>
      <c r="P259" s="902"/>
      <c r="Q259" s="905"/>
      <c r="R259" s="1451"/>
      <c r="S259" s="1451"/>
      <c r="T259" s="904"/>
      <c r="U259" s="1450"/>
    </row>
    <row r="260" spans="1:21" ht="19.5" customHeight="1">
      <c r="A260" s="864"/>
      <c r="B260" s="894" t="str">
        <f>IF('BIS Doc'!AC123=130, "130 × 130", IF('BIS Doc'!AC123=160, "160 × 160", IF('BIS Doc'!AC123=110, "110 × 110", "Value not 130, 160, or 110")))</f>
        <v>Value not 130, 160, or 110</v>
      </c>
      <c r="C260" s="895">
        <f>'BIS Doc'!W123</f>
        <v>0</v>
      </c>
      <c r="D260" s="896"/>
      <c r="E260" s="897">
        <f>'BIS Doc'!AE123</f>
        <v>0</v>
      </c>
      <c r="F260" s="898">
        <f ca="1">'BIS Doc'!F123</f>
        <v>0</v>
      </c>
      <c r="G260" s="899">
        <f ca="1">'BIS Doc'!J123</f>
        <v>0</v>
      </c>
      <c r="H260" s="900">
        <f ca="1">'BIS Doc'!G123</f>
        <v>0.52718787659673993</v>
      </c>
      <c r="I260" s="901">
        <f ca="1">'BIS Doc'!H123</f>
        <v>0</v>
      </c>
      <c r="J260" s="901">
        <f ca="1">'BIS Doc'!I123</f>
        <v>0</v>
      </c>
      <c r="K260" s="1451" t="str">
        <f t="shared" ca="1" si="7"/>
        <v>IS 14650 CPS 10748/GR2</v>
      </c>
      <c r="L260" s="1451"/>
      <c r="M260" s="1451"/>
      <c r="N260" s="1451"/>
      <c r="O260" s="1451"/>
      <c r="P260" s="902"/>
      <c r="Q260" s="905"/>
      <c r="R260" s="1451"/>
      <c r="S260" s="1451"/>
      <c r="T260" s="904"/>
      <c r="U260" s="1450"/>
    </row>
    <row r="261" spans="1:21" ht="19.5" customHeight="1">
      <c r="A261" s="864"/>
      <c r="B261" s="894" t="str">
        <f>IF('BIS Doc'!AC125=130, "130 × 130", IF('BIS Doc'!AC125=160, "160 × 160", IF('BIS Doc'!AC125=110, "110 × 110", "Value not 130, 160, or 110")))</f>
        <v>Value not 130, 160, or 110</v>
      </c>
      <c r="C261" s="895">
        <f>'BIS Doc'!W125</f>
        <v>0</v>
      </c>
      <c r="D261" s="896"/>
      <c r="E261" s="897">
        <f>'BIS Doc'!AE125</f>
        <v>0</v>
      </c>
      <c r="F261" s="898">
        <f ca="1">'BIS Doc'!F125</f>
        <v>0</v>
      </c>
      <c r="G261" s="899">
        <f ca="1">'BIS Doc'!J125</f>
        <v>0</v>
      </c>
      <c r="H261" s="900">
        <f ca="1">'BIS Doc'!G125</f>
        <v>0.59642549336857975</v>
      </c>
      <c r="I261" s="901">
        <f ca="1">'BIS Doc'!H125</f>
        <v>0</v>
      </c>
      <c r="J261" s="901">
        <f ca="1">'BIS Doc'!I125</f>
        <v>0</v>
      </c>
      <c r="K261" s="1451" t="str">
        <f t="shared" ca="1" si="7"/>
        <v>IS 14650 CPS 10748/GR2</v>
      </c>
      <c r="L261" s="1451"/>
      <c r="M261" s="1451"/>
      <c r="N261" s="1451"/>
      <c r="O261" s="1451"/>
      <c r="P261" s="902"/>
      <c r="Q261" s="903"/>
      <c r="R261" s="1451"/>
      <c r="S261" s="1451"/>
      <c r="T261" s="904"/>
      <c r="U261" s="1450"/>
    </row>
    <row r="262" spans="1:21" ht="19.5" customHeight="1">
      <c r="A262" s="864"/>
      <c r="B262" s="904"/>
      <c r="C262" s="895"/>
      <c r="D262" s="896"/>
      <c r="E262" s="897"/>
      <c r="F262" s="906"/>
      <c r="G262" s="907"/>
      <c r="H262" s="908"/>
      <c r="I262" s="909"/>
      <c r="J262" s="909"/>
      <c r="K262" s="1451"/>
      <c r="L262" s="1451"/>
      <c r="M262" s="1451"/>
      <c r="N262" s="1451"/>
      <c r="O262" s="1451"/>
      <c r="P262" s="902"/>
      <c r="Q262" s="903"/>
      <c r="R262" s="1451"/>
      <c r="S262" s="1451"/>
      <c r="T262" s="904"/>
      <c r="U262" s="1450"/>
    </row>
    <row r="263" spans="1:21" ht="19.5" customHeight="1">
      <c r="A263" s="864"/>
      <c r="B263" s="904"/>
      <c r="C263" s="895"/>
      <c r="D263" s="896"/>
      <c r="E263" s="897"/>
      <c r="F263" s="906"/>
      <c r="G263" s="907"/>
      <c r="H263" s="908"/>
      <c r="I263" s="909"/>
      <c r="J263" s="909"/>
      <c r="K263" s="1451"/>
      <c r="L263" s="1451"/>
      <c r="M263" s="1451"/>
      <c r="N263" s="1451"/>
      <c r="O263" s="1451"/>
      <c r="P263" s="902"/>
      <c r="Q263" s="905"/>
      <c r="R263" s="1451"/>
      <c r="S263" s="1451"/>
      <c r="T263" s="904"/>
      <c r="U263" s="1450"/>
    </row>
    <row r="264" spans="1:21" ht="19.5" customHeight="1">
      <c r="A264" s="864"/>
      <c r="B264" s="910"/>
      <c r="C264" s="911"/>
      <c r="D264" s="896"/>
      <c r="E264" s="897"/>
      <c r="F264" s="906"/>
      <c r="G264" s="907"/>
      <c r="H264" s="908"/>
      <c r="I264" s="909"/>
      <c r="J264" s="909"/>
      <c r="K264" s="1451"/>
      <c r="L264" s="1451"/>
      <c r="M264" s="1451"/>
      <c r="N264" s="1451"/>
      <c r="O264" s="1451"/>
      <c r="P264" s="912"/>
      <c r="Q264" s="913"/>
      <c r="R264" s="1452"/>
      <c r="S264" s="1452"/>
      <c r="T264" s="910"/>
      <c r="U264" s="1450"/>
    </row>
    <row r="265" spans="1:21" ht="19.5" customHeight="1">
      <c r="A265" s="914"/>
      <c r="B265" s="915"/>
      <c r="C265" s="916"/>
      <c r="D265" s="917"/>
      <c r="E265" s="918">
        <f>SUM(E256:E261)</f>
        <v>0</v>
      </c>
      <c r="F265" s="919"/>
      <c r="G265" s="920"/>
      <c r="H265" s="921"/>
      <c r="I265" s="922"/>
      <c r="J265" s="922"/>
      <c r="K265" s="1453"/>
      <c r="L265" s="1453"/>
      <c r="M265" s="1453"/>
      <c r="N265" s="1453"/>
      <c r="O265" s="1453"/>
      <c r="P265" s="923"/>
      <c r="Q265" s="924"/>
      <c r="R265" s="1454"/>
      <c r="S265" s="1454"/>
      <c r="T265" s="915"/>
      <c r="U265" s="1450"/>
    </row>
    <row r="266" spans="1:21" ht="15.75" customHeight="1">
      <c r="A266" s="864"/>
      <c r="B266" s="773"/>
      <c r="C266" s="773"/>
      <c r="D266" s="925"/>
      <c r="E266" s="926"/>
      <c r="F266" s="927"/>
      <c r="G266" s="928"/>
      <c r="H266" s="259"/>
      <c r="I266" s="259"/>
      <c r="J266" s="928"/>
      <c r="K266" s="929"/>
      <c r="L266" s="929"/>
      <c r="M266" s="929"/>
      <c r="N266" s="929"/>
      <c r="O266" s="928"/>
      <c r="P266" s="930"/>
      <c r="Q266" s="931"/>
      <c r="R266" s="931"/>
      <c r="U266" s="932"/>
    </row>
    <row r="267" spans="1:21" ht="18.75" customHeight="1">
      <c r="A267" s="864"/>
      <c r="B267" s="773"/>
      <c r="C267" s="773"/>
      <c r="D267" s="773"/>
      <c r="E267" s="773"/>
      <c r="F267" s="773"/>
      <c r="G267" s="773"/>
      <c r="H267" s="773"/>
      <c r="I267" s="773"/>
      <c r="J267" s="773"/>
      <c r="K267" s="773"/>
      <c r="P267" s="1446" t="s">
        <v>804</v>
      </c>
      <c r="Q267" s="1446"/>
      <c r="R267" s="1446"/>
      <c r="S267" s="1446"/>
      <c r="T267" s="1446"/>
      <c r="U267" s="1446"/>
    </row>
    <row r="268" spans="1:21" ht="18.75" customHeight="1">
      <c r="A268" s="1447" t="s">
        <v>805</v>
      </c>
      <c r="B268" s="1447"/>
      <c r="C268" s="933"/>
      <c r="D268" s="933"/>
      <c r="E268" s="933"/>
      <c r="F268" s="933"/>
      <c r="P268" s="855"/>
      <c r="Q268" s="855"/>
      <c r="R268" s="855"/>
      <c r="S268" s="855"/>
      <c r="T268" s="855"/>
      <c r="U268" s="934"/>
    </row>
    <row r="269" spans="1:21" ht="18.75" customHeight="1">
      <c r="A269" s="854"/>
      <c r="B269" s="855"/>
      <c r="P269" s="855"/>
      <c r="Q269" s="855"/>
      <c r="R269" s="855"/>
      <c r="S269" s="855"/>
      <c r="T269" s="855"/>
      <c r="U269" s="934"/>
    </row>
    <row r="270" spans="1:21" ht="18.75" customHeight="1">
      <c r="A270" s="854" t="s">
        <v>806</v>
      </c>
      <c r="B270" s="855"/>
      <c r="C270" s="867"/>
      <c r="D270" s="941"/>
      <c r="E270" s="933"/>
      <c r="F270" s="933"/>
      <c r="P270" s="855"/>
      <c r="Q270" s="855"/>
      <c r="R270" s="855"/>
      <c r="S270" s="855"/>
      <c r="T270" s="855"/>
      <c r="U270" s="934"/>
    </row>
    <row r="271" spans="1:21" ht="18.75" customHeight="1">
      <c r="A271" s="854"/>
      <c r="B271" s="855"/>
      <c r="C271" s="937"/>
      <c r="P271" s="855"/>
      <c r="Q271" s="855"/>
      <c r="R271" s="855"/>
      <c r="S271" s="855"/>
      <c r="T271" s="855"/>
      <c r="U271" s="934"/>
    </row>
    <row r="272" spans="1:21" ht="19.5" customHeight="1">
      <c r="A272" s="938"/>
      <c r="B272" s="939"/>
      <c r="C272" s="940"/>
      <c r="D272" s="453"/>
      <c r="E272" s="453"/>
      <c r="F272" s="453"/>
      <c r="G272" s="453"/>
      <c r="H272" s="453"/>
      <c r="I272" s="453"/>
      <c r="J272" s="453"/>
      <c r="K272" s="453"/>
      <c r="L272" s="453"/>
      <c r="M272" s="453"/>
      <c r="N272" s="453"/>
      <c r="O272" s="453"/>
      <c r="P272" s="1448" t="s">
        <v>807</v>
      </c>
      <c r="Q272" s="1448"/>
      <c r="R272" s="1448"/>
      <c r="S272" s="1448"/>
      <c r="T272" s="1448"/>
      <c r="U272" s="1448"/>
    </row>
    <row r="273" spans="1:21" ht="45.75" customHeight="1">
      <c r="A273" s="1455"/>
      <c r="B273" s="1455"/>
      <c r="C273" s="1455"/>
      <c r="D273" s="847"/>
      <c r="E273" s="1456" t="s">
        <v>774</v>
      </c>
      <c r="F273" s="1456"/>
      <c r="G273" s="1456"/>
      <c r="H273" s="1456"/>
      <c r="I273" s="1456"/>
      <c r="J273" s="1456"/>
      <c r="K273" s="1456"/>
      <c r="L273" s="1456"/>
      <c r="M273" s="1456"/>
      <c r="N273" s="1456"/>
      <c r="O273" s="1456"/>
      <c r="P273" s="1456"/>
      <c r="Q273" s="1456"/>
      <c r="R273" s="1456"/>
      <c r="S273" s="848"/>
      <c r="T273" s="1457" t="s">
        <v>775</v>
      </c>
      <c r="U273" s="1457"/>
    </row>
    <row r="274" spans="1:21" ht="18.75" customHeight="1">
      <c r="A274" s="849"/>
      <c r="E274" s="1458" t="s">
        <v>776</v>
      </c>
      <c r="F274" s="1458"/>
      <c r="G274" s="1458"/>
      <c r="H274" s="1458"/>
      <c r="I274" s="1458"/>
      <c r="J274" s="1458"/>
      <c r="K274" s="1458"/>
      <c r="L274" s="1458"/>
      <c r="M274" s="1458"/>
      <c r="N274" s="1458"/>
      <c r="O274" s="1458"/>
      <c r="P274" s="1458"/>
      <c r="Q274" s="1458"/>
      <c r="R274" s="1458"/>
      <c r="U274" s="456"/>
    </row>
    <row r="275" spans="1:21" ht="18.75" customHeight="1">
      <c r="A275" s="850"/>
      <c r="F275" s="587"/>
      <c r="G275" s="587"/>
      <c r="H275" s="587"/>
      <c r="I275" s="587"/>
      <c r="J275" s="587"/>
      <c r="K275" s="587"/>
      <c r="L275" s="587"/>
      <c r="M275" s="851"/>
      <c r="N275" s="852"/>
      <c r="O275" s="851"/>
      <c r="P275" s="1459" t="s">
        <v>777</v>
      </c>
      <c r="Q275" s="1459"/>
      <c r="R275" s="1459"/>
      <c r="S275" s="1459"/>
      <c r="T275" s="1459"/>
      <c r="U275" s="1459"/>
    </row>
    <row r="276" spans="1:21" ht="15" customHeight="1">
      <c r="A276" s="849"/>
      <c r="E276" s="1287" t="s">
        <v>778</v>
      </c>
      <c r="F276" s="1287"/>
      <c r="G276" s="1287"/>
      <c r="H276" s="1287"/>
      <c r="I276" s="1287"/>
      <c r="J276" s="1287"/>
      <c r="K276" s="1287"/>
      <c r="L276" s="1287"/>
      <c r="M276" s="1287"/>
      <c r="N276" s="1287"/>
      <c r="O276" s="1287"/>
      <c r="P276" s="1287"/>
      <c r="Q276" s="1287"/>
      <c r="R276" s="1287"/>
      <c r="U276" s="456"/>
    </row>
    <row r="277" spans="1:21" ht="18.75" customHeight="1">
      <c r="A277" s="849"/>
      <c r="E277" s="1286" t="s">
        <v>779</v>
      </c>
      <c r="F277" s="1286"/>
      <c r="G277" s="1286"/>
      <c r="H277" s="1286"/>
      <c r="I277" s="1286"/>
      <c r="J277" s="1286"/>
      <c r="K277" s="1286"/>
      <c r="L277" s="1286"/>
      <c r="M277" s="1286"/>
      <c r="N277" s="1286"/>
      <c r="O277" s="1286"/>
      <c r="P277" s="1286"/>
      <c r="Q277" s="1286"/>
      <c r="R277" s="1286"/>
      <c r="U277" s="853"/>
    </row>
    <row r="278" spans="1:21" ht="23.25" customHeight="1">
      <c r="A278" s="854" t="s">
        <v>780</v>
      </c>
      <c r="B278" s="855"/>
      <c r="C278" s="855"/>
      <c r="D278" s="856" t="s">
        <v>832</v>
      </c>
      <c r="E278" s="857"/>
      <c r="F278" s="858"/>
      <c r="G278" s="859"/>
      <c r="H278" s="859"/>
      <c r="I278" s="859"/>
      <c r="J278" s="859"/>
      <c r="K278" s="859"/>
      <c r="L278" s="860"/>
      <c r="M278" s="1460"/>
      <c r="N278" s="1460"/>
      <c r="O278" s="1460"/>
      <c r="P278" s="1461" t="s">
        <v>781</v>
      </c>
      <c r="Q278" s="1461"/>
      <c r="R278" s="1461"/>
      <c r="S278" s="855"/>
      <c r="T278" s="861">
        <v>46300</v>
      </c>
      <c r="U278" s="456"/>
    </row>
    <row r="279" spans="1:21" ht="23.25" customHeight="1">
      <c r="A279" s="854"/>
      <c r="B279" s="862"/>
      <c r="C279" s="862"/>
      <c r="D279" s="862"/>
      <c r="E279" s="163"/>
      <c r="F279" s="863"/>
      <c r="G279" s="863"/>
      <c r="H279" s="863"/>
      <c r="I279" s="863"/>
      <c r="J279" s="863"/>
      <c r="K279" s="863"/>
      <c r="U279" s="456"/>
    </row>
    <row r="280" spans="1:21" ht="21" customHeight="1">
      <c r="A280" s="864" t="s">
        <v>782</v>
      </c>
      <c r="B280" s="865"/>
      <c r="C280" s="866"/>
      <c r="D280" s="867"/>
      <c r="E280" s="868"/>
      <c r="F280" s="869"/>
      <c r="G280" s="869"/>
      <c r="H280" s="869"/>
      <c r="I280" s="870"/>
      <c r="J280" s="870"/>
      <c r="P280" s="1462"/>
      <c r="Q280" s="1462"/>
      <c r="R280" s="1462"/>
      <c r="S280" s="1462"/>
      <c r="T280" s="871"/>
      <c r="U280" s="456"/>
    </row>
    <row r="281" spans="1:21" ht="21" customHeight="1">
      <c r="A281" s="872"/>
      <c r="B281" s="873"/>
      <c r="C281" s="869"/>
      <c r="D281" s="869"/>
      <c r="E281" s="869"/>
      <c r="F281" s="869"/>
      <c r="G281" s="869"/>
      <c r="H281" s="869"/>
      <c r="I281" s="870"/>
      <c r="J281" s="870"/>
      <c r="U281" s="456"/>
    </row>
    <row r="282" spans="1:21" ht="15" customHeight="1">
      <c r="A282" s="1463" t="s">
        <v>783</v>
      </c>
      <c r="B282" s="1463"/>
      <c r="C282" s="1463"/>
      <c r="D282" s="1463"/>
      <c r="E282" s="1463"/>
      <c r="F282" s="1463"/>
      <c r="G282" s="1463"/>
      <c r="H282" s="1463"/>
      <c r="I282" s="1463"/>
      <c r="J282" s="1463"/>
      <c r="K282" s="1463"/>
      <c r="L282" s="1463"/>
      <c r="M282" s="1463"/>
      <c r="N282" s="1463"/>
      <c r="O282" s="1463"/>
      <c r="P282" s="1463"/>
      <c r="Q282" s="1463"/>
      <c r="R282" s="1463"/>
      <c r="S282" s="1463"/>
      <c r="T282" s="1463"/>
      <c r="U282" s="1463"/>
    </row>
    <row r="283" spans="1:21" ht="15" customHeight="1">
      <c r="A283" s="1463"/>
      <c r="B283" s="1463"/>
      <c r="C283" s="1463"/>
      <c r="D283" s="1463"/>
      <c r="E283" s="1463"/>
      <c r="F283" s="1463"/>
      <c r="G283" s="1463"/>
      <c r="H283" s="1463"/>
      <c r="I283" s="1463"/>
      <c r="J283" s="1463"/>
      <c r="K283" s="1463"/>
      <c r="L283" s="1463"/>
      <c r="M283" s="1463"/>
      <c r="N283" s="1463"/>
      <c r="O283" s="1463"/>
      <c r="P283" s="1463"/>
      <c r="Q283" s="1463"/>
      <c r="R283" s="1463"/>
      <c r="S283" s="1463"/>
      <c r="T283" s="1463"/>
      <c r="U283" s="1463"/>
    </row>
    <row r="284" spans="1:21" ht="18" customHeight="1">
      <c r="A284" s="1464" t="s">
        <v>784</v>
      </c>
      <c r="B284" s="1464"/>
      <c r="C284" s="1464"/>
      <c r="D284" s="1464"/>
      <c r="E284" s="1464"/>
      <c r="F284" s="1464"/>
      <c r="G284" s="1464"/>
      <c r="H284" s="1464"/>
      <c r="I284" s="1464"/>
      <c r="J284" s="1464"/>
      <c r="K284" s="1464"/>
      <c r="L284" s="1464"/>
      <c r="M284" s="1464"/>
      <c r="N284" s="1464"/>
      <c r="O284" s="1464"/>
      <c r="P284" s="1464"/>
      <c r="Q284" s="1464"/>
      <c r="R284" s="1464"/>
      <c r="S284" s="1464"/>
      <c r="T284" s="1464"/>
      <c r="U284" s="1464"/>
    </row>
    <row r="285" spans="1:21" ht="23.25" customHeight="1">
      <c r="A285" s="1465" t="s">
        <v>785</v>
      </c>
      <c r="B285" s="1465"/>
      <c r="C285" s="1465"/>
      <c r="D285" s="1465"/>
      <c r="E285" s="1465"/>
      <c r="F285" s="1465"/>
      <c r="G285" s="1465"/>
      <c r="H285" s="1465"/>
      <c r="I285" s="1465"/>
      <c r="J285" s="1465"/>
      <c r="K285" s="1465"/>
      <c r="L285" s="1465"/>
      <c r="M285" s="1465"/>
      <c r="N285" s="1465"/>
      <c r="O285" s="1465"/>
      <c r="P285" s="1465"/>
      <c r="Q285" s="1465"/>
      <c r="R285" s="1465"/>
      <c r="S285" s="1465"/>
      <c r="T285" s="1465"/>
      <c r="U285" s="1465"/>
    </row>
    <row r="286" spans="1:21" ht="21.75" customHeight="1">
      <c r="A286" s="874"/>
      <c r="B286" s="875"/>
      <c r="C286" s="875"/>
      <c r="D286" s="875"/>
      <c r="E286" s="875"/>
      <c r="F286" s="875"/>
      <c r="G286" s="875"/>
      <c r="H286" s="875"/>
      <c r="I286" s="875"/>
      <c r="J286" s="875"/>
      <c r="K286" s="875"/>
      <c r="L286" s="875"/>
      <c r="M286" s="875"/>
      <c r="N286" s="875"/>
      <c r="O286" s="875"/>
      <c r="P286" s="875"/>
      <c r="Q286" s="875"/>
      <c r="R286" s="875"/>
      <c r="S286" s="875"/>
      <c r="T286" s="875"/>
      <c r="U286" s="876"/>
    </row>
    <row r="287" spans="1:21" ht="15" customHeight="1">
      <c r="A287" s="1466" t="s">
        <v>786</v>
      </c>
      <c r="B287" s="1467" t="s">
        <v>787</v>
      </c>
      <c r="C287" s="1468" t="s">
        <v>788</v>
      </c>
      <c r="D287" s="1468" t="s">
        <v>789</v>
      </c>
      <c r="E287" s="1469" t="s">
        <v>790</v>
      </c>
      <c r="F287" s="1468" t="s">
        <v>791</v>
      </c>
      <c r="G287" s="1468"/>
      <c r="H287" s="1468"/>
      <c r="I287" s="1468"/>
      <c r="J287" s="1468"/>
      <c r="K287" s="1468"/>
      <c r="L287" s="1468"/>
      <c r="M287" s="1468"/>
      <c r="N287" s="1468"/>
      <c r="O287" s="1468"/>
      <c r="P287" s="1470"/>
      <c r="Q287" s="1470"/>
      <c r="R287" s="1470"/>
      <c r="S287" s="1470"/>
      <c r="T287" s="1470"/>
      <c r="U287" s="1470"/>
    </row>
    <row r="288" spans="1:21" ht="15.75" customHeight="1">
      <c r="A288" s="1466"/>
      <c r="B288" s="1467"/>
      <c r="C288" s="1468"/>
      <c r="D288" s="1468"/>
      <c r="E288" s="1469"/>
      <c r="F288" s="1468"/>
      <c r="G288" s="1468"/>
      <c r="H288" s="1468"/>
      <c r="I288" s="1468"/>
      <c r="J288" s="1468"/>
      <c r="K288" s="1468"/>
      <c r="L288" s="1468"/>
      <c r="M288" s="1468"/>
      <c r="N288" s="1468"/>
      <c r="O288" s="1468"/>
      <c r="P288" s="1470"/>
      <c r="Q288" s="1470"/>
      <c r="R288" s="1470"/>
      <c r="S288" s="1470"/>
      <c r="T288" s="1470"/>
      <c r="U288" s="1470"/>
    </row>
    <row r="289" spans="1:21" ht="48" customHeight="1">
      <c r="A289" s="1466"/>
      <c r="B289" s="1467"/>
      <c r="C289" s="1468"/>
      <c r="D289" s="1468"/>
      <c r="E289" s="1469"/>
      <c r="F289" s="878" t="s">
        <v>792</v>
      </c>
      <c r="G289" s="877" t="s">
        <v>793</v>
      </c>
      <c r="H289" s="878" t="s">
        <v>794</v>
      </c>
      <c r="I289" s="879" t="s">
        <v>795</v>
      </c>
      <c r="J289" s="880" t="s">
        <v>796</v>
      </c>
      <c r="K289" s="1468" t="s">
        <v>797</v>
      </c>
      <c r="L289" s="1468"/>
      <c r="M289" s="1468"/>
      <c r="N289" s="1468"/>
      <c r="O289" s="1468"/>
      <c r="P289" s="881" t="s">
        <v>798</v>
      </c>
      <c r="Q289" s="882" t="s">
        <v>799</v>
      </c>
      <c r="R289" s="1469" t="s">
        <v>800</v>
      </c>
      <c r="S289" s="1469"/>
      <c r="T289" s="877" t="s">
        <v>801</v>
      </c>
      <c r="U289" s="879" t="s">
        <v>104</v>
      </c>
    </row>
    <row r="290" spans="1:21" ht="19.5" customHeight="1">
      <c r="A290" s="883"/>
      <c r="B290" s="884" t="str">
        <f>IF('BIS Doc'!AC135=130, "130 × 130", IF('BIS Doc'!AC135=160, "160 × 160", IF('BIS Doc'!AC135=110, "110 × 110", "Value not 130, 160, or 110")))</f>
        <v>Value not 130, 160, or 110</v>
      </c>
      <c r="C290" s="885">
        <f>'BIS Doc'!W135</f>
        <v>0</v>
      </c>
      <c r="D290" s="886"/>
      <c r="E290" s="887">
        <f>'BIS Doc'!AE135</f>
        <v>0</v>
      </c>
      <c r="F290" s="888">
        <f ca="1">'BIS Doc'!F135</f>
        <v>0</v>
      </c>
      <c r="G290" s="888">
        <f ca="1">'BIS Doc'!J135</f>
        <v>0</v>
      </c>
      <c r="H290" s="888">
        <f ca="1">'BIS Doc'!G135</f>
        <v>0.52140032515481949</v>
      </c>
      <c r="I290" s="889">
        <f ca="1">'BIS Doc'!H135</f>
        <v>0</v>
      </c>
      <c r="J290" s="889">
        <f ca="1">'BIS Doc'!I135</f>
        <v>0</v>
      </c>
      <c r="K290" s="1449" t="str">
        <f t="shared" ref="K290:K295" ca="1" si="8">IF(H290&lt;0.6, "IS 14650 CPS 10748/GR2", "IS 14650 CPS 10748/GR3")</f>
        <v>IS 14650 CPS 10748/GR2</v>
      </c>
      <c r="L290" s="1449"/>
      <c r="M290" s="1449"/>
      <c r="N290" s="1449"/>
      <c r="O290" s="1449"/>
      <c r="P290" s="890"/>
      <c r="Q290" s="891"/>
      <c r="R290" s="1449"/>
      <c r="S290" s="1449"/>
      <c r="T290" s="892"/>
      <c r="U290" s="1450" t="s">
        <v>802</v>
      </c>
    </row>
    <row r="291" spans="1:21" ht="19.5" customHeight="1">
      <c r="A291" s="893"/>
      <c r="B291" s="894" t="str">
        <f>IF('BIS Doc'!AC137=130, "130 × 130", IF('BIS Doc'!AC137=160, "160 × 160", IF('BIS Doc'!AC137=110, "110 × 110", "Value not 130, 160, or 110")))</f>
        <v>Value not 130, 160, or 110</v>
      </c>
      <c r="C291" s="895">
        <f>'BIS Doc'!W137</f>
        <v>0</v>
      </c>
      <c r="D291" s="896"/>
      <c r="E291" s="897">
        <f>'BIS Doc'!AE137</f>
        <v>0</v>
      </c>
      <c r="F291" s="898">
        <f ca="1">'BIS Doc'!F137</f>
        <v>0</v>
      </c>
      <c r="G291" s="899">
        <f ca="1">'BIS Doc'!J137</f>
        <v>0</v>
      </c>
      <c r="H291" s="900">
        <f ca="1">'BIS Doc'!G137</f>
        <v>0.59163449969841675</v>
      </c>
      <c r="I291" s="901">
        <f ca="1">'BIS Doc'!H137</f>
        <v>0</v>
      </c>
      <c r="J291" s="901">
        <f ca="1">'BIS Doc'!I137</f>
        <v>0</v>
      </c>
      <c r="K291" s="1451" t="str">
        <f t="shared" ca="1" si="8"/>
        <v>IS 14650 CPS 10748/GR2</v>
      </c>
      <c r="L291" s="1451"/>
      <c r="M291" s="1451"/>
      <c r="N291" s="1451"/>
      <c r="O291" s="1451"/>
      <c r="P291" s="902"/>
      <c r="Q291" s="903"/>
      <c r="R291" s="1451"/>
      <c r="S291" s="1451"/>
      <c r="T291" s="904"/>
      <c r="U291" s="1450"/>
    </row>
    <row r="292" spans="1:21" ht="19.5" customHeight="1">
      <c r="A292" s="864"/>
      <c r="B292" s="894" t="str">
        <f>IF('BIS Doc'!AC139=130, "130 × 130", IF('BIS Doc'!AC139=160, "160 × 160", IF('BIS Doc'!AC139=110, "110 × 110", "Value not 130, 160, or 110")))</f>
        <v>Value not 130, 160, or 110</v>
      </c>
      <c r="C292" s="895">
        <f>'BIS Doc'!W139</f>
        <v>0</v>
      </c>
      <c r="D292" s="896" t="s">
        <v>803</v>
      </c>
      <c r="E292" s="897">
        <f>'BIS Doc'!AE139</f>
        <v>0</v>
      </c>
      <c r="F292" s="898">
        <f ca="1">'BIS Doc'!F139</f>
        <v>0</v>
      </c>
      <c r="G292" s="899">
        <f ca="1">'BIS Doc'!J139</f>
        <v>0</v>
      </c>
      <c r="H292" s="900">
        <f ca="1">'BIS Doc'!G139</f>
        <v>0.5879355880813435</v>
      </c>
      <c r="I292" s="901">
        <f ca="1">'BIS Doc'!H139</f>
        <v>0</v>
      </c>
      <c r="J292" s="901">
        <f ca="1">'BIS Doc'!I139</f>
        <v>0</v>
      </c>
      <c r="K292" s="1451" t="str">
        <f t="shared" ca="1" si="8"/>
        <v>IS 14650 CPS 10748/GR2</v>
      </c>
      <c r="L292" s="1451"/>
      <c r="M292" s="1451"/>
      <c r="N292" s="1451"/>
      <c r="O292" s="1451"/>
      <c r="P292" s="902"/>
      <c r="Q292" s="905"/>
      <c r="R292" s="1451"/>
      <c r="S292" s="1451"/>
      <c r="T292" s="904"/>
      <c r="U292" s="1450"/>
    </row>
    <row r="293" spans="1:21" ht="19.5" customHeight="1">
      <c r="A293" s="864"/>
      <c r="B293" s="894" t="str">
        <f>IF('BIS Doc'!AC141=130, "130 × 130", IF('BIS Doc'!AC141=160, "160 × 160", IF('BIS Doc'!AC141=110, "110 × 110", "Value not 130, 160, or 110")))</f>
        <v>Value not 130, 160, or 110</v>
      </c>
      <c r="C293" s="895">
        <f>'BIS Doc'!W141</f>
        <v>0</v>
      </c>
      <c r="D293" s="896"/>
      <c r="E293" s="897">
        <f>'BIS Doc'!AE141</f>
        <v>0</v>
      </c>
      <c r="F293" s="898">
        <f ca="1">'BIS Doc'!F141</f>
        <v>0</v>
      </c>
      <c r="G293" s="899">
        <f ca="1">'BIS Doc'!J141</f>
        <v>0</v>
      </c>
      <c r="H293" s="900">
        <f ca="1">'BIS Doc'!G141</f>
        <v>0.5228738755335397</v>
      </c>
      <c r="I293" s="901">
        <f ca="1">'BIS Doc'!H141</f>
        <v>0</v>
      </c>
      <c r="J293" s="901">
        <f ca="1">'BIS Doc'!I141</f>
        <v>0</v>
      </c>
      <c r="K293" s="1451" t="str">
        <f t="shared" ca="1" si="8"/>
        <v>IS 14650 CPS 10748/GR2</v>
      </c>
      <c r="L293" s="1451"/>
      <c r="M293" s="1451"/>
      <c r="N293" s="1451"/>
      <c r="O293" s="1451"/>
      <c r="P293" s="902"/>
      <c r="Q293" s="905"/>
      <c r="R293" s="1451"/>
      <c r="S293" s="1451"/>
      <c r="T293" s="904"/>
      <c r="U293" s="1450"/>
    </row>
    <row r="294" spans="1:21" ht="19.5" customHeight="1">
      <c r="A294" s="864"/>
      <c r="B294" s="894" t="str">
        <f>IF('BIS Doc'!AC143=130, "130 × 130", IF('BIS Doc'!AC143=160, "160 × 160", IF('BIS Doc'!AC143=110, "110 × 110", "Value not 130, 160, or 110")))</f>
        <v>Value not 130, 160, or 110</v>
      </c>
      <c r="C294" s="895">
        <f>'BIS Doc'!W143</f>
        <v>0</v>
      </c>
      <c r="D294" s="896"/>
      <c r="E294" s="897">
        <f>'BIS Doc'!AE143</f>
        <v>0</v>
      </c>
      <c r="F294" s="898">
        <f ca="1">'BIS Doc'!F143</f>
        <v>0</v>
      </c>
      <c r="G294" s="899">
        <f ca="1">'BIS Doc'!J143</f>
        <v>0</v>
      </c>
      <c r="H294" s="900">
        <f ca="1">'BIS Doc'!G143</f>
        <v>0.50965742242759793</v>
      </c>
      <c r="I294" s="901">
        <f ca="1">'BIS Doc'!H143</f>
        <v>0</v>
      </c>
      <c r="J294" s="901">
        <f ca="1">'BIS Doc'!I143</f>
        <v>0</v>
      </c>
      <c r="K294" s="1451" t="str">
        <f t="shared" ca="1" si="8"/>
        <v>IS 14650 CPS 10748/GR2</v>
      </c>
      <c r="L294" s="1451"/>
      <c r="M294" s="1451"/>
      <c r="N294" s="1451"/>
      <c r="O294" s="1451"/>
      <c r="P294" s="902"/>
      <c r="Q294" s="905"/>
      <c r="R294" s="1451"/>
      <c r="S294" s="1451"/>
      <c r="T294" s="904"/>
      <c r="U294" s="1450"/>
    </row>
    <row r="295" spans="1:21" ht="19.5" customHeight="1">
      <c r="A295" s="864"/>
      <c r="B295" s="894" t="str">
        <f>IF('BIS Doc'!AC145=130, "130 × 130", IF('BIS Doc'!AC145=160, "160 × 160", IF('BIS Doc'!AC145=110, "110 × 110", "Value not 130, 160, or 110")))</f>
        <v>Value not 130, 160, or 110</v>
      </c>
      <c r="C295" s="895">
        <f>'BIS Doc'!W145</f>
        <v>0</v>
      </c>
      <c r="D295" s="896"/>
      <c r="E295" s="897">
        <f>'BIS Doc'!AE145</f>
        <v>0</v>
      </c>
      <c r="F295" s="898">
        <f ca="1">'BIS Doc'!F145</f>
        <v>0</v>
      </c>
      <c r="G295" s="899">
        <f ca="1">'BIS Doc'!J145</f>
        <v>0</v>
      </c>
      <c r="H295" s="900">
        <f ca="1">'BIS Doc'!G145</f>
        <v>0.57267779350534165</v>
      </c>
      <c r="I295" s="901">
        <f ca="1">'BIS Doc'!H145</f>
        <v>0</v>
      </c>
      <c r="J295" s="901">
        <f ca="1">'BIS Doc'!I145</f>
        <v>0</v>
      </c>
      <c r="K295" s="1451" t="str">
        <f t="shared" ca="1" si="8"/>
        <v>IS 14650 CPS 10748/GR2</v>
      </c>
      <c r="L295" s="1451"/>
      <c r="M295" s="1451"/>
      <c r="N295" s="1451"/>
      <c r="O295" s="1451"/>
      <c r="P295" s="902"/>
      <c r="Q295" s="903"/>
      <c r="R295" s="1451"/>
      <c r="S295" s="1451"/>
      <c r="T295" s="904"/>
      <c r="U295" s="1450"/>
    </row>
    <row r="296" spans="1:21" ht="19.5" customHeight="1">
      <c r="A296" s="864"/>
      <c r="B296" s="904"/>
      <c r="C296" s="895"/>
      <c r="D296" s="896"/>
      <c r="E296" s="897"/>
      <c r="F296" s="906"/>
      <c r="G296" s="907"/>
      <c r="H296" s="908"/>
      <c r="I296" s="909"/>
      <c r="J296" s="909"/>
      <c r="K296" s="1451"/>
      <c r="L296" s="1451"/>
      <c r="M296" s="1451"/>
      <c r="N296" s="1451"/>
      <c r="O296" s="1451"/>
      <c r="P296" s="902"/>
      <c r="Q296" s="903"/>
      <c r="R296" s="1451"/>
      <c r="S296" s="1451"/>
      <c r="T296" s="904"/>
      <c r="U296" s="1450"/>
    </row>
    <row r="297" spans="1:21" ht="19.5" customHeight="1">
      <c r="A297" s="864"/>
      <c r="B297" s="904"/>
      <c r="C297" s="895"/>
      <c r="D297" s="896"/>
      <c r="E297" s="897"/>
      <c r="F297" s="906"/>
      <c r="G297" s="907"/>
      <c r="H297" s="908"/>
      <c r="I297" s="909"/>
      <c r="J297" s="909"/>
      <c r="K297" s="1451"/>
      <c r="L297" s="1451"/>
      <c r="M297" s="1451"/>
      <c r="N297" s="1451"/>
      <c r="O297" s="1451"/>
      <c r="P297" s="902"/>
      <c r="Q297" s="905"/>
      <c r="R297" s="1451"/>
      <c r="S297" s="1451"/>
      <c r="T297" s="904"/>
      <c r="U297" s="1450"/>
    </row>
    <row r="298" spans="1:21" ht="19.5" customHeight="1">
      <c r="A298" s="864"/>
      <c r="B298" s="910"/>
      <c r="C298" s="911"/>
      <c r="D298" s="896"/>
      <c r="E298" s="897"/>
      <c r="F298" s="906"/>
      <c r="G298" s="907"/>
      <c r="H298" s="908"/>
      <c r="I298" s="909"/>
      <c r="J298" s="909"/>
      <c r="K298" s="1451"/>
      <c r="L298" s="1451"/>
      <c r="M298" s="1451"/>
      <c r="N298" s="1451"/>
      <c r="O298" s="1451"/>
      <c r="P298" s="912"/>
      <c r="Q298" s="913"/>
      <c r="R298" s="1452"/>
      <c r="S298" s="1452"/>
      <c r="T298" s="910"/>
      <c r="U298" s="1450"/>
    </row>
    <row r="299" spans="1:21" ht="19.5" customHeight="1">
      <c r="A299" s="914"/>
      <c r="B299" s="915"/>
      <c r="C299" s="916"/>
      <c r="D299" s="917"/>
      <c r="E299" s="918">
        <f>SUM(E290:E295)</f>
        <v>0</v>
      </c>
      <c r="F299" s="919"/>
      <c r="G299" s="920"/>
      <c r="H299" s="921"/>
      <c r="I299" s="922"/>
      <c r="J299" s="922"/>
      <c r="K299" s="1453"/>
      <c r="L299" s="1453"/>
      <c r="M299" s="1453"/>
      <c r="N299" s="1453"/>
      <c r="O299" s="1453"/>
      <c r="P299" s="923"/>
      <c r="Q299" s="924"/>
      <c r="R299" s="1454"/>
      <c r="S299" s="1454"/>
      <c r="T299" s="915"/>
      <c r="U299" s="1450"/>
    </row>
    <row r="300" spans="1:21" ht="15.75" customHeight="1">
      <c r="A300" s="864"/>
      <c r="B300" s="773"/>
      <c r="C300" s="773"/>
      <c r="D300" s="925"/>
      <c r="E300" s="926"/>
      <c r="F300" s="927"/>
      <c r="G300" s="928"/>
      <c r="H300" s="259"/>
      <c r="I300" s="259"/>
      <c r="J300" s="928"/>
      <c r="K300" s="929"/>
      <c r="L300" s="929"/>
      <c r="M300" s="929"/>
      <c r="N300" s="929"/>
      <c r="O300" s="928"/>
      <c r="P300" s="930"/>
      <c r="Q300" s="931"/>
      <c r="R300" s="931"/>
      <c r="U300" s="932"/>
    </row>
    <row r="301" spans="1:21" ht="18.75" customHeight="1">
      <c r="A301" s="864"/>
      <c r="B301" s="773"/>
      <c r="C301" s="773"/>
      <c r="D301" s="773"/>
      <c r="E301" s="773"/>
      <c r="F301" s="773"/>
      <c r="G301" s="773"/>
      <c r="H301" s="773"/>
      <c r="I301" s="773"/>
      <c r="J301" s="773"/>
      <c r="K301" s="773"/>
      <c r="P301" s="1446" t="s">
        <v>804</v>
      </c>
      <c r="Q301" s="1446"/>
      <c r="R301" s="1446"/>
      <c r="S301" s="1446"/>
      <c r="T301" s="1446"/>
      <c r="U301" s="1446"/>
    </row>
    <row r="302" spans="1:21" ht="18.75" customHeight="1">
      <c r="A302" s="1447" t="s">
        <v>805</v>
      </c>
      <c r="B302" s="1447"/>
      <c r="C302" s="933"/>
      <c r="D302" s="933"/>
      <c r="E302" s="933"/>
      <c r="F302" s="933"/>
      <c r="P302" s="855"/>
      <c r="Q302" s="855"/>
      <c r="R302" s="855"/>
      <c r="S302" s="855"/>
      <c r="T302" s="855"/>
      <c r="U302" s="934"/>
    </row>
    <row r="303" spans="1:21" ht="18.75" customHeight="1">
      <c r="A303" s="854"/>
      <c r="B303" s="855"/>
      <c r="P303" s="855"/>
      <c r="Q303" s="855"/>
      <c r="R303" s="855"/>
      <c r="S303" s="855"/>
      <c r="T303" s="855"/>
      <c r="U303" s="934"/>
    </row>
    <row r="304" spans="1:21" ht="18.75" customHeight="1">
      <c r="A304" s="854" t="s">
        <v>806</v>
      </c>
      <c r="B304" s="855"/>
      <c r="C304" s="867"/>
      <c r="D304" s="941"/>
      <c r="E304" s="933"/>
      <c r="F304" s="933"/>
      <c r="P304" s="855"/>
      <c r="Q304" s="855"/>
      <c r="R304" s="855"/>
      <c r="S304" s="855"/>
      <c r="T304" s="855"/>
      <c r="U304" s="934"/>
    </row>
    <row r="305" spans="1:21" ht="18.75" customHeight="1">
      <c r="A305" s="854"/>
      <c r="B305" s="855"/>
      <c r="C305" s="937"/>
      <c r="P305" s="855"/>
      <c r="Q305" s="855"/>
      <c r="R305" s="855"/>
      <c r="S305" s="855"/>
      <c r="T305" s="855"/>
      <c r="U305" s="934"/>
    </row>
    <row r="306" spans="1:21" ht="19.5" customHeight="1">
      <c r="A306" s="938"/>
      <c r="B306" s="939"/>
      <c r="C306" s="940"/>
      <c r="D306" s="453"/>
      <c r="E306" s="453"/>
      <c r="F306" s="453"/>
      <c r="G306" s="453"/>
      <c r="H306" s="453"/>
      <c r="I306" s="453"/>
      <c r="J306" s="453"/>
      <c r="K306" s="453"/>
      <c r="L306" s="453"/>
      <c r="M306" s="453"/>
      <c r="N306" s="453"/>
      <c r="O306" s="453"/>
      <c r="P306" s="1448" t="s">
        <v>807</v>
      </c>
      <c r="Q306" s="1448"/>
      <c r="R306" s="1448"/>
      <c r="S306" s="1448"/>
      <c r="T306" s="1448"/>
      <c r="U306" s="1448"/>
    </row>
    <row r="307" spans="1:21" ht="45.75" customHeight="1">
      <c r="A307" s="1455"/>
      <c r="B307" s="1455"/>
      <c r="C307" s="1455"/>
      <c r="D307" s="847"/>
      <c r="E307" s="1456" t="s">
        <v>774</v>
      </c>
      <c r="F307" s="1456"/>
      <c r="G307" s="1456"/>
      <c r="H307" s="1456"/>
      <c r="I307" s="1456"/>
      <c r="J307" s="1456"/>
      <c r="K307" s="1456"/>
      <c r="L307" s="1456"/>
      <c r="M307" s="1456"/>
      <c r="N307" s="1456"/>
      <c r="O307" s="1456"/>
      <c r="P307" s="1456"/>
      <c r="Q307" s="1456"/>
      <c r="R307" s="1456"/>
      <c r="S307" s="848"/>
      <c r="T307" s="1457" t="s">
        <v>775</v>
      </c>
      <c r="U307" s="1457"/>
    </row>
    <row r="308" spans="1:21" ht="18.75" customHeight="1">
      <c r="A308" s="849"/>
      <c r="E308" s="1458" t="s">
        <v>776</v>
      </c>
      <c r="F308" s="1458"/>
      <c r="G308" s="1458"/>
      <c r="H308" s="1458"/>
      <c r="I308" s="1458"/>
      <c r="J308" s="1458"/>
      <c r="K308" s="1458"/>
      <c r="L308" s="1458"/>
      <c r="M308" s="1458"/>
      <c r="N308" s="1458"/>
      <c r="O308" s="1458"/>
      <c r="P308" s="1458"/>
      <c r="Q308" s="1458"/>
      <c r="R308" s="1458"/>
      <c r="U308" s="456"/>
    </row>
    <row r="309" spans="1:21" ht="18.75" customHeight="1">
      <c r="A309" s="850"/>
      <c r="F309" s="587"/>
      <c r="G309" s="587"/>
      <c r="H309" s="587"/>
      <c r="I309" s="587"/>
      <c r="J309" s="587"/>
      <c r="K309" s="587"/>
      <c r="L309" s="587"/>
      <c r="M309" s="851"/>
      <c r="N309" s="852"/>
      <c r="O309" s="851"/>
      <c r="P309" s="1459" t="s">
        <v>777</v>
      </c>
      <c r="Q309" s="1459"/>
      <c r="R309" s="1459"/>
      <c r="S309" s="1459"/>
      <c r="T309" s="1459"/>
      <c r="U309" s="1459"/>
    </row>
    <row r="310" spans="1:21" ht="15" customHeight="1">
      <c r="A310" s="849"/>
      <c r="E310" s="1287" t="s">
        <v>778</v>
      </c>
      <c r="F310" s="1287"/>
      <c r="G310" s="1287"/>
      <c r="H310" s="1287"/>
      <c r="I310" s="1287"/>
      <c r="J310" s="1287"/>
      <c r="K310" s="1287"/>
      <c r="L310" s="1287"/>
      <c r="M310" s="1287"/>
      <c r="N310" s="1287"/>
      <c r="O310" s="1287"/>
      <c r="P310" s="1287"/>
      <c r="Q310" s="1287"/>
      <c r="R310" s="1287"/>
      <c r="U310" s="456"/>
    </row>
    <row r="311" spans="1:21" ht="18.75" customHeight="1">
      <c r="A311" s="849"/>
      <c r="E311" s="1286" t="s">
        <v>779</v>
      </c>
      <c r="F311" s="1286"/>
      <c r="G311" s="1286"/>
      <c r="H311" s="1286"/>
      <c r="I311" s="1286"/>
      <c r="J311" s="1286"/>
      <c r="K311" s="1286"/>
      <c r="L311" s="1286"/>
      <c r="M311" s="1286"/>
      <c r="N311" s="1286"/>
      <c r="O311" s="1286"/>
      <c r="P311" s="1286"/>
      <c r="Q311" s="1286"/>
      <c r="R311" s="1286"/>
      <c r="U311" s="853"/>
    </row>
    <row r="312" spans="1:21" ht="23.25" customHeight="1">
      <c r="A312" s="854" t="s">
        <v>780</v>
      </c>
      <c r="B312" s="855"/>
      <c r="C312" s="855"/>
      <c r="D312" s="856" t="s">
        <v>833</v>
      </c>
      <c r="E312" s="857"/>
      <c r="F312" s="858"/>
      <c r="G312" s="859"/>
      <c r="H312" s="859"/>
      <c r="I312" s="859"/>
      <c r="J312" s="859"/>
      <c r="K312" s="859"/>
      <c r="L312" s="860"/>
      <c r="M312" s="1460"/>
      <c r="N312" s="1460"/>
      <c r="O312" s="1460"/>
      <c r="P312" s="1461" t="s">
        <v>781</v>
      </c>
      <c r="Q312" s="1461"/>
      <c r="R312" s="1461"/>
      <c r="S312" s="855"/>
      <c r="T312" s="861">
        <v>46300</v>
      </c>
      <c r="U312" s="456"/>
    </row>
    <row r="313" spans="1:21" ht="23.25" customHeight="1">
      <c r="A313" s="854"/>
      <c r="B313" s="862"/>
      <c r="C313" s="862"/>
      <c r="D313" s="862"/>
      <c r="E313" s="163"/>
      <c r="F313" s="863"/>
      <c r="G313" s="863"/>
      <c r="H313" s="863"/>
      <c r="I313" s="863"/>
      <c r="J313" s="863"/>
      <c r="K313" s="863"/>
      <c r="U313" s="456"/>
    </row>
    <row r="314" spans="1:21" ht="21" customHeight="1">
      <c r="A314" s="864" t="s">
        <v>782</v>
      </c>
      <c r="B314" s="865"/>
      <c r="C314" s="866"/>
      <c r="D314" s="867"/>
      <c r="E314" s="868"/>
      <c r="F314" s="869"/>
      <c r="G314" s="869"/>
      <c r="H314" s="869"/>
      <c r="I314" s="870"/>
      <c r="J314" s="870"/>
      <c r="P314" s="1462"/>
      <c r="Q314" s="1462"/>
      <c r="R314" s="1462"/>
      <c r="S314" s="1462"/>
      <c r="T314" s="871"/>
      <c r="U314" s="456"/>
    </row>
    <row r="315" spans="1:21" ht="21" customHeight="1">
      <c r="A315" s="872"/>
      <c r="B315" s="873"/>
      <c r="C315" s="869"/>
      <c r="D315" s="869"/>
      <c r="E315" s="869"/>
      <c r="F315" s="869"/>
      <c r="G315" s="869"/>
      <c r="H315" s="869"/>
      <c r="I315" s="870"/>
      <c r="J315" s="870"/>
      <c r="U315" s="456"/>
    </row>
    <row r="316" spans="1:21" ht="15" customHeight="1">
      <c r="A316" s="1463" t="s">
        <v>783</v>
      </c>
      <c r="B316" s="1463"/>
      <c r="C316" s="1463"/>
      <c r="D316" s="1463"/>
      <c r="E316" s="1463"/>
      <c r="F316" s="1463"/>
      <c r="G316" s="1463"/>
      <c r="H316" s="1463"/>
      <c r="I316" s="1463"/>
      <c r="J316" s="1463"/>
      <c r="K316" s="1463"/>
      <c r="L316" s="1463"/>
      <c r="M316" s="1463"/>
      <c r="N316" s="1463"/>
      <c r="O316" s="1463"/>
      <c r="P316" s="1463"/>
      <c r="Q316" s="1463"/>
      <c r="R316" s="1463"/>
      <c r="S316" s="1463"/>
      <c r="T316" s="1463"/>
      <c r="U316" s="1463"/>
    </row>
    <row r="317" spans="1:21" ht="15" customHeight="1">
      <c r="A317" s="1463"/>
      <c r="B317" s="1463"/>
      <c r="C317" s="1463"/>
      <c r="D317" s="1463"/>
      <c r="E317" s="1463"/>
      <c r="F317" s="1463"/>
      <c r="G317" s="1463"/>
      <c r="H317" s="1463"/>
      <c r="I317" s="1463"/>
      <c r="J317" s="1463"/>
      <c r="K317" s="1463"/>
      <c r="L317" s="1463"/>
      <c r="M317" s="1463"/>
      <c r="N317" s="1463"/>
      <c r="O317" s="1463"/>
      <c r="P317" s="1463"/>
      <c r="Q317" s="1463"/>
      <c r="R317" s="1463"/>
      <c r="S317" s="1463"/>
      <c r="T317" s="1463"/>
      <c r="U317" s="1463"/>
    </row>
    <row r="318" spans="1:21" ht="18" customHeight="1">
      <c r="A318" s="1464" t="s">
        <v>784</v>
      </c>
      <c r="B318" s="1464"/>
      <c r="C318" s="1464"/>
      <c r="D318" s="1464"/>
      <c r="E318" s="1464"/>
      <c r="F318" s="1464"/>
      <c r="G318" s="1464"/>
      <c r="H318" s="1464"/>
      <c r="I318" s="1464"/>
      <c r="J318" s="1464"/>
      <c r="K318" s="1464"/>
      <c r="L318" s="1464"/>
      <c r="M318" s="1464"/>
      <c r="N318" s="1464"/>
      <c r="O318" s="1464"/>
      <c r="P318" s="1464"/>
      <c r="Q318" s="1464"/>
      <c r="R318" s="1464"/>
      <c r="S318" s="1464"/>
      <c r="T318" s="1464"/>
      <c r="U318" s="1464"/>
    </row>
    <row r="319" spans="1:21" ht="23.25" customHeight="1">
      <c r="A319" s="1465" t="s">
        <v>785</v>
      </c>
      <c r="B319" s="1465"/>
      <c r="C319" s="1465"/>
      <c r="D319" s="1465"/>
      <c r="E319" s="1465"/>
      <c r="F319" s="1465"/>
      <c r="G319" s="1465"/>
      <c r="H319" s="1465"/>
      <c r="I319" s="1465"/>
      <c r="J319" s="1465"/>
      <c r="K319" s="1465"/>
      <c r="L319" s="1465"/>
      <c r="M319" s="1465"/>
      <c r="N319" s="1465"/>
      <c r="O319" s="1465"/>
      <c r="P319" s="1465"/>
      <c r="Q319" s="1465"/>
      <c r="R319" s="1465"/>
      <c r="S319" s="1465"/>
      <c r="T319" s="1465"/>
      <c r="U319" s="1465"/>
    </row>
    <row r="320" spans="1:21" ht="21.75" customHeight="1">
      <c r="A320" s="874"/>
      <c r="B320" s="875"/>
      <c r="C320" s="875"/>
      <c r="D320" s="875"/>
      <c r="E320" s="875"/>
      <c r="F320" s="875"/>
      <c r="G320" s="875"/>
      <c r="H320" s="875"/>
      <c r="I320" s="875"/>
      <c r="J320" s="875"/>
      <c r="K320" s="875"/>
      <c r="L320" s="875"/>
      <c r="M320" s="875"/>
      <c r="N320" s="875"/>
      <c r="O320" s="875"/>
      <c r="P320" s="875"/>
      <c r="Q320" s="875"/>
      <c r="R320" s="875"/>
      <c r="S320" s="875"/>
      <c r="T320" s="875"/>
      <c r="U320" s="876"/>
    </row>
    <row r="321" spans="1:21" ht="15" customHeight="1">
      <c r="A321" s="1466" t="s">
        <v>786</v>
      </c>
      <c r="B321" s="1467" t="s">
        <v>787</v>
      </c>
      <c r="C321" s="1468" t="s">
        <v>788</v>
      </c>
      <c r="D321" s="1468" t="s">
        <v>789</v>
      </c>
      <c r="E321" s="1469" t="s">
        <v>790</v>
      </c>
      <c r="F321" s="1468" t="s">
        <v>791</v>
      </c>
      <c r="G321" s="1468"/>
      <c r="H321" s="1468"/>
      <c r="I321" s="1468"/>
      <c r="J321" s="1468"/>
      <c r="K321" s="1468"/>
      <c r="L321" s="1468"/>
      <c r="M321" s="1468"/>
      <c r="N321" s="1468"/>
      <c r="O321" s="1468"/>
      <c r="P321" s="1470"/>
      <c r="Q321" s="1470"/>
      <c r="R321" s="1470"/>
      <c r="S321" s="1470"/>
      <c r="T321" s="1470"/>
      <c r="U321" s="1470"/>
    </row>
    <row r="322" spans="1:21" ht="15.75" customHeight="1">
      <c r="A322" s="1466"/>
      <c r="B322" s="1467"/>
      <c r="C322" s="1468"/>
      <c r="D322" s="1468"/>
      <c r="E322" s="1469"/>
      <c r="F322" s="1468"/>
      <c r="G322" s="1468"/>
      <c r="H322" s="1468"/>
      <c r="I322" s="1468"/>
      <c r="J322" s="1468"/>
      <c r="K322" s="1468"/>
      <c r="L322" s="1468"/>
      <c r="M322" s="1468"/>
      <c r="N322" s="1468"/>
      <c r="O322" s="1468"/>
      <c r="P322" s="1470"/>
      <c r="Q322" s="1470"/>
      <c r="R322" s="1470"/>
      <c r="S322" s="1470"/>
      <c r="T322" s="1470"/>
      <c r="U322" s="1470"/>
    </row>
    <row r="323" spans="1:21" ht="48" customHeight="1">
      <c r="A323" s="1466"/>
      <c r="B323" s="1467"/>
      <c r="C323" s="1468"/>
      <c r="D323" s="1468"/>
      <c r="E323" s="1469"/>
      <c r="F323" s="878" t="s">
        <v>792</v>
      </c>
      <c r="G323" s="877" t="s">
        <v>793</v>
      </c>
      <c r="H323" s="878" t="s">
        <v>794</v>
      </c>
      <c r="I323" s="879" t="s">
        <v>795</v>
      </c>
      <c r="J323" s="880" t="s">
        <v>796</v>
      </c>
      <c r="K323" s="1468" t="s">
        <v>797</v>
      </c>
      <c r="L323" s="1468"/>
      <c r="M323" s="1468"/>
      <c r="N323" s="1468"/>
      <c r="O323" s="1468"/>
      <c r="P323" s="881" t="s">
        <v>798</v>
      </c>
      <c r="Q323" s="882" t="s">
        <v>799</v>
      </c>
      <c r="R323" s="1469" t="s">
        <v>800</v>
      </c>
      <c r="S323" s="1469"/>
      <c r="T323" s="877" t="s">
        <v>801</v>
      </c>
      <c r="U323" s="879" t="s">
        <v>104</v>
      </c>
    </row>
    <row r="324" spans="1:21" ht="19.5" customHeight="1">
      <c r="A324" s="883"/>
      <c r="B324" s="884" t="str">
        <f>IF('BIS Doc'!AC147=130, "130 × 130", IF('BIS Doc'!AC147=160, "160 × 160", IF('BIS Doc'!AC147=110, "110 × 110", "Value not 130, 160, or 110")))</f>
        <v>Value not 130, 160, or 110</v>
      </c>
      <c r="C324" s="885">
        <f>'BIS Doc'!W147</f>
        <v>0</v>
      </c>
      <c r="D324" s="886"/>
      <c r="E324" s="887">
        <f>'BIS Doc'!AE147</f>
        <v>0</v>
      </c>
      <c r="F324" s="888">
        <f ca="1">'BIS Doc'!F147</f>
        <v>0</v>
      </c>
      <c r="G324" s="888">
        <f ca="1">'BIS Doc'!J147</f>
        <v>0</v>
      </c>
      <c r="H324" s="888">
        <f ca="1">'BIS Doc'!G147</f>
        <v>0.54237569165490551</v>
      </c>
      <c r="I324" s="889">
        <f ca="1">'BIS Doc'!H147</f>
        <v>0</v>
      </c>
      <c r="J324" s="889">
        <f ca="1">'BIS Doc'!I147</f>
        <v>0</v>
      </c>
      <c r="K324" s="1449" t="str">
        <f t="shared" ref="K324:K329" ca="1" si="9">IF(H324&lt;0.6, "IS 14650 CPS 10748/GR2", "IS 14650 CPS 10748/GR3")</f>
        <v>IS 14650 CPS 10748/GR2</v>
      </c>
      <c r="L324" s="1449"/>
      <c r="M324" s="1449"/>
      <c r="N324" s="1449"/>
      <c r="O324" s="1449"/>
      <c r="P324" s="890"/>
      <c r="Q324" s="891"/>
      <c r="R324" s="1449"/>
      <c r="S324" s="1449"/>
      <c r="T324" s="892"/>
      <c r="U324" s="1450" t="s">
        <v>802</v>
      </c>
    </row>
    <row r="325" spans="1:21" ht="19.5" customHeight="1">
      <c r="A325" s="893"/>
      <c r="B325" s="894" t="str">
        <f>IF('BIS Doc'!AC149=130, "130 × 130", IF('BIS Doc'!AC149=160, "160 × 160", IF('BIS Doc'!AC149=110, "110 × 110", "Value not 130, 160, or 110")))</f>
        <v>Value not 130, 160, or 110</v>
      </c>
      <c r="C325" s="895">
        <f>'BIS Doc'!W149</f>
        <v>0</v>
      </c>
      <c r="D325" s="896"/>
      <c r="E325" s="897">
        <f>'BIS Doc'!AE149</f>
        <v>0</v>
      </c>
      <c r="F325" s="898">
        <f ca="1">'BIS Doc'!F149</f>
        <v>0</v>
      </c>
      <c r="G325" s="899">
        <f ca="1">'BIS Doc'!J149</f>
        <v>0</v>
      </c>
      <c r="H325" s="900">
        <f ca="1">'BIS Doc'!G149</f>
        <v>0.58434656491746884</v>
      </c>
      <c r="I325" s="901">
        <f ca="1">'BIS Doc'!H149</f>
        <v>0</v>
      </c>
      <c r="J325" s="901">
        <f ca="1">'BIS Doc'!I149</f>
        <v>0</v>
      </c>
      <c r="K325" s="1451" t="str">
        <f t="shared" ca="1" si="9"/>
        <v>IS 14650 CPS 10748/GR2</v>
      </c>
      <c r="L325" s="1451"/>
      <c r="M325" s="1451"/>
      <c r="N325" s="1451"/>
      <c r="O325" s="1451"/>
      <c r="P325" s="902"/>
      <c r="Q325" s="903"/>
      <c r="R325" s="1451"/>
      <c r="S325" s="1451"/>
      <c r="T325" s="904"/>
      <c r="U325" s="1450"/>
    </row>
    <row r="326" spans="1:21" ht="19.5" customHeight="1">
      <c r="A326" s="864"/>
      <c r="B326" s="894" t="str">
        <f>IF('BIS Doc'!AC151=130, "130 × 130", IF('BIS Doc'!AC151=160, "160 × 160", IF('BIS Doc'!AC151=110, "110 × 110", "Value not 130, 160, or 110")))</f>
        <v>Value not 130, 160, or 110</v>
      </c>
      <c r="C326" s="895">
        <f>'BIS Doc'!W151</f>
        <v>0</v>
      </c>
      <c r="D326" s="896" t="s">
        <v>803</v>
      </c>
      <c r="E326" s="897">
        <f>'BIS Doc'!AE151</f>
        <v>0</v>
      </c>
      <c r="F326" s="898">
        <f ca="1">'BIS Doc'!F151</f>
        <v>0</v>
      </c>
      <c r="G326" s="899">
        <f ca="1">'BIS Doc'!J151</f>
        <v>0</v>
      </c>
      <c r="H326" s="900">
        <f ca="1">'BIS Doc'!G151</f>
        <v>0.51615434582611552</v>
      </c>
      <c r="I326" s="901">
        <f ca="1">'BIS Doc'!H151</f>
        <v>0</v>
      </c>
      <c r="J326" s="901">
        <f ca="1">'BIS Doc'!I151</f>
        <v>0</v>
      </c>
      <c r="K326" s="1451" t="str">
        <f t="shared" ca="1" si="9"/>
        <v>IS 14650 CPS 10748/GR2</v>
      </c>
      <c r="L326" s="1451"/>
      <c r="M326" s="1451"/>
      <c r="N326" s="1451"/>
      <c r="O326" s="1451"/>
      <c r="P326" s="902"/>
      <c r="Q326" s="905"/>
      <c r="R326" s="1451"/>
      <c r="S326" s="1451"/>
      <c r="T326" s="904"/>
      <c r="U326" s="1450"/>
    </row>
    <row r="327" spans="1:21" ht="19.5" customHeight="1">
      <c r="A327" s="864"/>
      <c r="B327" s="894" t="str">
        <f>IF('BIS Doc'!AC153=130, "130 × 130", IF('BIS Doc'!AC153=160, "160 × 160", IF('BIS Doc'!AC153=110, "110 × 110", "Value not 130, 160, or 110")))</f>
        <v>Value not 130, 160, or 110</v>
      </c>
      <c r="C327" s="895">
        <f>'BIS Doc'!W153</f>
        <v>0</v>
      </c>
      <c r="D327" s="896"/>
      <c r="E327" s="897">
        <f>'BIS Doc'!AE153</f>
        <v>0</v>
      </c>
      <c r="F327" s="898">
        <f ca="1">'BIS Doc'!F153</f>
        <v>0</v>
      </c>
      <c r="G327" s="899">
        <f ca="1">'BIS Doc'!J153</f>
        <v>0</v>
      </c>
      <c r="H327" s="900">
        <f ca="1">'BIS Doc'!G153</f>
        <v>0.52229302536691757</v>
      </c>
      <c r="I327" s="901">
        <f ca="1">'BIS Doc'!H153</f>
        <v>0</v>
      </c>
      <c r="J327" s="901">
        <f ca="1">'BIS Doc'!I153</f>
        <v>0</v>
      </c>
      <c r="K327" s="1451" t="str">
        <f t="shared" ca="1" si="9"/>
        <v>IS 14650 CPS 10748/GR2</v>
      </c>
      <c r="L327" s="1451"/>
      <c r="M327" s="1451"/>
      <c r="N327" s="1451"/>
      <c r="O327" s="1451"/>
      <c r="P327" s="902"/>
      <c r="Q327" s="905"/>
      <c r="R327" s="1451"/>
      <c r="S327" s="1451"/>
      <c r="T327" s="904"/>
      <c r="U327" s="1450"/>
    </row>
    <row r="328" spans="1:21" ht="19.5" customHeight="1">
      <c r="A328" s="864"/>
      <c r="B328" s="894" t="str">
        <f>IF('BIS Doc'!AC155=130, "130 × 130", IF('BIS Doc'!AC155=160, "160 × 160", IF('BIS Doc'!AC155=110, "110 × 110", "Value not 130, 160, or 110")))</f>
        <v>Value not 130, 160, or 110</v>
      </c>
      <c r="C328" s="895">
        <f>'BIS Doc'!W155</f>
        <v>0</v>
      </c>
      <c r="D328" s="896"/>
      <c r="E328" s="897">
        <f>'BIS Doc'!AE155</f>
        <v>0</v>
      </c>
      <c r="F328" s="898">
        <f ca="1">'BIS Doc'!F155</f>
        <v>0</v>
      </c>
      <c r="G328" s="899">
        <f ca="1">'BIS Doc'!J155</f>
        <v>0</v>
      </c>
      <c r="H328" s="900">
        <f ca="1">'BIS Doc'!G155</f>
        <v>0.54458432433756021</v>
      </c>
      <c r="I328" s="901">
        <f ca="1">'BIS Doc'!H155</f>
        <v>0</v>
      </c>
      <c r="J328" s="901">
        <f ca="1">'BIS Doc'!I155</f>
        <v>0</v>
      </c>
      <c r="K328" s="1451" t="str">
        <f t="shared" ca="1" si="9"/>
        <v>IS 14650 CPS 10748/GR2</v>
      </c>
      <c r="L328" s="1451"/>
      <c r="M328" s="1451"/>
      <c r="N328" s="1451"/>
      <c r="O328" s="1451"/>
      <c r="P328" s="902"/>
      <c r="Q328" s="905"/>
      <c r="R328" s="1451"/>
      <c r="S328" s="1451"/>
      <c r="T328" s="904"/>
      <c r="U328" s="1450"/>
    </row>
    <row r="329" spans="1:21" ht="19.5" customHeight="1">
      <c r="A329" s="864"/>
      <c r="B329" s="894" t="str">
        <f>IF('BIS Doc'!AC157=130, "130 × 130", IF('BIS Doc'!AC157=160, "160 × 160", IF('BIS Doc'!AC157=110, "110 × 110", "Value not 130, 160, or 110")))</f>
        <v>Value not 130, 160, or 110</v>
      </c>
      <c r="C329" s="895">
        <f>'BIS Doc'!W157</f>
        <v>0</v>
      </c>
      <c r="D329" s="896"/>
      <c r="E329" s="897">
        <f>'BIS Doc'!AE157</f>
        <v>0</v>
      </c>
      <c r="F329" s="898">
        <f ca="1">'BIS Doc'!F157</f>
        <v>0</v>
      </c>
      <c r="G329" s="899">
        <f ca="1">'BIS Doc'!J157</f>
        <v>0</v>
      </c>
      <c r="H329" s="900">
        <f ca="1">'BIS Doc'!G157</f>
        <v>0.55694268673408176</v>
      </c>
      <c r="I329" s="901">
        <f ca="1">'BIS Doc'!H157</f>
        <v>0</v>
      </c>
      <c r="J329" s="901">
        <f ca="1">'BIS Doc'!I157</f>
        <v>0</v>
      </c>
      <c r="K329" s="1451" t="str">
        <f t="shared" ca="1" si="9"/>
        <v>IS 14650 CPS 10748/GR2</v>
      </c>
      <c r="L329" s="1451"/>
      <c r="M329" s="1451"/>
      <c r="N329" s="1451"/>
      <c r="O329" s="1451"/>
      <c r="P329" s="902"/>
      <c r="Q329" s="903"/>
      <c r="R329" s="1451"/>
      <c r="S329" s="1451"/>
      <c r="T329" s="904"/>
      <c r="U329" s="1450"/>
    </row>
    <row r="330" spans="1:21" ht="19.5" customHeight="1">
      <c r="A330" s="864"/>
      <c r="B330" s="904"/>
      <c r="C330" s="895"/>
      <c r="D330" s="896"/>
      <c r="E330" s="897"/>
      <c r="F330" s="906"/>
      <c r="G330" s="907"/>
      <c r="H330" s="908"/>
      <c r="I330" s="909"/>
      <c r="J330" s="909"/>
      <c r="K330" s="1451"/>
      <c r="L330" s="1451"/>
      <c r="M330" s="1451"/>
      <c r="N330" s="1451"/>
      <c r="O330" s="1451"/>
      <c r="P330" s="902"/>
      <c r="Q330" s="903"/>
      <c r="R330" s="1451"/>
      <c r="S330" s="1451"/>
      <c r="T330" s="904"/>
      <c r="U330" s="1450"/>
    </row>
    <row r="331" spans="1:21" ht="19.5" customHeight="1">
      <c r="A331" s="864"/>
      <c r="B331" s="904"/>
      <c r="C331" s="895"/>
      <c r="D331" s="896"/>
      <c r="E331" s="897"/>
      <c r="F331" s="906"/>
      <c r="G331" s="907"/>
      <c r="H331" s="908"/>
      <c r="I331" s="909"/>
      <c r="J331" s="909"/>
      <c r="K331" s="1451"/>
      <c r="L331" s="1451"/>
      <c r="M331" s="1451"/>
      <c r="N331" s="1451"/>
      <c r="O331" s="1451"/>
      <c r="P331" s="902"/>
      <c r="Q331" s="905"/>
      <c r="R331" s="1451"/>
      <c r="S331" s="1451"/>
      <c r="T331" s="904"/>
      <c r="U331" s="1450"/>
    </row>
    <row r="332" spans="1:21" ht="19.5" customHeight="1">
      <c r="A332" s="864"/>
      <c r="B332" s="910"/>
      <c r="C332" s="911"/>
      <c r="D332" s="896"/>
      <c r="E332" s="897"/>
      <c r="F332" s="906"/>
      <c r="G332" s="907"/>
      <c r="H332" s="908"/>
      <c r="I332" s="909"/>
      <c r="J332" s="909"/>
      <c r="K332" s="1451"/>
      <c r="L332" s="1451"/>
      <c r="M332" s="1451"/>
      <c r="N332" s="1451"/>
      <c r="O332" s="1451"/>
      <c r="P332" s="912"/>
      <c r="Q332" s="913"/>
      <c r="R332" s="1452"/>
      <c r="S332" s="1452"/>
      <c r="T332" s="910"/>
      <c r="U332" s="1450"/>
    </row>
    <row r="333" spans="1:21" ht="19.5" customHeight="1">
      <c r="A333" s="914"/>
      <c r="B333" s="915"/>
      <c r="C333" s="916"/>
      <c r="D333" s="917"/>
      <c r="E333" s="918">
        <f>SUM(E324:E329)</f>
        <v>0</v>
      </c>
      <c r="F333" s="919"/>
      <c r="G333" s="920"/>
      <c r="H333" s="921"/>
      <c r="I333" s="922"/>
      <c r="J333" s="922"/>
      <c r="K333" s="1453"/>
      <c r="L333" s="1453"/>
      <c r="M333" s="1453"/>
      <c r="N333" s="1453"/>
      <c r="O333" s="1453"/>
      <c r="P333" s="923"/>
      <c r="Q333" s="924"/>
      <c r="R333" s="1454"/>
      <c r="S333" s="1454"/>
      <c r="T333" s="915"/>
      <c r="U333" s="1450"/>
    </row>
    <row r="334" spans="1:21" ht="15.75" customHeight="1">
      <c r="A334" s="864"/>
      <c r="B334" s="773"/>
      <c r="C334" s="773"/>
      <c r="D334" s="925"/>
      <c r="E334" s="926"/>
      <c r="F334" s="927"/>
      <c r="G334" s="928"/>
      <c r="H334" s="259"/>
      <c r="I334" s="259"/>
      <c r="J334" s="928"/>
      <c r="K334" s="929"/>
      <c r="L334" s="929"/>
      <c r="M334" s="929"/>
      <c r="N334" s="929"/>
      <c r="O334" s="928"/>
      <c r="P334" s="930"/>
      <c r="Q334" s="931"/>
      <c r="R334" s="931"/>
      <c r="U334" s="932"/>
    </row>
    <row r="335" spans="1:21" ht="18.75" customHeight="1">
      <c r="A335" s="864"/>
      <c r="B335" s="773"/>
      <c r="C335" s="773"/>
      <c r="D335" s="773"/>
      <c r="E335" s="773"/>
      <c r="F335" s="773"/>
      <c r="G335" s="773"/>
      <c r="H335" s="773"/>
      <c r="I335" s="773"/>
      <c r="J335" s="773"/>
      <c r="K335" s="773"/>
      <c r="P335" s="1446" t="s">
        <v>804</v>
      </c>
      <c r="Q335" s="1446"/>
      <c r="R335" s="1446"/>
      <c r="S335" s="1446"/>
      <c r="T335" s="1446"/>
      <c r="U335" s="1446"/>
    </row>
    <row r="336" spans="1:21" ht="18.75" customHeight="1">
      <c r="A336" s="1447" t="s">
        <v>805</v>
      </c>
      <c r="B336" s="1447"/>
      <c r="C336" s="933"/>
      <c r="D336" s="933"/>
      <c r="E336" s="933"/>
      <c r="F336" s="933"/>
      <c r="P336" s="855"/>
      <c r="Q336" s="855"/>
      <c r="R336" s="855"/>
      <c r="S336" s="855"/>
      <c r="T336" s="855"/>
      <c r="U336" s="934"/>
    </row>
    <row r="337" spans="1:21" ht="18.75" customHeight="1">
      <c r="A337" s="854"/>
      <c r="B337" s="855"/>
      <c r="P337" s="855"/>
      <c r="Q337" s="855"/>
      <c r="R337" s="855"/>
      <c r="S337" s="855"/>
      <c r="T337" s="855"/>
      <c r="U337" s="934"/>
    </row>
    <row r="338" spans="1:21" ht="18.75" customHeight="1">
      <c r="A338" s="854" t="s">
        <v>806</v>
      </c>
      <c r="B338" s="855"/>
      <c r="C338" s="867"/>
      <c r="D338" s="941"/>
      <c r="E338" s="933"/>
      <c r="F338" s="933"/>
      <c r="P338" s="855"/>
      <c r="Q338" s="855"/>
      <c r="R338" s="855"/>
      <c r="S338" s="855"/>
      <c r="T338" s="855"/>
      <c r="U338" s="934"/>
    </row>
    <row r="339" spans="1:21" ht="18.75" customHeight="1">
      <c r="A339" s="854"/>
      <c r="B339" s="855"/>
      <c r="C339" s="937"/>
      <c r="P339" s="855"/>
      <c r="Q339" s="855"/>
      <c r="R339" s="855"/>
      <c r="S339" s="855"/>
      <c r="T339" s="855"/>
      <c r="U339" s="934"/>
    </row>
    <row r="340" spans="1:21" ht="19.5" customHeight="1">
      <c r="A340" s="938"/>
      <c r="B340" s="939"/>
      <c r="C340" s="940"/>
      <c r="D340" s="453"/>
      <c r="E340" s="453"/>
      <c r="F340" s="453"/>
      <c r="G340" s="453"/>
      <c r="H340" s="453"/>
      <c r="I340" s="453"/>
      <c r="J340" s="453"/>
      <c r="K340" s="453"/>
      <c r="L340" s="453"/>
      <c r="M340" s="453"/>
      <c r="N340" s="453"/>
      <c r="O340" s="453"/>
      <c r="P340" s="1448" t="s">
        <v>807</v>
      </c>
      <c r="Q340" s="1448"/>
      <c r="R340" s="1448"/>
      <c r="S340" s="1448"/>
      <c r="T340" s="1448"/>
      <c r="U340" s="1448"/>
    </row>
    <row r="341" spans="1:21" ht="45.75" customHeight="1">
      <c r="A341" s="1455"/>
      <c r="B341" s="1455"/>
      <c r="C341" s="1455"/>
      <c r="D341" s="847"/>
      <c r="E341" s="1456" t="s">
        <v>774</v>
      </c>
      <c r="F341" s="1456"/>
      <c r="G341" s="1456"/>
      <c r="H341" s="1456"/>
      <c r="I341" s="1456"/>
      <c r="J341" s="1456"/>
      <c r="K341" s="1456"/>
      <c r="L341" s="1456"/>
      <c r="M341" s="1456"/>
      <c r="N341" s="1456"/>
      <c r="O341" s="1456"/>
      <c r="P341" s="1456"/>
      <c r="Q341" s="1456"/>
      <c r="R341" s="1456"/>
      <c r="S341" s="848"/>
      <c r="T341" s="1457" t="s">
        <v>775</v>
      </c>
      <c r="U341" s="1457"/>
    </row>
    <row r="342" spans="1:21" ht="18.75" customHeight="1">
      <c r="A342" s="849"/>
      <c r="E342" s="1458" t="s">
        <v>776</v>
      </c>
      <c r="F342" s="1458"/>
      <c r="G342" s="1458"/>
      <c r="H342" s="1458"/>
      <c r="I342" s="1458"/>
      <c r="J342" s="1458"/>
      <c r="K342" s="1458"/>
      <c r="L342" s="1458"/>
      <c r="M342" s="1458"/>
      <c r="N342" s="1458"/>
      <c r="O342" s="1458"/>
      <c r="P342" s="1458"/>
      <c r="Q342" s="1458"/>
      <c r="R342" s="1458"/>
      <c r="U342" s="456"/>
    </row>
    <row r="343" spans="1:21" ht="18.75" customHeight="1">
      <c r="A343" s="850"/>
      <c r="F343" s="587"/>
      <c r="G343" s="587"/>
      <c r="H343" s="587"/>
      <c r="I343" s="587"/>
      <c r="J343" s="587"/>
      <c r="K343" s="587"/>
      <c r="L343" s="587"/>
      <c r="M343" s="851"/>
      <c r="N343" s="852"/>
      <c r="O343" s="851"/>
      <c r="P343" s="1459" t="s">
        <v>777</v>
      </c>
      <c r="Q343" s="1459"/>
      <c r="R343" s="1459"/>
      <c r="S343" s="1459"/>
      <c r="T343" s="1459"/>
      <c r="U343" s="1459"/>
    </row>
    <row r="344" spans="1:21" ht="15" customHeight="1">
      <c r="A344" s="849"/>
      <c r="E344" s="1287" t="s">
        <v>778</v>
      </c>
      <c r="F344" s="1287"/>
      <c r="G344" s="1287"/>
      <c r="H344" s="1287"/>
      <c r="I344" s="1287"/>
      <c r="J344" s="1287"/>
      <c r="K344" s="1287"/>
      <c r="L344" s="1287"/>
      <c r="M344" s="1287"/>
      <c r="N344" s="1287"/>
      <c r="O344" s="1287"/>
      <c r="P344" s="1287"/>
      <c r="Q344" s="1287"/>
      <c r="R344" s="1287"/>
      <c r="U344" s="456"/>
    </row>
    <row r="345" spans="1:21" ht="18.75" customHeight="1">
      <c r="A345" s="849"/>
      <c r="E345" s="1286" t="s">
        <v>779</v>
      </c>
      <c r="F345" s="1286"/>
      <c r="G345" s="1286"/>
      <c r="H345" s="1286"/>
      <c r="I345" s="1286"/>
      <c r="J345" s="1286"/>
      <c r="K345" s="1286"/>
      <c r="L345" s="1286"/>
      <c r="M345" s="1286"/>
      <c r="N345" s="1286"/>
      <c r="O345" s="1286"/>
      <c r="P345" s="1286"/>
      <c r="Q345" s="1286"/>
      <c r="R345" s="1286"/>
      <c r="U345" s="853"/>
    </row>
    <row r="346" spans="1:21" ht="23.25" customHeight="1">
      <c r="A346" s="854" t="s">
        <v>780</v>
      </c>
      <c r="B346" s="855"/>
      <c r="C346" s="855"/>
      <c r="D346" s="856" t="s">
        <v>834</v>
      </c>
      <c r="E346" s="857"/>
      <c r="F346" s="858"/>
      <c r="G346" s="859"/>
      <c r="H346" s="859"/>
      <c r="I346" s="859"/>
      <c r="J346" s="859"/>
      <c r="K346" s="859"/>
      <c r="L346" s="860"/>
      <c r="M346" s="1460"/>
      <c r="N346" s="1460"/>
      <c r="O346" s="1460"/>
      <c r="P346" s="1461" t="s">
        <v>781</v>
      </c>
      <c r="Q346" s="1461"/>
      <c r="R346" s="1461"/>
      <c r="S346" s="855"/>
      <c r="T346" s="861">
        <v>46301</v>
      </c>
      <c r="U346" s="456"/>
    </row>
    <row r="347" spans="1:21" ht="23.25" customHeight="1">
      <c r="A347" s="854"/>
      <c r="B347" s="862"/>
      <c r="C347" s="862"/>
      <c r="D347" s="862"/>
      <c r="E347" s="163"/>
      <c r="F347" s="863"/>
      <c r="G347" s="863"/>
      <c r="H347" s="863"/>
      <c r="I347" s="863"/>
      <c r="J347" s="863"/>
      <c r="K347" s="863"/>
      <c r="U347" s="456"/>
    </row>
    <row r="348" spans="1:21" ht="21" customHeight="1">
      <c r="A348" s="864" t="s">
        <v>782</v>
      </c>
      <c r="B348" s="865"/>
      <c r="C348" s="866"/>
      <c r="D348" s="867"/>
      <c r="E348" s="868"/>
      <c r="F348" s="869"/>
      <c r="G348" s="869"/>
      <c r="H348" s="869"/>
      <c r="I348" s="870"/>
      <c r="J348" s="870"/>
      <c r="P348" s="1462"/>
      <c r="Q348" s="1462"/>
      <c r="R348" s="1462"/>
      <c r="S348" s="1462"/>
      <c r="T348" s="871"/>
      <c r="U348" s="456"/>
    </row>
    <row r="349" spans="1:21" ht="21" customHeight="1">
      <c r="A349" s="872"/>
      <c r="B349" s="873"/>
      <c r="C349" s="869"/>
      <c r="D349" s="869"/>
      <c r="E349" s="869"/>
      <c r="F349" s="869"/>
      <c r="G349" s="869"/>
      <c r="H349" s="869"/>
      <c r="I349" s="870"/>
      <c r="J349" s="870"/>
      <c r="U349" s="456"/>
    </row>
    <row r="350" spans="1:21" ht="15" customHeight="1">
      <c r="A350" s="1463" t="s">
        <v>783</v>
      </c>
      <c r="B350" s="1463"/>
      <c r="C350" s="1463"/>
      <c r="D350" s="1463"/>
      <c r="E350" s="1463"/>
      <c r="F350" s="1463"/>
      <c r="G350" s="1463"/>
      <c r="H350" s="1463"/>
      <c r="I350" s="1463"/>
      <c r="J350" s="1463"/>
      <c r="K350" s="1463"/>
      <c r="L350" s="1463"/>
      <c r="M350" s="1463"/>
      <c r="N350" s="1463"/>
      <c r="O350" s="1463"/>
      <c r="P350" s="1463"/>
      <c r="Q350" s="1463"/>
      <c r="R350" s="1463"/>
      <c r="S350" s="1463"/>
      <c r="T350" s="1463"/>
      <c r="U350" s="1463"/>
    </row>
    <row r="351" spans="1:21" ht="15" customHeight="1">
      <c r="A351" s="1463"/>
      <c r="B351" s="1463"/>
      <c r="C351" s="1463"/>
      <c r="D351" s="1463"/>
      <c r="E351" s="1463"/>
      <c r="F351" s="1463"/>
      <c r="G351" s="1463"/>
      <c r="H351" s="1463"/>
      <c r="I351" s="1463"/>
      <c r="J351" s="1463"/>
      <c r="K351" s="1463"/>
      <c r="L351" s="1463"/>
      <c r="M351" s="1463"/>
      <c r="N351" s="1463"/>
      <c r="O351" s="1463"/>
      <c r="P351" s="1463"/>
      <c r="Q351" s="1463"/>
      <c r="R351" s="1463"/>
      <c r="S351" s="1463"/>
      <c r="T351" s="1463"/>
      <c r="U351" s="1463"/>
    </row>
    <row r="352" spans="1:21" ht="18" customHeight="1">
      <c r="A352" s="1464" t="s">
        <v>784</v>
      </c>
      <c r="B352" s="1464"/>
      <c r="C352" s="1464"/>
      <c r="D352" s="1464"/>
      <c r="E352" s="1464"/>
      <c r="F352" s="1464"/>
      <c r="G352" s="1464"/>
      <c r="H352" s="1464"/>
      <c r="I352" s="1464"/>
      <c r="J352" s="1464"/>
      <c r="K352" s="1464"/>
      <c r="L352" s="1464"/>
      <c r="M352" s="1464"/>
      <c r="N352" s="1464"/>
      <c r="O352" s="1464"/>
      <c r="P352" s="1464"/>
      <c r="Q352" s="1464"/>
      <c r="R352" s="1464"/>
      <c r="S352" s="1464"/>
      <c r="T352" s="1464"/>
      <c r="U352" s="1464"/>
    </row>
    <row r="353" spans="1:21" ht="23.25" customHeight="1">
      <c r="A353" s="1465" t="s">
        <v>785</v>
      </c>
      <c r="B353" s="1465"/>
      <c r="C353" s="1465"/>
      <c r="D353" s="1465"/>
      <c r="E353" s="1465"/>
      <c r="F353" s="1465"/>
      <c r="G353" s="1465"/>
      <c r="H353" s="1465"/>
      <c r="I353" s="1465"/>
      <c r="J353" s="1465"/>
      <c r="K353" s="1465"/>
      <c r="L353" s="1465"/>
      <c r="M353" s="1465"/>
      <c r="N353" s="1465"/>
      <c r="O353" s="1465"/>
      <c r="P353" s="1465"/>
      <c r="Q353" s="1465"/>
      <c r="R353" s="1465"/>
      <c r="S353" s="1465"/>
      <c r="T353" s="1465"/>
      <c r="U353" s="1465"/>
    </row>
    <row r="354" spans="1:21" ht="21.75" customHeight="1">
      <c r="A354" s="874"/>
      <c r="B354" s="875"/>
      <c r="C354" s="875"/>
      <c r="D354" s="875"/>
      <c r="E354" s="875"/>
      <c r="F354" s="875"/>
      <c r="G354" s="875"/>
      <c r="H354" s="875"/>
      <c r="I354" s="875"/>
      <c r="J354" s="875"/>
      <c r="K354" s="875"/>
      <c r="L354" s="875"/>
      <c r="M354" s="875"/>
      <c r="N354" s="875"/>
      <c r="O354" s="875"/>
      <c r="P354" s="875"/>
      <c r="Q354" s="875"/>
      <c r="R354" s="875"/>
      <c r="S354" s="875"/>
      <c r="T354" s="875"/>
      <c r="U354" s="876"/>
    </row>
    <row r="355" spans="1:21" ht="15" customHeight="1">
      <c r="A355" s="1466" t="s">
        <v>786</v>
      </c>
      <c r="B355" s="1467" t="s">
        <v>787</v>
      </c>
      <c r="C355" s="1468" t="s">
        <v>788</v>
      </c>
      <c r="D355" s="1468" t="s">
        <v>789</v>
      </c>
      <c r="E355" s="1469" t="s">
        <v>790</v>
      </c>
      <c r="F355" s="1468" t="s">
        <v>791</v>
      </c>
      <c r="G355" s="1468"/>
      <c r="H355" s="1468"/>
      <c r="I355" s="1468"/>
      <c r="J355" s="1468"/>
      <c r="K355" s="1468"/>
      <c r="L355" s="1468"/>
      <c r="M355" s="1468"/>
      <c r="N355" s="1468"/>
      <c r="O355" s="1468"/>
      <c r="P355" s="1470"/>
      <c r="Q355" s="1470"/>
      <c r="R355" s="1470"/>
      <c r="S355" s="1470"/>
      <c r="T355" s="1470"/>
      <c r="U355" s="1470"/>
    </row>
    <row r="356" spans="1:21" ht="15.75" customHeight="1">
      <c r="A356" s="1466"/>
      <c r="B356" s="1467"/>
      <c r="C356" s="1468"/>
      <c r="D356" s="1468"/>
      <c r="E356" s="1469"/>
      <c r="F356" s="1468"/>
      <c r="G356" s="1468"/>
      <c r="H356" s="1468"/>
      <c r="I356" s="1468"/>
      <c r="J356" s="1468"/>
      <c r="K356" s="1468"/>
      <c r="L356" s="1468"/>
      <c r="M356" s="1468"/>
      <c r="N356" s="1468"/>
      <c r="O356" s="1468"/>
      <c r="P356" s="1470"/>
      <c r="Q356" s="1470"/>
      <c r="R356" s="1470"/>
      <c r="S356" s="1470"/>
      <c r="T356" s="1470"/>
      <c r="U356" s="1470"/>
    </row>
    <row r="357" spans="1:21" ht="48" customHeight="1">
      <c r="A357" s="1466"/>
      <c r="B357" s="1467"/>
      <c r="C357" s="1468"/>
      <c r="D357" s="1468"/>
      <c r="E357" s="1469"/>
      <c r="F357" s="878" t="s">
        <v>792</v>
      </c>
      <c r="G357" s="877" t="s">
        <v>793</v>
      </c>
      <c r="H357" s="878" t="s">
        <v>794</v>
      </c>
      <c r="I357" s="879" t="s">
        <v>795</v>
      </c>
      <c r="J357" s="880" t="s">
        <v>796</v>
      </c>
      <c r="K357" s="1468" t="s">
        <v>797</v>
      </c>
      <c r="L357" s="1468"/>
      <c r="M357" s="1468"/>
      <c r="N357" s="1468"/>
      <c r="O357" s="1468"/>
      <c r="P357" s="881" t="s">
        <v>798</v>
      </c>
      <c r="Q357" s="882" t="s">
        <v>799</v>
      </c>
      <c r="R357" s="1469" t="s">
        <v>800</v>
      </c>
      <c r="S357" s="1469"/>
      <c r="T357" s="877" t="s">
        <v>801</v>
      </c>
      <c r="U357" s="879" t="s">
        <v>104</v>
      </c>
    </row>
    <row r="358" spans="1:21" ht="19.5" customHeight="1">
      <c r="A358" s="883"/>
      <c r="B358" s="884" t="str">
        <f>IF('BIS Doc'!AC167=130, "130 × 130", IF('BIS Doc'!AC167=160, "160 × 160", IF('BIS Doc'!AC167=110, "110 × 110", "Value not 130, 160, or 110")))</f>
        <v>Value not 130, 160, or 110</v>
      </c>
      <c r="C358" s="885">
        <f>'BIS Doc'!W167</f>
        <v>0</v>
      </c>
      <c r="D358" s="886"/>
      <c r="E358" s="887">
        <f>'BIS Doc'!AE167</f>
        <v>0</v>
      </c>
      <c r="F358" s="888">
        <f ca="1">'BIS Doc'!F167</f>
        <v>0</v>
      </c>
      <c r="G358" s="888">
        <f ca="1">'BIS Doc'!J167</f>
        <v>0</v>
      </c>
      <c r="H358" s="888">
        <f ca="1">'BIS Doc'!G167</f>
        <v>0.58886540590711767</v>
      </c>
      <c r="I358" s="889">
        <f ca="1">'BIS Doc'!H167</f>
        <v>0</v>
      </c>
      <c r="J358" s="889">
        <f ca="1">'BIS Doc'!I167</f>
        <v>0</v>
      </c>
      <c r="K358" s="1449" t="str">
        <f t="shared" ref="K358:K363" ca="1" si="10">IF(H358&lt;0.6, "IS 14650 CPS 10748/GR2", "IS 14650 CPS 10748/GR3")</f>
        <v>IS 14650 CPS 10748/GR2</v>
      </c>
      <c r="L358" s="1449"/>
      <c r="M358" s="1449"/>
      <c r="N358" s="1449"/>
      <c r="O358" s="1449"/>
      <c r="P358" s="890"/>
      <c r="Q358" s="891"/>
      <c r="R358" s="1449"/>
      <c r="S358" s="1449"/>
      <c r="T358" s="892"/>
      <c r="U358" s="1450" t="s">
        <v>802</v>
      </c>
    </row>
    <row r="359" spans="1:21" ht="19.5" customHeight="1">
      <c r="A359" s="893"/>
      <c r="B359" s="894" t="str">
        <f>IF('BIS Doc'!AC169=130, "130 × 130", IF('BIS Doc'!AC169=160, "160 × 160", IF('BIS Doc'!AC169=110, "110 × 110", "Value not 130, 160, or 110")))</f>
        <v>Value not 130, 160, or 110</v>
      </c>
      <c r="C359" s="895">
        <f>'BIS Doc'!W169</f>
        <v>0</v>
      </c>
      <c r="D359" s="896"/>
      <c r="E359" s="897">
        <f>'BIS Doc'!AE169</f>
        <v>0</v>
      </c>
      <c r="F359" s="898">
        <f ca="1">'BIS Doc'!F169</f>
        <v>0</v>
      </c>
      <c r="G359" s="899">
        <f ca="1">'BIS Doc'!J169</f>
        <v>0</v>
      </c>
      <c r="H359" s="900">
        <f ca="1">'BIS Doc'!G169</f>
        <v>0.52710189584512157</v>
      </c>
      <c r="I359" s="901">
        <f ca="1">'BIS Doc'!H169</f>
        <v>0</v>
      </c>
      <c r="J359" s="901">
        <f ca="1">'BIS Doc'!I169</f>
        <v>0</v>
      </c>
      <c r="K359" s="1451" t="str">
        <f t="shared" ca="1" si="10"/>
        <v>IS 14650 CPS 10748/GR2</v>
      </c>
      <c r="L359" s="1451"/>
      <c r="M359" s="1451"/>
      <c r="N359" s="1451"/>
      <c r="O359" s="1451"/>
      <c r="P359" s="902"/>
      <c r="Q359" s="903"/>
      <c r="R359" s="1451"/>
      <c r="S359" s="1451"/>
      <c r="T359" s="904"/>
      <c r="U359" s="1450"/>
    </row>
    <row r="360" spans="1:21" ht="19.5" customHeight="1">
      <c r="A360" s="864"/>
      <c r="B360" s="894" t="str">
        <f>IF('BIS Doc'!AC171=130, "130 × 130", IF('BIS Doc'!AC171=160, "160 × 160", IF('BIS Doc'!AC171=110, "110 × 110", "Value not 130, 160, or 110")))</f>
        <v>Value not 130, 160, or 110</v>
      </c>
      <c r="C360" s="895">
        <f>'BIS Doc'!W171</f>
        <v>0</v>
      </c>
      <c r="D360" s="896" t="s">
        <v>803</v>
      </c>
      <c r="E360" s="897">
        <f>'BIS Doc'!AE171</f>
        <v>0</v>
      </c>
      <c r="F360" s="898">
        <f ca="1">'BIS Doc'!F171</f>
        <v>0</v>
      </c>
      <c r="G360" s="899">
        <f ca="1">'BIS Doc'!J171</f>
        <v>0</v>
      </c>
      <c r="H360" s="900">
        <f ca="1">'BIS Doc'!G171</f>
        <v>0.55214259092560736</v>
      </c>
      <c r="I360" s="901">
        <f ca="1">'BIS Doc'!H171</f>
        <v>0</v>
      </c>
      <c r="J360" s="901">
        <f ca="1">'BIS Doc'!I171</f>
        <v>0</v>
      </c>
      <c r="K360" s="1451" t="str">
        <f t="shared" ca="1" si="10"/>
        <v>IS 14650 CPS 10748/GR2</v>
      </c>
      <c r="L360" s="1451"/>
      <c r="M360" s="1451"/>
      <c r="N360" s="1451"/>
      <c r="O360" s="1451"/>
      <c r="P360" s="902"/>
      <c r="Q360" s="905"/>
      <c r="R360" s="1451"/>
      <c r="S360" s="1451"/>
      <c r="T360" s="904"/>
      <c r="U360" s="1450"/>
    </row>
    <row r="361" spans="1:21" ht="19.5" customHeight="1">
      <c r="A361" s="864"/>
      <c r="B361" s="894" t="str">
        <f>IF('BIS Doc'!AC173=130, "130 × 130", IF('BIS Doc'!AC173=160, "160 × 160", IF('BIS Doc'!AC173=110, "110 × 110", "Value not 130, 160, or 110")))</f>
        <v>Value not 130, 160, or 110</v>
      </c>
      <c r="C361" s="895">
        <f>'BIS Doc'!W173</f>
        <v>0</v>
      </c>
      <c r="D361" s="896"/>
      <c r="E361" s="897">
        <f>'BIS Doc'!AE173</f>
        <v>0</v>
      </c>
      <c r="F361" s="898">
        <f ca="1">'BIS Doc'!F173</f>
        <v>0</v>
      </c>
      <c r="G361" s="899">
        <f ca="1">'BIS Doc'!J173</f>
        <v>0</v>
      </c>
      <c r="H361" s="900">
        <f ca="1">'BIS Doc'!G173</f>
        <v>0.53600836043734268</v>
      </c>
      <c r="I361" s="901">
        <f ca="1">'BIS Doc'!H173</f>
        <v>0</v>
      </c>
      <c r="J361" s="901">
        <f ca="1">'BIS Doc'!I173</f>
        <v>0</v>
      </c>
      <c r="K361" s="1451" t="str">
        <f t="shared" ca="1" si="10"/>
        <v>IS 14650 CPS 10748/GR2</v>
      </c>
      <c r="L361" s="1451"/>
      <c r="M361" s="1451"/>
      <c r="N361" s="1451"/>
      <c r="O361" s="1451"/>
      <c r="P361" s="902"/>
      <c r="Q361" s="905"/>
      <c r="R361" s="1451"/>
      <c r="S361" s="1451"/>
      <c r="T361" s="904"/>
      <c r="U361" s="1450"/>
    </row>
    <row r="362" spans="1:21" ht="19.5" customHeight="1">
      <c r="A362" s="864"/>
      <c r="B362" s="894" t="str">
        <f>IF('BIS Doc'!AC175=130, "130 × 130", IF('BIS Doc'!AC175=160, "160 × 160", IF('BIS Doc'!AC175=110, "110 × 110", "Value not 130, 160, or 110")))</f>
        <v>Value not 130, 160, or 110</v>
      </c>
      <c r="C362" s="895">
        <f>'BIS Doc'!W175</f>
        <v>0</v>
      </c>
      <c r="D362" s="896"/>
      <c r="E362" s="897">
        <f>'BIS Doc'!AE175</f>
        <v>0</v>
      </c>
      <c r="F362" s="898">
        <f ca="1">'BIS Doc'!F175</f>
        <v>0</v>
      </c>
      <c r="G362" s="899">
        <f ca="1">'BIS Doc'!J175</f>
        <v>0</v>
      </c>
      <c r="H362" s="900">
        <f ca="1">'BIS Doc'!G175</f>
        <v>0.58637131825978162</v>
      </c>
      <c r="I362" s="901">
        <f ca="1">'BIS Doc'!H175</f>
        <v>0</v>
      </c>
      <c r="J362" s="901">
        <f ca="1">'BIS Doc'!I175</f>
        <v>0</v>
      </c>
      <c r="K362" s="1451" t="str">
        <f t="shared" ca="1" si="10"/>
        <v>IS 14650 CPS 10748/GR2</v>
      </c>
      <c r="L362" s="1451"/>
      <c r="M362" s="1451"/>
      <c r="N362" s="1451"/>
      <c r="O362" s="1451"/>
      <c r="P362" s="902"/>
      <c r="Q362" s="905"/>
      <c r="R362" s="1451"/>
      <c r="S362" s="1451"/>
      <c r="T362" s="904"/>
      <c r="U362" s="1450"/>
    </row>
    <row r="363" spans="1:21" ht="19.5" customHeight="1">
      <c r="A363" s="864"/>
      <c r="B363" s="894" t="str">
        <f>IF('BIS Doc'!AC177=130, "130 × 130", IF('BIS Doc'!AC177=160, "160 × 160", IF('BIS Doc'!AC177=110, "110 × 110", "Value not 130, 160, or 110")))</f>
        <v>Value not 130, 160, or 110</v>
      </c>
      <c r="C363" s="895">
        <f>'BIS Doc'!W177</f>
        <v>0</v>
      </c>
      <c r="D363" s="896"/>
      <c r="E363" s="897">
        <f>'BIS Doc'!AE177</f>
        <v>0</v>
      </c>
      <c r="F363" s="898">
        <f ca="1">'BIS Doc'!F177</f>
        <v>0</v>
      </c>
      <c r="G363" s="899">
        <f ca="1">'BIS Doc'!J177</f>
        <v>0</v>
      </c>
      <c r="H363" s="900">
        <f ca="1">'BIS Doc'!G177</f>
        <v>0.59925938158916547</v>
      </c>
      <c r="I363" s="901">
        <f ca="1">'BIS Doc'!H177</f>
        <v>0</v>
      </c>
      <c r="J363" s="901">
        <f ca="1">'BIS Doc'!I177</f>
        <v>0</v>
      </c>
      <c r="K363" s="1451" t="str">
        <f t="shared" ca="1" si="10"/>
        <v>IS 14650 CPS 10748/GR2</v>
      </c>
      <c r="L363" s="1451"/>
      <c r="M363" s="1451"/>
      <c r="N363" s="1451"/>
      <c r="O363" s="1451"/>
      <c r="P363" s="902"/>
      <c r="Q363" s="903"/>
      <c r="R363" s="1451"/>
      <c r="S363" s="1451"/>
      <c r="T363" s="904"/>
      <c r="U363" s="1450"/>
    </row>
    <row r="364" spans="1:21" ht="19.5" customHeight="1">
      <c r="A364" s="864"/>
      <c r="B364" s="904"/>
      <c r="C364" s="895"/>
      <c r="D364" s="896"/>
      <c r="E364" s="897"/>
      <c r="F364" s="906"/>
      <c r="G364" s="907"/>
      <c r="H364" s="908"/>
      <c r="I364" s="909"/>
      <c r="J364" s="909"/>
      <c r="K364" s="1451"/>
      <c r="L364" s="1451"/>
      <c r="M364" s="1451"/>
      <c r="N364" s="1451"/>
      <c r="O364" s="1451"/>
      <c r="P364" s="902"/>
      <c r="Q364" s="903"/>
      <c r="R364" s="1451"/>
      <c r="S364" s="1451"/>
      <c r="T364" s="904"/>
      <c r="U364" s="1450"/>
    </row>
    <row r="365" spans="1:21" ht="19.5" customHeight="1">
      <c r="A365" s="864"/>
      <c r="B365" s="904"/>
      <c r="C365" s="895"/>
      <c r="D365" s="896"/>
      <c r="E365" s="897"/>
      <c r="F365" s="906"/>
      <c r="G365" s="907"/>
      <c r="H365" s="908"/>
      <c r="I365" s="909"/>
      <c r="J365" s="909"/>
      <c r="K365" s="1451"/>
      <c r="L365" s="1451"/>
      <c r="M365" s="1451"/>
      <c r="N365" s="1451"/>
      <c r="O365" s="1451"/>
      <c r="P365" s="902"/>
      <c r="Q365" s="905"/>
      <c r="R365" s="1451"/>
      <c r="S365" s="1451"/>
      <c r="T365" s="904"/>
      <c r="U365" s="1450"/>
    </row>
    <row r="366" spans="1:21" ht="19.5" customHeight="1">
      <c r="A366" s="864"/>
      <c r="B366" s="910"/>
      <c r="C366" s="911"/>
      <c r="D366" s="896"/>
      <c r="E366" s="897"/>
      <c r="F366" s="906"/>
      <c r="G366" s="907"/>
      <c r="H366" s="908"/>
      <c r="I366" s="909"/>
      <c r="J366" s="909"/>
      <c r="K366" s="1451"/>
      <c r="L366" s="1451"/>
      <c r="M366" s="1451"/>
      <c r="N366" s="1451"/>
      <c r="O366" s="1451"/>
      <c r="P366" s="912"/>
      <c r="Q366" s="913"/>
      <c r="R366" s="1452"/>
      <c r="S366" s="1452"/>
      <c r="T366" s="910"/>
      <c r="U366" s="1450"/>
    </row>
    <row r="367" spans="1:21" ht="19.5" customHeight="1">
      <c r="A367" s="914"/>
      <c r="B367" s="915"/>
      <c r="C367" s="916"/>
      <c r="D367" s="917"/>
      <c r="E367" s="918">
        <f>SUM(E358:E363)</f>
        <v>0</v>
      </c>
      <c r="F367" s="919"/>
      <c r="G367" s="920"/>
      <c r="H367" s="921"/>
      <c r="I367" s="922"/>
      <c r="J367" s="922"/>
      <c r="K367" s="1453"/>
      <c r="L367" s="1453"/>
      <c r="M367" s="1453"/>
      <c r="N367" s="1453"/>
      <c r="O367" s="1453"/>
      <c r="P367" s="923"/>
      <c r="Q367" s="924"/>
      <c r="R367" s="1454"/>
      <c r="S367" s="1454"/>
      <c r="T367" s="915"/>
      <c r="U367" s="1450"/>
    </row>
    <row r="368" spans="1:21" ht="15.75" customHeight="1">
      <c r="A368" s="864"/>
      <c r="B368" s="773"/>
      <c r="C368" s="773"/>
      <c r="D368" s="925"/>
      <c r="E368" s="926"/>
      <c r="F368" s="927"/>
      <c r="G368" s="928"/>
      <c r="H368" s="259"/>
      <c r="I368" s="259"/>
      <c r="J368" s="928"/>
      <c r="K368" s="929"/>
      <c r="L368" s="929"/>
      <c r="M368" s="929"/>
      <c r="N368" s="929"/>
      <c r="O368" s="928"/>
      <c r="P368" s="930"/>
      <c r="Q368" s="931"/>
      <c r="R368" s="931"/>
      <c r="U368" s="932"/>
    </row>
    <row r="369" spans="1:21" ht="18.75" customHeight="1">
      <c r="A369" s="864"/>
      <c r="B369" s="773"/>
      <c r="C369" s="773"/>
      <c r="D369" s="773"/>
      <c r="E369" s="773"/>
      <c r="F369" s="773"/>
      <c r="G369" s="773"/>
      <c r="H369" s="773"/>
      <c r="I369" s="773"/>
      <c r="J369" s="773"/>
      <c r="K369" s="773"/>
      <c r="P369" s="1446" t="s">
        <v>804</v>
      </c>
      <c r="Q369" s="1446"/>
      <c r="R369" s="1446"/>
      <c r="S369" s="1446"/>
      <c r="T369" s="1446"/>
      <c r="U369" s="1446"/>
    </row>
    <row r="370" spans="1:21" ht="18.75" customHeight="1">
      <c r="A370" s="1447" t="s">
        <v>805</v>
      </c>
      <c r="B370" s="1447"/>
      <c r="C370" s="933"/>
      <c r="D370" s="933"/>
      <c r="E370" s="933"/>
      <c r="F370" s="933"/>
      <c r="P370" s="855"/>
      <c r="Q370" s="855"/>
      <c r="R370" s="855"/>
      <c r="S370" s="855"/>
      <c r="T370" s="855"/>
      <c r="U370" s="934"/>
    </row>
    <row r="371" spans="1:21" ht="18.75" customHeight="1">
      <c r="A371" s="854"/>
      <c r="B371" s="855"/>
      <c r="P371" s="855"/>
      <c r="Q371" s="855"/>
      <c r="R371" s="855"/>
      <c r="S371" s="855"/>
      <c r="T371" s="855"/>
      <c r="U371" s="934"/>
    </row>
    <row r="372" spans="1:21" ht="18.75" customHeight="1">
      <c r="A372" s="854" t="s">
        <v>806</v>
      </c>
      <c r="B372" s="855"/>
      <c r="C372" s="867"/>
      <c r="D372" s="941"/>
      <c r="E372" s="933"/>
      <c r="F372" s="933"/>
      <c r="P372" s="855"/>
      <c r="Q372" s="855"/>
      <c r="R372" s="855"/>
      <c r="S372" s="855"/>
      <c r="T372" s="855"/>
      <c r="U372" s="934"/>
    </row>
    <row r="373" spans="1:21" ht="18.75" customHeight="1">
      <c r="A373" s="854"/>
      <c r="B373" s="855"/>
      <c r="C373" s="937"/>
      <c r="P373" s="855"/>
      <c r="Q373" s="855"/>
      <c r="R373" s="855"/>
      <c r="S373" s="855"/>
      <c r="T373" s="855"/>
      <c r="U373" s="934"/>
    </row>
    <row r="374" spans="1:21" ht="19.5" customHeight="1">
      <c r="A374" s="938"/>
      <c r="B374" s="939"/>
      <c r="C374" s="940"/>
      <c r="D374" s="453"/>
      <c r="E374" s="453"/>
      <c r="F374" s="453"/>
      <c r="G374" s="453"/>
      <c r="H374" s="453"/>
      <c r="I374" s="453"/>
      <c r="J374" s="453"/>
      <c r="K374" s="453"/>
      <c r="L374" s="453"/>
      <c r="M374" s="453"/>
      <c r="N374" s="453"/>
      <c r="O374" s="453"/>
      <c r="P374" s="1448" t="s">
        <v>807</v>
      </c>
      <c r="Q374" s="1448"/>
      <c r="R374" s="1448"/>
      <c r="S374" s="1448"/>
      <c r="T374" s="1448"/>
      <c r="U374" s="1448"/>
    </row>
    <row r="375" spans="1:21" ht="45.75" customHeight="1">
      <c r="A375" s="1455"/>
      <c r="B375" s="1455"/>
      <c r="C375" s="1455"/>
      <c r="D375" s="847"/>
      <c r="E375" s="1456" t="s">
        <v>774</v>
      </c>
      <c r="F375" s="1456"/>
      <c r="G375" s="1456"/>
      <c r="H375" s="1456"/>
      <c r="I375" s="1456"/>
      <c r="J375" s="1456"/>
      <c r="K375" s="1456"/>
      <c r="L375" s="1456"/>
      <c r="M375" s="1456"/>
      <c r="N375" s="1456"/>
      <c r="O375" s="1456"/>
      <c r="P375" s="1456"/>
      <c r="Q375" s="1456"/>
      <c r="R375" s="1456"/>
      <c r="S375" s="848"/>
      <c r="T375" s="1457" t="s">
        <v>775</v>
      </c>
      <c r="U375" s="1457"/>
    </row>
    <row r="376" spans="1:21" ht="18.75" customHeight="1">
      <c r="A376" s="849"/>
      <c r="E376" s="1458" t="s">
        <v>776</v>
      </c>
      <c r="F376" s="1458"/>
      <c r="G376" s="1458"/>
      <c r="H376" s="1458"/>
      <c r="I376" s="1458"/>
      <c r="J376" s="1458"/>
      <c r="K376" s="1458"/>
      <c r="L376" s="1458"/>
      <c r="M376" s="1458"/>
      <c r="N376" s="1458"/>
      <c r="O376" s="1458"/>
      <c r="P376" s="1458"/>
      <c r="Q376" s="1458"/>
      <c r="R376" s="1458"/>
      <c r="U376" s="456"/>
    </row>
    <row r="377" spans="1:21" ht="18.75" customHeight="1">
      <c r="A377" s="850"/>
      <c r="F377" s="587"/>
      <c r="G377" s="587"/>
      <c r="H377" s="587"/>
      <c r="I377" s="587"/>
      <c r="J377" s="587"/>
      <c r="K377" s="587"/>
      <c r="L377" s="587"/>
      <c r="M377" s="851"/>
      <c r="N377" s="852"/>
      <c r="O377" s="851"/>
      <c r="P377" s="1459" t="s">
        <v>777</v>
      </c>
      <c r="Q377" s="1459"/>
      <c r="R377" s="1459"/>
      <c r="S377" s="1459"/>
      <c r="T377" s="1459"/>
      <c r="U377" s="1459"/>
    </row>
    <row r="378" spans="1:21" ht="15" customHeight="1">
      <c r="A378" s="849"/>
      <c r="E378" s="1287" t="s">
        <v>778</v>
      </c>
      <c r="F378" s="1287"/>
      <c r="G378" s="1287"/>
      <c r="H378" s="1287"/>
      <c r="I378" s="1287"/>
      <c r="J378" s="1287"/>
      <c r="K378" s="1287"/>
      <c r="L378" s="1287"/>
      <c r="M378" s="1287"/>
      <c r="N378" s="1287"/>
      <c r="O378" s="1287"/>
      <c r="P378" s="1287"/>
      <c r="Q378" s="1287"/>
      <c r="R378" s="1287"/>
      <c r="U378" s="456"/>
    </row>
    <row r="379" spans="1:21" ht="18.75" customHeight="1">
      <c r="A379" s="849"/>
      <c r="E379" s="1286" t="s">
        <v>779</v>
      </c>
      <c r="F379" s="1286"/>
      <c r="G379" s="1286"/>
      <c r="H379" s="1286"/>
      <c r="I379" s="1286"/>
      <c r="J379" s="1286"/>
      <c r="K379" s="1286"/>
      <c r="L379" s="1286"/>
      <c r="M379" s="1286"/>
      <c r="N379" s="1286"/>
      <c r="O379" s="1286"/>
      <c r="P379" s="1286"/>
      <c r="Q379" s="1286"/>
      <c r="R379" s="1286"/>
      <c r="U379" s="853"/>
    </row>
    <row r="380" spans="1:21" ht="23.25" customHeight="1">
      <c r="A380" s="854" t="s">
        <v>780</v>
      </c>
      <c r="B380" s="855"/>
      <c r="C380" s="855"/>
      <c r="D380" s="856" t="s">
        <v>835</v>
      </c>
      <c r="E380" s="857"/>
      <c r="F380" s="858"/>
      <c r="G380" s="859"/>
      <c r="H380" s="859"/>
      <c r="I380" s="859"/>
      <c r="J380" s="859"/>
      <c r="K380" s="859"/>
      <c r="L380" s="860"/>
      <c r="M380" s="1460"/>
      <c r="N380" s="1460"/>
      <c r="O380" s="1460"/>
      <c r="P380" s="1461" t="s">
        <v>781</v>
      </c>
      <c r="Q380" s="1461"/>
      <c r="R380" s="1461"/>
      <c r="S380" s="855"/>
      <c r="T380" s="861">
        <v>46301</v>
      </c>
      <c r="U380" s="456"/>
    </row>
    <row r="381" spans="1:21" ht="23.25" customHeight="1">
      <c r="A381" s="854"/>
      <c r="B381" s="862"/>
      <c r="C381" s="862"/>
      <c r="D381" s="862"/>
      <c r="E381" s="163"/>
      <c r="F381" s="863"/>
      <c r="G381" s="863"/>
      <c r="H381" s="863"/>
      <c r="I381" s="863"/>
      <c r="J381" s="863"/>
      <c r="K381" s="863"/>
      <c r="U381" s="456"/>
    </row>
    <row r="382" spans="1:21" ht="21" customHeight="1">
      <c r="A382" s="864" t="s">
        <v>782</v>
      </c>
      <c r="B382" s="865"/>
      <c r="C382" s="866"/>
      <c r="D382" s="867"/>
      <c r="E382" s="868"/>
      <c r="F382" s="869"/>
      <c r="G382" s="869"/>
      <c r="H382" s="869"/>
      <c r="I382" s="870"/>
      <c r="J382" s="870"/>
      <c r="P382" s="1462"/>
      <c r="Q382" s="1462"/>
      <c r="R382" s="1462"/>
      <c r="S382" s="1462"/>
      <c r="T382" s="871"/>
      <c r="U382" s="456"/>
    </row>
    <row r="383" spans="1:21" ht="21" customHeight="1">
      <c r="A383" s="872"/>
      <c r="B383" s="873"/>
      <c r="C383" s="869"/>
      <c r="D383" s="869"/>
      <c r="E383" s="869"/>
      <c r="F383" s="869"/>
      <c r="G383" s="869"/>
      <c r="H383" s="869"/>
      <c r="I383" s="870"/>
      <c r="J383" s="870"/>
      <c r="U383" s="456"/>
    </row>
    <row r="384" spans="1:21" ht="15" customHeight="1">
      <c r="A384" s="1463" t="s">
        <v>783</v>
      </c>
      <c r="B384" s="1463"/>
      <c r="C384" s="1463"/>
      <c r="D384" s="1463"/>
      <c r="E384" s="1463"/>
      <c r="F384" s="1463"/>
      <c r="G384" s="1463"/>
      <c r="H384" s="1463"/>
      <c r="I384" s="1463"/>
      <c r="J384" s="1463"/>
      <c r="K384" s="1463"/>
      <c r="L384" s="1463"/>
      <c r="M384" s="1463"/>
      <c r="N384" s="1463"/>
      <c r="O384" s="1463"/>
      <c r="P384" s="1463"/>
      <c r="Q384" s="1463"/>
      <c r="R384" s="1463"/>
      <c r="S384" s="1463"/>
      <c r="T384" s="1463"/>
      <c r="U384" s="1463"/>
    </row>
    <row r="385" spans="1:21" ht="15" customHeight="1">
      <c r="A385" s="1463"/>
      <c r="B385" s="1463"/>
      <c r="C385" s="1463"/>
      <c r="D385" s="1463"/>
      <c r="E385" s="1463"/>
      <c r="F385" s="1463"/>
      <c r="G385" s="1463"/>
      <c r="H385" s="1463"/>
      <c r="I385" s="1463"/>
      <c r="J385" s="1463"/>
      <c r="K385" s="1463"/>
      <c r="L385" s="1463"/>
      <c r="M385" s="1463"/>
      <c r="N385" s="1463"/>
      <c r="O385" s="1463"/>
      <c r="P385" s="1463"/>
      <c r="Q385" s="1463"/>
      <c r="R385" s="1463"/>
      <c r="S385" s="1463"/>
      <c r="T385" s="1463"/>
      <c r="U385" s="1463"/>
    </row>
    <row r="386" spans="1:21" ht="18" customHeight="1">
      <c r="A386" s="1464" t="s">
        <v>784</v>
      </c>
      <c r="B386" s="1464"/>
      <c r="C386" s="1464"/>
      <c r="D386" s="1464"/>
      <c r="E386" s="1464"/>
      <c r="F386" s="1464"/>
      <c r="G386" s="1464"/>
      <c r="H386" s="1464"/>
      <c r="I386" s="1464"/>
      <c r="J386" s="1464"/>
      <c r="K386" s="1464"/>
      <c r="L386" s="1464"/>
      <c r="M386" s="1464"/>
      <c r="N386" s="1464"/>
      <c r="O386" s="1464"/>
      <c r="P386" s="1464"/>
      <c r="Q386" s="1464"/>
      <c r="R386" s="1464"/>
      <c r="S386" s="1464"/>
      <c r="T386" s="1464"/>
      <c r="U386" s="1464"/>
    </row>
    <row r="387" spans="1:21" ht="23.25" customHeight="1">
      <c r="A387" s="1465" t="s">
        <v>785</v>
      </c>
      <c r="B387" s="1465"/>
      <c r="C387" s="1465"/>
      <c r="D387" s="1465"/>
      <c r="E387" s="1465"/>
      <c r="F387" s="1465"/>
      <c r="G387" s="1465"/>
      <c r="H387" s="1465"/>
      <c r="I387" s="1465"/>
      <c r="J387" s="1465"/>
      <c r="K387" s="1465"/>
      <c r="L387" s="1465"/>
      <c r="M387" s="1465"/>
      <c r="N387" s="1465"/>
      <c r="O387" s="1465"/>
      <c r="P387" s="1465"/>
      <c r="Q387" s="1465"/>
      <c r="R387" s="1465"/>
      <c r="S387" s="1465"/>
      <c r="T387" s="1465"/>
      <c r="U387" s="1465"/>
    </row>
    <row r="388" spans="1:21" ht="21.75" customHeight="1">
      <c r="A388" s="874"/>
      <c r="B388" s="875"/>
      <c r="C388" s="875"/>
      <c r="D388" s="875"/>
      <c r="E388" s="875"/>
      <c r="F388" s="875"/>
      <c r="G388" s="875"/>
      <c r="H388" s="875"/>
      <c r="I388" s="875"/>
      <c r="J388" s="875"/>
      <c r="K388" s="875"/>
      <c r="L388" s="875"/>
      <c r="M388" s="875"/>
      <c r="N388" s="875"/>
      <c r="O388" s="875"/>
      <c r="P388" s="875"/>
      <c r="Q388" s="875"/>
      <c r="R388" s="875"/>
      <c r="S388" s="875"/>
      <c r="T388" s="875"/>
      <c r="U388" s="876"/>
    </row>
    <row r="389" spans="1:21" ht="15" customHeight="1">
      <c r="A389" s="1466" t="s">
        <v>786</v>
      </c>
      <c r="B389" s="1467" t="s">
        <v>787</v>
      </c>
      <c r="C389" s="1468" t="s">
        <v>788</v>
      </c>
      <c r="D389" s="1468" t="s">
        <v>789</v>
      </c>
      <c r="E389" s="1469" t="s">
        <v>790</v>
      </c>
      <c r="F389" s="1468" t="s">
        <v>791</v>
      </c>
      <c r="G389" s="1468"/>
      <c r="H389" s="1468"/>
      <c r="I389" s="1468"/>
      <c r="J389" s="1468"/>
      <c r="K389" s="1468"/>
      <c r="L389" s="1468"/>
      <c r="M389" s="1468"/>
      <c r="N389" s="1468"/>
      <c r="O389" s="1468"/>
      <c r="P389" s="1470"/>
      <c r="Q389" s="1470"/>
      <c r="R389" s="1470"/>
      <c r="S389" s="1470"/>
      <c r="T389" s="1470"/>
      <c r="U389" s="1470"/>
    </row>
    <row r="390" spans="1:21" ht="15.75" customHeight="1">
      <c r="A390" s="1466"/>
      <c r="B390" s="1467"/>
      <c r="C390" s="1468"/>
      <c r="D390" s="1468"/>
      <c r="E390" s="1469"/>
      <c r="F390" s="1468"/>
      <c r="G390" s="1468"/>
      <c r="H390" s="1468"/>
      <c r="I390" s="1468"/>
      <c r="J390" s="1468"/>
      <c r="K390" s="1468"/>
      <c r="L390" s="1468"/>
      <c r="M390" s="1468"/>
      <c r="N390" s="1468"/>
      <c r="O390" s="1468"/>
      <c r="P390" s="1470"/>
      <c r="Q390" s="1470"/>
      <c r="R390" s="1470"/>
      <c r="S390" s="1470"/>
      <c r="T390" s="1470"/>
      <c r="U390" s="1470"/>
    </row>
    <row r="391" spans="1:21" ht="48" customHeight="1">
      <c r="A391" s="1466"/>
      <c r="B391" s="1467"/>
      <c r="C391" s="1468"/>
      <c r="D391" s="1468"/>
      <c r="E391" s="1469"/>
      <c r="F391" s="878" t="s">
        <v>792</v>
      </c>
      <c r="G391" s="877" t="s">
        <v>793</v>
      </c>
      <c r="H391" s="878" t="s">
        <v>794</v>
      </c>
      <c r="I391" s="879" t="s">
        <v>795</v>
      </c>
      <c r="J391" s="880" t="s">
        <v>796</v>
      </c>
      <c r="K391" s="1468" t="s">
        <v>797</v>
      </c>
      <c r="L391" s="1468"/>
      <c r="M391" s="1468"/>
      <c r="N391" s="1468"/>
      <c r="O391" s="1468"/>
      <c r="P391" s="881" t="s">
        <v>798</v>
      </c>
      <c r="Q391" s="882" t="s">
        <v>799</v>
      </c>
      <c r="R391" s="1469" t="s">
        <v>800</v>
      </c>
      <c r="S391" s="1469"/>
      <c r="T391" s="877" t="s">
        <v>801</v>
      </c>
      <c r="U391" s="879" t="s">
        <v>104</v>
      </c>
    </row>
    <row r="392" spans="1:21" ht="19.5" customHeight="1">
      <c r="A392" s="883"/>
      <c r="B392" s="884" t="str">
        <f>IF('BIS Doc'!AC179=130, "130 × 130", IF('BIS Doc'!AC179=160, "160 × 160", IF('BIS Doc'!AC179=110, "110 × 110", "Value not 130, 160, or 110")))</f>
        <v>Value not 130, 160, or 110</v>
      </c>
      <c r="C392" s="885">
        <f>'BIS Doc'!W179</f>
        <v>0</v>
      </c>
      <c r="D392" s="886"/>
      <c r="E392" s="887">
        <f>'BIS Doc'!AE179</f>
        <v>0</v>
      </c>
      <c r="F392" s="888">
        <f ca="1">'BIS Doc'!F179</f>
        <v>0</v>
      </c>
      <c r="G392" s="888">
        <f ca="1">'BIS Doc'!J179</f>
        <v>0</v>
      </c>
      <c r="H392" s="888">
        <f ca="1">'BIS Doc'!G179</f>
        <v>0.58817761677117186</v>
      </c>
      <c r="I392" s="889">
        <f ca="1">'BIS Doc'!H179</f>
        <v>0</v>
      </c>
      <c r="J392" s="889">
        <f ca="1">'BIS Doc'!I179</f>
        <v>0</v>
      </c>
      <c r="K392" s="1449" t="str">
        <f t="shared" ref="K392:K397" ca="1" si="11">IF(H392&lt;0.6, "IS 14650 CPS 10748/GR2", "IS 14650 CPS 10748/GR3")</f>
        <v>IS 14650 CPS 10748/GR2</v>
      </c>
      <c r="L392" s="1449"/>
      <c r="M392" s="1449"/>
      <c r="N392" s="1449"/>
      <c r="O392" s="1449"/>
      <c r="P392" s="890"/>
      <c r="Q392" s="891"/>
      <c r="R392" s="1449"/>
      <c r="S392" s="1449"/>
      <c r="T392" s="892"/>
      <c r="U392" s="1450" t="s">
        <v>802</v>
      </c>
    </row>
    <row r="393" spans="1:21" ht="19.5" customHeight="1">
      <c r="A393" s="893"/>
      <c r="B393" s="894" t="str">
        <f>IF('BIS Doc'!AC181=130, "130 × 130", IF('BIS Doc'!AC181=160, "160 × 160", IF('BIS Doc'!AC181=110, "110 × 110", "Value not 130, 160, or 110")))</f>
        <v>Value not 130, 160, or 110</v>
      </c>
      <c r="C393" s="895">
        <f>'BIS Doc'!W181</f>
        <v>0</v>
      </c>
      <c r="D393" s="896"/>
      <c r="E393" s="897">
        <f>'BIS Doc'!AE181</f>
        <v>0</v>
      </c>
      <c r="F393" s="898">
        <f ca="1">'BIS Doc'!F181</f>
        <v>0</v>
      </c>
      <c r="G393" s="899">
        <f ca="1">'BIS Doc'!J181</f>
        <v>0</v>
      </c>
      <c r="H393" s="900">
        <f ca="1">'BIS Doc'!G181</f>
        <v>0.5261137468855025</v>
      </c>
      <c r="I393" s="901">
        <f ca="1">'BIS Doc'!H181</f>
        <v>0</v>
      </c>
      <c r="J393" s="901">
        <f ca="1">'BIS Doc'!I181</f>
        <v>0</v>
      </c>
      <c r="K393" s="1451" t="str">
        <f t="shared" ca="1" si="11"/>
        <v>IS 14650 CPS 10748/GR2</v>
      </c>
      <c r="L393" s="1451"/>
      <c r="M393" s="1451"/>
      <c r="N393" s="1451"/>
      <c r="O393" s="1451"/>
      <c r="P393" s="902"/>
      <c r="Q393" s="903"/>
      <c r="R393" s="1451"/>
      <c r="S393" s="1451"/>
      <c r="T393" s="904"/>
      <c r="U393" s="1450"/>
    </row>
    <row r="394" spans="1:21" ht="19.5" customHeight="1">
      <c r="A394" s="864"/>
      <c r="B394" s="894" t="str">
        <f>IF('BIS Doc'!AC183=130, "130 × 130", IF('BIS Doc'!AC183=160, "160 × 160", IF('BIS Doc'!AC183=110, "110 × 110", "Value not 130, 160, or 110")))</f>
        <v>Value not 130, 160, or 110</v>
      </c>
      <c r="C394" s="895">
        <f>'BIS Doc'!W183</f>
        <v>0</v>
      </c>
      <c r="D394" s="896" t="s">
        <v>803</v>
      </c>
      <c r="E394" s="897">
        <f>'BIS Doc'!AE183</f>
        <v>0</v>
      </c>
      <c r="F394" s="898">
        <f ca="1">'BIS Doc'!F183</f>
        <v>0</v>
      </c>
      <c r="G394" s="899">
        <f ca="1">'BIS Doc'!J183</f>
        <v>0</v>
      </c>
      <c r="H394" s="900">
        <f ca="1">'BIS Doc'!G183</f>
        <v>0.50281639703394154</v>
      </c>
      <c r="I394" s="901">
        <f ca="1">'BIS Doc'!H183</f>
        <v>0</v>
      </c>
      <c r="J394" s="901">
        <f ca="1">'BIS Doc'!I183</f>
        <v>0</v>
      </c>
      <c r="K394" s="1451" t="str">
        <f t="shared" ca="1" si="11"/>
        <v>IS 14650 CPS 10748/GR2</v>
      </c>
      <c r="L394" s="1451"/>
      <c r="M394" s="1451"/>
      <c r="N394" s="1451"/>
      <c r="O394" s="1451"/>
      <c r="P394" s="902"/>
      <c r="Q394" s="905"/>
      <c r="R394" s="1451"/>
      <c r="S394" s="1451"/>
      <c r="T394" s="904"/>
      <c r="U394" s="1450"/>
    </row>
    <row r="395" spans="1:21" ht="19.5" customHeight="1">
      <c r="A395" s="864"/>
      <c r="B395" s="894" t="str">
        <f>IF('BIS Doc'!AC185=130, "130 × 130", IF('BIS Doc'!AC185=160, "160 × 160", IF('BIS Doc'!AC185=110, "110 × 110", "Value not 130, 160, or 110")))</f>
        <v>Value not 130, 160, or 110</v>
      </c>
      <c r="C395" s="895">
        <f>'BIS Doc'!W185</f>
        <v>0</v>
      </c>
      <c r="D395" s="896"/>
      <c r="E395" s="897">
        <f>'BIS Doc'!AE185</f>
        <v>0</v>
      </c>
      <c r="F395" s="898">
        <f ca="1">'BIS Doc'!F185</f>
        <v>0</v>
      </c>
      <c r="G395" s="899">
        <f ca="1">'BIS Doc'!J185</f>
        <v>0</v>
      </c>
      <c r="H395" s="900">
        <f ca="1">'BIS Doc'!G185</f>
        <v>0.5809914843689884</v>
      </c>
      <c r="I395" s="901">
        <f ca="1">'BIS Doc'!H185</f>
        <v>0</v>
      </c>
      <c r="J395" s="901">
        <f ca="1">'BIS Doc'!I185</f>
        <v>0</v>
      </c>
      <c r="K395" s="1451" t="str">
        <f t="shared" ca="1" si="11"/>
        <v>IS 14650 CPS 10748/GR2</v>
      </c>
      <c r="L395" s="1451"/>
      <c r="M395" s="1451"/>
      <c r="N395" s="1451"/>
      <c r="O395" s="1451"/>
      <c r="P395" s="902"/>
      <c r="Q395" s="905"/>
      <c r="R395" s="1451"/>
      <c r="S395" s="1451"/>
      <c r="T395" s="904"/>
      <c r="U395" s="1450"/>
    </row>
    <row r="396" spans="1:21" ht="19.5" customHeight="1">
      <c r="A396" s="864"/>
      <c r="B396" s="894" t="str">
        <f>IF('BIS Doc'!AC187=130, "130 × 130", IF('BIS Doc'!AC187=160, "160 × 160", IF('BIS Doc'!AC187=110, "110 × 110", "Value not 130, 160, or 110")))</f>
        <v>Value not 130, 160, or 110</v>
      </c>
      <c r="C396" s="895">
        <f>'BIS Doc'!W187</f>
        <v>0</v>
      </c>
      <c r="D396" s="896"/>
      <c r="E396" s="897">
        <f>'BIS Doc'!AE187</f>
        <v>0</v>
      </c>
      <c r="F396" s="898">
        <f ca="1">'BIS Doc'!F187</f>
        <v>0</v>
      </c>
      <c r="G396" s="899">
        <f ca="1">'BIS Doc'!J187</f>
        <v>0</v>
      </c>
      <c r="H396" s="900">
        <f ca="1">'BIS Doc'!G187</f>
        <v>0.55450468704737077</v>
      </c>
      <c r="I396" s="901">
        <f ca="1">'BIS Doc'!H187</f>
        <v>0</v>
      </c>
      <c r="J396" s="901">
        <f ca="1">'BIS Doc'!I187</f>
        <v>0</v>
      </c>
      <c r="K396" s="1451" t="str">
        <f t="shared" ca="1" si="11"/>
        <v>IS 14650 CPS 10748/GR2</v>
      </c>
      <c r="L396" s="1451"/>
      <c r="M396" s="1451"/>
      <c r="N396" s="1451"/>
      <c r="O396" s="1451"/>
      <c r="P396" s="902"/>
      <c r="Q396" s="905"/>
      <c r="R396" s="1451"/>
      <c r="S396" s="1451"/>
      <c r="T396" s="904"/>
      <c r="U396" s="1450"/>
    </row>
    <row r="397" spans="1:21" ht="19.5" customHeight="1">
      <c r="A397" s="864"/>
      <c r="B397" s="894" t="str">
        <f>IF('BIS Doc'!AC189=130, "130 × 130", IF('BIS Doc'!AC189=160, "160 × 160", IF('BIS Doc'!AC189=110, "110 × 110", "Value not 130, 160, or 110")))</f>
        <v>Value not 130, 160, or 110</v>
      </c>
      <c r="C397" s="895">
        <f>'BIS Doc'!W189</f>
        <v>0</v>
      </c>
      <c r="D397" s="896"/>
      <c r="E397" s="897">
        <f>'BIS Doc'!AE189</f>
        <v>0</v>
      </c>
      <c r="F397" s="898">
        <f ca="1">'BIS Doc'!F189</f>
        <v>0</v>
      </c>
      <c r="G397" s="899">
        <f ca="1">'BIS Doc'!J189</f>
        <v>0</v>
      </c>
      <c r="H397" s="900">
        <f ca="1">'BIS Doc'!G189</f>
        <v>0.51661272424864135</v>
      </c>
      <c r="I397" s="901">
        <f ca="1">'BIS Doc'!H189</f>
        <v>0</v>
      </c>
      <c r="J397" s="901">
        <f ca="1">'BIS Doc'!I189</f>
        <v>0</v>
      </c>
      <c r="K397" s="1451" t="str">
        <f t="shared" ca="1" si="11"/>
        <v>IS 14650 CPS 10748/GR2</v>
      </c>
      <c r="L397" s="1451"/>
      <c r="M397" s="1451"/>
      <c r="N397" s="1451"/>
      <c r="O397" s="1451"/>
      <c r="P397" s="902"/>
      <c r="Q397" s="903"/>
      <c r="R397" s="1451"/>
      <c r="S397" s="1451"/>
      <c r="T397" s="904"/>
      <c r="U397" s="1450"/>
    </row>
    <row r="398" spans="1:21" ht="19.5" customHeight="1">
      <c r="A398" s="864"/>
      <c r="B398" s="904"/>
      <c r="C398" s="895"/>
      <c r="D398" s="896"/>
      <c r="E398" s="897"/>
      <c r="F398" s="906"/>
      <c r="G398" s="907"/>
      <c r="H398" s="908"/>
      <c r="I398" s="909"/>
      <c r="J398" s="909"/>
      <c r="K398" s="1451"/>
      <c r="L398" s="1451"/>
      <c r="M398" s="1451"/>
      <c r="N398" s="1451"/>
      <c r="O398" s="1451"/>
      <c r="P398" s="902"/>
      <c r="Q398" s="903"/>
      <c r="R398" s="1451"/>
      <c r="S398" s="1451"/>
      <c r="T398" s="904"/>
      <c r="U398" s="1450"/>
    </row>
    <row r="399" spans="1:21" ht="19.5" customHeight="1">
      <c r="A399" s="864"/>
      <c r="B399" s="904"/>
      <c r="C399" s="895"/>
      <c r="D399" s="896"/>
      <c r="E399" s="897"/>
      <c r="F399" s="906"/>
      <c r="G399" s="907"/>
      <c r="H399" s="908"/>
      <c r="I399" s="909"/>
      <c r="J399" s="909"/>
      <c r="K399" s="1451"/>
      <c r="L399" s="1451"/>
      <c r="M399" s="1451"/>
      <c r="N399" s="1451"/>
      <c r="O399" s="1451"/>
      <c r="P399" s="902"/>
      <c r="Q399" s="905"/>
      <c r="R399" s="1451"/>
      <c r="S399" s="1451"/>
      <c r="T399" s="904"/>
      <c r="U399" s="1450"/>
    </row>
    <row r="400" spans="1:21" ht="19.5" customHeight="1">
      <c r="A400" s="864"/>
      <c r="B400" s="910"/>
      <c r="C400" s="911"/>
      <c r="D400" s="896"/>
      <c r="E400" s="897"/>
      <c r="F400" s="906"/>
      <c r="G400" s="907"/>
      <c r="H400" s="908"/>
      <c r="I400" s="909"/>
      <c r="J400" s="909"/>
      <c r="K400" s="1451"/>
      <c r="L400" s="1451"/>
      <c r="M400" s="1451"/>
      <c r="N400" s="1451"/>
      <c r="O400" s="1451"/>
      <c r="P400" s="912"/>
      <c r="Q400" s="913"/>
      <c r="R400" s="1452"/>
      <c r="S400" s="1452"/>
      <c r="T400" s="910"/>
      <c r="U400" s="1450"/>
    </row>
    <row r="401" spans="1:21" ht="19.5" customHeight="1">
      <c r="A401" s="914"/>
      <c r="B401" s="915"/>
      <c r="C401" s="916"/>
      <c r="D401" s="917"/>
      <c r="E401" s="918">
        <f>SUM(E392:E397)</f>
        <v>0</v>
      </c>
      <c r="F401" s="919"/>
      <c r="G401" s="920"/>
      <c r="H401" s="921"/>
      <c r="I401" s="922"/>
      <c r="J401" s="922"/>
      <c r="K401" s="1453"/>
      <c r="L401" s="1453"/>
      <c r="M401" s="1453"/>
      <c r="N401" s="1453"/>
      <c r="O401" s="1453"/>
      <c r="P401" s="923"/>
      <c r="Q401" s="924"/>
      <c r="R401" s="1454"/>
      <c r="S401" s="1454"/>
      <c r="T401" s="915"/>
      <c r="U401" s="1450"/>
    </row>
    <row r="402" spans="1:21" ht="15.75" customHeight="1">
      <c r="A402" s="864"/>
      <c r="B402" s="773"/>
      <c r="C402" s="773"/>
      <c r="D402" s="925"/>
      <c r="E402" s="926"/>
      <c r="F402" s="927"/>
      <c r="G402" s="928"/>
      <c r="H402" s="259"/>
      <c r="I402" s="259"/>
      <c r="J402" s="928"/>
      <c r="K402" s="929"/>
      <c r="L402" s="929"/>
      <c r="M402" s="929"/>
      <c r="N402" s="929"/>
      <c r="O402" s="928"/>
      <c r="P402" s="930"/>
      <c r="Q402" s="931"/>
      <c r="R402" s="931"/>
      <c r="U402" s="932"/>
    </row>
    <row r="403" spans="1:21" ht="18.75" customHeight="1">
      <c r="A403" s="864"/>
      <c r="B403" s="773"/>
      <c r="C403" s="773"/>
      <c r="D403" s="773"/>
      <c r="E403" s="773"/>
      <c r="F403" s="773"/>
      <c r="G403" s="773"/>
      <c r="H403" s="773"/>
      <c r="I403" s="773"/>
      <c r="J403" s="773"/>
      <c r="K403" s="773"/>
      <c r="P403" s="1446" t="s">
        <v>804</v>
      </c>
      <c r="Q403" s="1446"/>
      <c r="R403" s="1446"/>
      <c r="S403" s="1446"/>
      <c r="T403" s="1446"/>
      <c r="U403" s="1446"/>
    </row>
    <row r="404" spans="1:21" ht="18.75" customHeight="1">
      <c r="A404" s="1447" t="s">
        <v>805</v>
      </c>
      <c r="B404" s="1447"/>
      <c r="C404" s="933"/>
      <c r="D404" s="933"/>
      <c r="E404" s="933"/>
      <c r="F404" s="933"/>
      <c r="P404" s="855"/>
      <c r="Q404" s="855"/>
      <c r="R404" s="855"/>
      <c r="S404" s="855"/>
      <c r="T404" s="855"/>
      <c r="U404" s="934"/>
    </row>
    <row r="405" spans="1:21" ht="18.75" customHeight="1">
      <c r="A405" s="854"/>
      <c r="B405" s="855"/>
      <c r="P405" s="855"/>
      <c r="Q405" s="855"/>
      <c r="R405" s="855"/>
      <c r="S405" s="855"/>
      <c r="T405" s="855"/>
      <c r="U405" s="934"/>
    </row>
    <row r="406" spans="1:21" ht="18.75" customHeight="1">
      <c r="A406" s="854" t="s">
        <v>806</v>
      </c>
      <c r="B406" s="855"/>
      <c r="C406" s="867"/>
      <c r="D406" s="941"/>
      <c r="E406" s="933"/>
      <c r="F406" s="933"/>
      <c r="P406" s="855"/>
      <c r="Q406" s="855"/>
      <c r="R406" s="855"/>
      <c r="S406" s="855"/>
      <c r="T406" s="855"/>
      <c r="U406" s="934"/>
    </row>
    <row r="407" spans="1:21" ht="18.75" customHeight="1">
      <c r="A407" s="854"/>
      <c r="B407" s="855"/>
      <c r="C407" s="937"/>
      <c r="P407" s="855"/>
      <c r="Q407" s="855"/>
      <c r="R407" s="855"/>
      <c r="S407" s="855"/>
      <c r="T407" s="855"/>
      <c r="U407" s="934"/>
    </row>
    <row r="408" spans="1:21" ht="19.5" customHeight="1">
      <c r="A408" s="938"/>
      <c r="B408" s="939"/>
      <c r="C408" s="940"/>
      <c r="D408" s="453"/>
      <c r="E408" s="453"/>
      <c r="F408" s="453"/>
      <c r="G408" s="453"/>
      <c r="H408" s="453"/>
      <c r="I408" s="453"/>
      <c r="J408" s="453"/>
      <c r="K408" s="453"/>
      <c r="L408" s="453"/>
      <c r="M408" s="453"/>
      <c r="N408" s="453"/>
      <c r="O408" s="453"/>
      <c r="P408" s="1448" t="s">
        <v>807</v>
      </c>
      <c r="Q408" s="1448"/>
      <c r="R408" s="1448"/>
      <c r="S408" s="1448"/>
      <c r="T408" s="1448"/>
      <c r="U408" s="1448"/>
    </row>
    <row r="409" spans="1:21" ht="45.75" customHeight="1">
      <c r="A409" s="1455"/>
      <c r="B409" s="1455"/>
      <c r="C409" s="1455"/>
      <c r="D409" s="847"/>
      <c r="E409" s="1456" t="s">
        <v>774</v>
      </c>
      <c r="F409" s="1456"/>
      <c r="G409" s="1456"/>
      <c r="H409" s="1456"/>
      <c r="I409" s="1456"/>
      <c r="J409" s="1456"/>
      <c r="K409" s="1456"/>
      <c r="L409" s="1456"/>
      <c r="M409" s="1456"/>
      <c r="N409" s="1456"/>
      <c r="O409" s="1456"/>
      <c r="P409" s="1456"/>
      <c r="Q409" s="1456"/>
      <c r="R409" s="1456"/>
      <c r="S409" s="848"/>
      <c r="T409" s="1457" t="s">
        <v>775</v>
      </c>
      <c r="U409" s="1457"/>
    </row>
    <row r="410" spans="1:21" ht="18.75" customHeight="1">
      <c r="A410" s="849"/>
      <c r="E410" s="1458" t="s">
        <v>776</v>
      </c>
      <c r="F410" s="1458"/>
      <c r="G410" s="1458"/>
      <c r="H410" s="1458"/>
      <c r="I410" s="1458"/>
      <c r="J410" s="1458"/>
      <c r="K410" s="1458"/>
      <c r="L410" s="1458"/>
      <c r="M410" s="1458"/>
      <c r="N410" s="1458"/>
      <c r="O410" s="1458"/>
      <c r="P410" s="1458"/>
      <c r="Q410" s="1458"/>
      <c r="R410" s="1458"/>
      <c r="U410" s="456"/>
    </row>
    <row r="411" spans="1:21" ht="18.75" customHeight="1">
      <c r="A411" s="850"/>
      <c r="F411" s="587"/>
      <c r="G411" s="587"/>
      <c r="H411" s="587"/>
      <c r="I411" s="587"/>
      <c r="J411" s="587"/>
      <c r="K411" s="587"/>
      <c r="L411" s="587"/>
      <c r="M411" s="851"/>
      <c r="N411" s="852"/>
      <c r="O411" s="851"/>
      <c r="P411" s="1459" t="s">
        <v>777</v>
      </c>
      <c r="Q411" s="1459"/>
      <c r="R411" s="1459"/>
      <c r="S411" s="1459"/>
      <c r="T411" s="1459"/>
      <c r="U411" s="1459"/>
    </row>
    <row r="412" spans="1:21" ht="15" customHeight="1">
      <c r="A412" s="849"/>
      <c r="E412" s="1287" t="s">
        <v>778</v>
      </c>
      <c r="F412" s="1287"/>
      <c r="G412" s="1287"/>
      <c r="H412" s="1287"/>
      <c r="I412" s="1287"/>
      <c r="J412" s="1287"/>
      <c r="K412" s="1287"/>
      <c r="L412" s="1287"/>
      <c r="M412" s="1287"/>
      <c r="N412" s="1287"/>
      <c r="O412" s="1287"/>
      <c r="P412" s="1287"/>
      <c r="Q412" s="1287"/>
      <c r="R412" s="1287"/>
      <c r="U412" s="456"/>
    </row>
    <row r="413" spans="1:21" ht="18.75" customHeight="1">
      <c r="A413" s="849"/>
      <c r="E413" s="1286" t="s">
        <v>779</v>
      </c>
      <c r="F413" s="1286"/>
      <c r="G413" s="1286"/>
      <c r="H413" s="1286"/>
      <c r="I413" s="1286"/>
      <c r="J413" s="1286"/>
      <c r="K413" s="1286"/>
      <c r="L413" s="1286"/>
      <c r="M413" s="1286"/>
      <c r="N413" s="1286"/>
      <c r="O413" s="1286"/>
      <c r="P413" s="1286"/>
      <c r="Q413" s="1286"/>
      <c r="R413" s="1286"/>
      <c r="U413" s="853"/>
    </row>
    <row r="414" spans="1:21" ht="23.25" customHeight="1">
      <c r="A414" s="854" t="s">
        <v>780</v>
      </c>
      <c r="B414" s="855"/>
      <c r="C414" s="855"/>
      <c r="D414" s="856" t="s">
        <v>836</v>
      </c>
      <c r="E414" s="857"/>
      <c r="F414" s="858"/>
      <c r="G414" s="859"/>
      <c r="H414" s="859"/>
      <c r="I414" s="859"/>
      <c r="J414" s="859"/>
      <c r="K414" s="859"/>
      <c r="L414" s="860"/>
      <c r="M414" s="1460"/>
      <c r="N414" s="1460"/>
      <c r="O414" s="1460"/>
      <c r="P414" s="1461" t="s">
        <v>781</v>
      </c>
      <c r="Q414" s="1461"/>
      <c r="R414" s="1461"/>
      <c r="S414" s="855"/>
      <c r="T414" s="861">
        <v>46302</v>
      </c>
      <c r="U414" s="456"/>
    </row>
    <row r="415" spans="1:21" ht="23.25" customHeight="1">
      <c r="A415" s="854"/>
      <c r="B415" s="862"/>
      <c r="C415" s="862"/>
      <c r="D415" s="862"/>
      <c r="E415" s="163"/>
      <c r="F415" s="863"/>
      <c r="G415" s="863"/>
      <c r="H415" s="863"/>
      <c r="I415" s="863"/>
      <c r="J415" s="863"/>
      <c r="K415" s="863"/>
      <c r="U415" s="456"/>
    </row>
    <row r="416" spans="1:21" ht="21" customHeight="1">
      <c r="A416" s="864" t="s">
        <v>782</v>
      </c>
      <c r="B416" s="865"/>
      <c r="C416" s="866"/>
      <c r="D416" s="867"/>
      <c r="E416" s="868"/>
      <c r="F416" s="869"/>
      <c r="G416" s="869"/>
      <c r="H416" s="869"/>
      <c r="I416" s="870"/>
      <c r="J416" s="870"/>
      <c r="P416" s="1462"/>
      <c r="Q416" s="1462"/>
      <c r="R416" s="1462"/>
      <c r="S416" s="1462"/>
      <c r="T416" s="871"/>
      <c r="U416" s="456"/>
    </row>
    <row r="417" spans="1:21" ht="21" customHeight="1">
      <c r="A417" s="872"/>
      <c r="B417" s="873"/>
      <c r="C417" s="869"/>
      <c r="D417" s="869"/>
      <c r="E417" s="869"/>
      <c r="F417" s="869"/>
      <c r="G417" s="869"/>
      <c r="H417" s="869"/>
      <c r="I417" s="870"/>
      <c r="J417" s="870"/>
      <c r="U417" s="456"/>
    </row>
    <row r="418" spans="1:21" ht="15" customHeight="1">
      <c r="A418" s="1463" t="s">
        <v>783</v>
      </c>
      <c r="B418" s="1463"/>
      <c r="C418" s="1463"/>
      <c r="D418" s="1463"/>
      <c r="E418" s="1463"/>
      <c r="F418" s="1463"/>
      <c r="G418" s="1463"/>
      <c r="H418" s="1463"/>
      <c r="I418" s="1463"/>
      <c r="J418" s="1463"/>
      <c r="K418" s="1463"/>
      <c r="L418" s="1463"/>
      <c r="M418" s="1463"/>
      <c r="N418" s="1463"/>
      <c r="O418" s="1463"/>
      <c r="P418" s="1463"/>
      <c r="Q418" s="1463"/>
      <c r="R418" s="1463"/>
      <c r="S418" s="1463"/>
      <c r="T418" s="1463"/>
      <c r="U418" s="1463"/>
    </row>
    <row r="419" spans="1:21" ht="15" customHeight="1">
      <c r="A419" s="1463"/>
      <c r="B419" s="1463"/>
      <c r="C419" s="1463"/>
      <c r="D419" s="1463"/>
      <c r="E419" s="1463"/>
      <c r="F419" s="1463"/>
      <c r="G419" s="1463"/>
      <c r="H419" s="1463"/>
      <c r="I419" s="1463"/>
      <c r="J419" s="1463"/>
      <c r="K419" s="1463"/>
      <c r="L419" s="1463"/>
      <c r="M419" s="1463"/>
      <c r="N419" s="1463"/>
      <c r="O419" s="1463"/>
      <c r="P419" s="1463"/>
      <c r="Q419" s="1463"/>
      <c r="R419" s="1463"/>
      <c r="S419" s="1463"/>
      <c r="T419" s="1463"/>
      <c r="U419" s="1463"/>
    </row>
    <row r="420" spans="1:21" ht="18" customHeight="1">
      <c r="A420" s="1464" t="s">
        <v>784</v>
      </c>
      <c r="B420" s="1464"/>
      <c r="C420" s="1464"/>
      <c r="D420" s="1464"/>
      <c r="E420" s="1464"/>
      <c r="F420" s="1464"/>
      <c r="G420" s="1464"/>
      <c r="H420" s="1464"/>
      <c r="I420" s="1464"/>
      <c r="J420" s="1464"/>
      <c r="K420" s="1464"/>
      <c r="L420" s="1464"/>
      <c r="M420" s="1464"/>
      <c r="N420" s="1464"/>
      <c r="O420" s="1464"/>
      <c r="P420" s="1464"/>
      <c r="Q420" s="1464"/>
      <c r="R420" s="1464"/>
      <c r="S420" s="1464"/>
      <c r="T420" s="1464"/>
      <c r="U420" s="1464"/>
    </row>
    <row r="421" spans="1:21" ht="23.25" customHeight="1">
      <c r="A421" s="1465" t="s">
        <v>785</v>
      </c>
      <c r="B421" s="1465"/>
      <c r="C421" s="1465"/>
      <c r="D421" s="1465"/>
      <c r="E421" s="1465"/>
      <c r="F421" s="1465"/>
      <c r="G421" s="1465"/>
      <c r="H421" s="1465"/>
      <c r="I421" s="1465"/>
      <c r="J421" s="1465"/>
      <c r="K421" s="1465"/>
      <c r="L421" s="1465"/>
      <c r="M421" s="1465"/>
      <c r="N421" s="1465"/>
      <c r="O421" s="1465"/>
      <c r="P421" s="1465"/>
      <c r="Q421" s="1465"/>
      <c r="R421" s="1465"/>
      <c r="S421" s="1465"/>
      <c r="T421" s="1465"/>
      <c r="U421" s="1465"/>
    </row>
    <row r="422" spans="1:21" ht="21.75" customHeight="1">
      <c r="A422" s="874"/>
      <c r="B422" s="875"/>
      <c r="C422" s="875"/>
      <c r="D422" s="875"/>
      <c r="E422" s="875"/>
      <c r="F422" s="875"/>
      <c r="G422" s="875"/>
      <c r="H422" s="875"/>
      <c r="I422" s="875"/>
      <c r="J422" s="875"/>
      <c r="K422" s="875"/>
      <c r="L422" s="875"/>
      <c r="M422" s="875"/>
      <c r="N422" s="875"/>
      <c r="O422" s="875"/>
      <c r="P422" s="875"/>
      <c r="Q422" s="875"/>
      <c r="R422" s="875"/>
      <c r="S422" s="875"/>
      <c r="T422" s="875"/>
      <c r="U422" s="876"/>
    </row>
    <row r="423" spans="1:21" ht="15" customHeight="1">
      <c r="A423" s="1466" t="s">
        <v>786</v>
      </c>
      <c r="B423" s="1467" t="s">
        <v>787</v>
      </c>
      <c r="C423" s="1468" t="s">
        <v>788</v>
      </c>
      <c r="D423" s="1468" t="s">
        <v>789</v>
      </c>
      <c r="E423" s="1469" t="s">
        <v>790</v>
      </c>
      <c r="F423" s="1468" t="s">
        <v>791</v>
      </c>
      <c r="G423" s="1468"/>
      <c r="H423" s="1468"/>
      <c r="I423" s="1468"/>
      <c r="J423" s="1468"/>
      <c r="K423" s="1468"/>
      <c r="L423" s="1468"/>
      <c r="M423" s="1468"/>
      <c r="N423" s="1468"/>
      <c r="O423" s="1468"/>
      <c r="P423" s="1470"/>
      <c r="Q423" s="1470"/>
      <c r="R423" s="1470"/>
      <c r="S423" s="1470"/>
      <c r="T423" s="1470"/>
      <c r="U423" s="1470"/>
    </row>
    <row r="424" spans="1:21" ht="15.75" customHeight="1">
      <c r="A424" s="1466"/>
      <c r="B424" s="1467"/>
      <c r="C424" s="1468"/>
      <c r="D424" s="1468"/>
      <c r="E424" s="1469"/>
      <c r="F424" s="1468"/>
      <c r="G424" s="1468"/>
      <c r="H424" s="1468"/>
      <c r="I424" s="1468"/>
      <c r="J424" s="1468"/>
      <c r="K424" s="1468"/>
      <c r="L424" s="1468"/>
      <c r="M424" s="1468"/>
      <c r="N424" s="1468"/>
      <c r="O424" s="1468"/>
      <c r="P424" s="1470"/>
      <c r="Q424" s="1470"/>
      <c r="R424" s="1470"/>
      <c r="S424" s="1470"/>
      <c r="T424" s="1470"/>
      <c r="U424" s="1470"/>
    </row>
    <row r="425" spans="1:21" ht="48" customHeight="1">
      <c r="A425" s="1466"/>
      <c r="B425" s="1467"/>
      <c r="C425" s="1468"/>
      <c r="D425" s="1468"/>
      <c r="E425" s="1469"/>
      <c r="F425" s="878" t="s">
        <v>792</v>
      </c>
      <c r="G425" s="877" t="s">
        <v>793</v>
      </c>
      <c r="H425" s="878" t="s">
        <v>794</v>
      </c>
      <c r="I425" s="879" t="s">
        <v>795</v>
      </c>
      <c r="J425" s="880" t="s">
        <v>796</v>
      </c>
      <c r="K425" s="1468" t="s">
        <v>797</v>
      </c>
      <c r="L425" s="1468"/>
      <c r="M425" s="1468"/>
      <c r="N425" s="1468"/>
      <c r="O425" s="1468"/>
      <c r="P425" s="881" t="s">
        <v>798</v>
      </c>
      <c r="Q425" s="882" t="s">
        <v>799</v>
      </c>
      <c r="R425" s="1469" t="s">
        <v>800</v>
      </c>
      <c r="S425" s="1469"/>
      <c r="T425" s="877" t="s">
        <v>801</v>
      </c>
      <c r="U425" s="879" t="s">
        <v>104</v>
      </c>
    </row>
    <row r="426" spans="1:21" ht="19.5" customHeight="1">
      <c r="A426" s="883"/>
      <c r="B426" s="884" t="str">
        <f>IF('BIS Doc'!AC199=130, "130 × 130", IF('BIS Doc'!AC199=160, "160 × 160", IF('BIS Doc'!AC199=110, "110 × 110", "Value not 130, 160, or 110")))</f>
        <v>Value not 130, 160, or 110</v>
      </c>
      <c r="C426" s="885">
        <f>'BIS Doc'!W199</f>
        <v>0</v>
      </c>
      <c r="D426" s="886"/>
      <c r="E426" s="887">
        <f>'BIS Doc'!AE199</f>
        <v>0</v>
      </c>
      <c r="F426" s="888">
        <f ca="1">'BIS Doc'!F199</f>
        <v>0</v>
      </c>
      <c r="G426" s="888">
        <f ca="1">'BIS Doc'!J199</f>
        <v>0</v>
      </c>
      <c r="H426" s="888">
        <f ca="1">'BIS Doc'!G199</f>
        <v>0.50157690214045336</v>
      </c>
      <c r="I426" s="889">
        <f ca="1">'BIS Doc'!H199</f>
        <v>0</v>
      </c>
      <c r="J426" s="889">
        <f ca="1">'BIS Doc'!I199</f>
        <v>0</v>
      </c>
      <c r="K426" s="1449" t="str">
        <f t="shared" ref="K426:K431" ca="1" si="12">IF(H426&lt;0.6, "IS 14650 CPS 10748/GR2", "IS 14650 CPS 10748/GR3")</f>
        <v>IS 14650 CPS 10748/GR2</v>
      </c>
      <c r="L426" s="1449"/>
      <c r="M426" s="1449"/>
      <c r="N426" s="1449"/>
      <c r="O426" s="1449"/>
      <c r="P426" s="890"/>
      <c r="Q426" s="891"/>
      <c r="R426" s="1449"/>
      <c r="S426" s="1449"/>
      <c r="T426" s="892"/>
      <c r="U426" s="1450" t="s">
        <v>802</v>
      </c>
    </row>
    <row r="427" spans="1:21" ht="19.5" customHeight="1">
      <c r="A427" s="893"/>
      <c r="B427" s="894" t="str">
        <f>IF('BIS Doc'!AC201=130, "130 × 130", IF('BIS Doc'!AC201=160, "160 × 160", IF('BIS Doc'!AC201=110, "110 × 110", "Value not 130, 160, or 110")))</f>
        <v>Value not 130, 160, or 110</v>
      </c>
      <c r="C427" s="895">
        <f>'BIS Doc'!W201</f>
        <v>0</v>
      </c>
      <c r="D427" s="896"/>
      <c r="E427" s="897">
        <f>'BIS Doc'!AE201</f>
        <v>0</v>
      </c>
      <c r="F427" s="898">
        <f ca="1">'BIS Doc'!F201</f>
        <v>0</v>
      </c>
      <c r="G427" s="899">
        <f ca="1">'BIS Doc'!J201</f>
        <v>0</v>
      </c>
      <c r="H427" s="900">
        <f ca="1">'BIS Doc'!G201</f>
        <v>0.51325986473820606</v>
      </c>
      <c r="I427" s="901">
        <f ca="1">'BIS Doc'!H201</f>
        <v>0</v>
      </c>
      <c r="J427" s="901">
        <f ca="1">'BIS Doc'!I201</f>
        <v>0</v>
      </c>
      <c r="K427" s="1451" t="str">
        <f t="shared" ca="1" si="12"/>
        <v>IS 14650 CPS 10748/GR2</v>
      </c>
      <c r="L427" s="1451"/>
      <c r="M427" s="1451"/>
      <c r="N427" s="1451"/>
      <c r="O427" s="1451"/>
      <c r="P427" s="902"/>
      <c r="Q427" s="903"/>
      <c r="R427" s="1451"/>
      <c r="S427" s="1451"/>
      <c r="T427" s="904"/>
      <c r="U427" s="1450"/>
    </row>
    <row r="428" spans="1:21" ht="19.5" customHeight="1">
      <c r="A428" s="864"/>
      <c r="B428" s="894" t="str">
        <f>IF('BIS Doc'!AC203=130, "130 × 130", IF('BIS Doc'!AC203=160, "160 × 160", IF('BIS Doc'!AC203=110, "110 × 110", "Value not 130, 160, or 110")))</f>
        <v>Value not 130, 160, or 110</v>
      </c>
      <c r="C428" s="895">
        <f>'BIS Doc'!W203</f>
        <v>0</v>
      </c>
      <c r="D428" s="896" t="s">
        <v>803</v>
      </c>
      <c r="E428" s="897">
        <f>'BIS Doc'!AE203</f>
        <v>0</v>
      </c>
      <c r="F428" s="898">
        <f ca="1">'BIS Doc'!F203</f>
        <v>0</v>
      </c>
      <c r="G428" s="899">
        <f ca="1">'BIS Doc'!J203</f>
        <v>0</v>
      </c>
      <c r="H428" s="900">
        <f ca="1">'BIS Doc'!G203</f>
        <v>0.54637453715244777</v>
      </c>
      <c r="I428" s="901">
        <f ca="1">'BIS Doc'!H203</f>
        <v>0</v>
      </c>
      <c r="J428" s="901">
        <f ca="1">'BIS Doc'!I203</f>
        <v>0</v>
      </c>
      <c r="K428" s="1451" t="str">
        <f t="shared" ca="1" si="12"/>
        <v>IS 14650 CPS 10748/GR2</v>
      </c>
      <c r="L428" s="1451"/>
      <c r="M428" s="1451"/>
      <c r="N428" s="1451"/>
      <c r="O428" s="1451"/>
      <c r="P428" s="902"/>
      <c r="Q428" s="905"/>
      <c r="R428" s="1451"/>
      <c r="S428" s="1451"/>
      <c r="T428" s="904"/>
      <c r="U428" s="1450"/>
    </row>
    <row r="429" spans="1:21" ht="19.5" customHeight="1">
      <c r="A429" s="864"/>
      <c r="B429" s="894" t="str">
        <f>IF('BIS Doc'!AC205=130, "130 × 130", IF('BIS Doc'!AC205=160, "160 × 160", IF('BIS Doc'!AC205=110, "110 × 110", "Value not 130, 160, or 110")))</f>
        <v>Value not 130, 160, or 110</v>
      </c>
      <c r="C429" s="895">
        <f>'BIS Doc'!W205</f>
        <v>0</v>
      </c>
      <c r="D429" s="896"/>
      <c r="E429" s="897">
        <f>'BIS Doc'!AE205</f>
        <v>0</v>
      </c>
      <c r="F429" s="898">
        <f ca="1">'BIS Doc'!F205</f>
        <v>0</v>
      </c>
      <c r="G429" s="899">
        <f ca="1">'BIS Doc'!J205</f>
        <v>0</v>
      </c>
      <c r="H429" s="900">
        <f ca="1">'BIS Doc'!G205</f>
        <v>0.5803406561202441</v>
      </c>
      <c r="I429" s="901">
        <f ca="1">'BIS Doc'!H205</f>
        <v>0</v>
      </c>
      <c r="J429" s="901">
        <f ca="1">'BIS Doc'!I205</f>
        <v>0</v>
      </c>
      <c r="K429" s="1451" t="str">
        <f t="shared" ca="1" si="12"/>
        <v>IS 14650 CPS 10748/GR2</v>
      </c>
      <c r="L429" s="1451"/>
      <c r="M429" s="1451"/>
      <c r="N429" s="1451"/>
      <c r="O429" s="1451"/>
      <c r="P429" s="902"/>
      <c r="Q429" s="905"/>
      <c r="R429" s="1451"/>
      <c r="S429" s="1451"/>
      <c r="T429" s="904"/>
      <c r="U429" s="1450"/>
    </row>
    <row r="430" spans="1:21" ht="19.5" customHeight="1">
      <c r="A430" s="864"/>
      <c r="B430" s="894" t="str">
        <f>IF('BIS Doc'!AC207=130, "130 × 130", IF('BIS Doc'!AC207=160, "160 × 160", IF('BIS Doc'!AC207=110, "110 × 110", "Value not 130, 160, or 110")))</f>
        <v>Value not 130, 160, or 110</v>
      </c>
      <c r="C430" s="895">
        <f>'BIS Doc'!W207</f>
        <v>0</v>
      </c>
      <c r="D430" s="896"/>
      <c r="E430" s="897">
        <f>'BIS Doc'!AE207</f>
        <v>0</v>
      </c>
      <c r="F430" s="898">
        <f ca="1">'BIS Doc'!F207</f>
        <v>0</v>
      </c>
      <c r="G430" s="899">
        <f ca="1">'BIS Doc'!J207</f>
        <v>0</v>
      </c>
      <c r="H430" s="900">
        <f ca="1">'BIS Doc'!G207</f>
        <v>0.54774376965086002</v>
      </c>
      <c r="I430" s="901">
        <f ca="1">'BIS Doc'!H207</f>
        <v>0</v>
      </c>
      <c r="J430" s="901">
        <f ca="1">'BIS Doc'!I207</f>
        <v>0</v>
      </c>
      <c r="K430" s="1451" t="str">
        <f t="shared" ca="1" si="12"/>
        <v>IS 14650 CPS 10748/GR2</v>
      </c>
      <c r="L430" s="1451"/>
      <c r="M430" s="1451"/>
      <c r="N430" s="1451"/>
      <c r="O430" s="1451"/>
      <c r="P430" s="902"/>
      <c r="Q430" s="905"/>
      <c r="R430" s="1451"/>
      <c r="S430" s="1451"/>
      <c r="T430" s="904"/>
      <c r="U430" s="1450"/>
    </row>
    <row r="431" spans="1:21" ht="19.5" customHeight="1">
      <c r="A431" s="864"/>
      <c r="B431" s="894" t="str">
        <f>IF('BIS Doc'!AC209=130, "130 × 130", IF('BIS Doc'!AC209=160, "160 × 160", IF('BIS Doc'!AC209=110, "110 × 110", "Value not 130, 160, or 110")))</f>
        <v>Value not 130, 160, or 110</v>
      </c>
      <c r="C431" s="895">
        <f>'BIS Doc'!W209</f>
        <v>0</v>
      </c>
      <c r="D431" s="896"/>
      <c r="E431" s="897">
        <f>'BIS Doc'!AE209</f>
        <v>0</v>
      </c>
      <c r="F431" s="898">
        <f ca="1">'BIS Doc'!F209</f>
        <v>0</v>
      </c>
      <c r="G431" s="899">
        <f ca="1">'BIS Doc'!J209</f>
        <v>0</v>
      </c>
      <c r="H431" s="900">
        <f ca="1">'BIS Doc'!G209</f>
        <v>0.58670218459791812</v>
      </c>
      <c r="I431" s="901">
        <f ca="1">'BIS Doc'!H209</f>
        <v>0</v>
      </c>
      <c r="J431" s="901">
        <f ca="1">'BIS Doc'!I209</f>
        <v>0</v>
      </c>
      <c r="K431" s="1451" t="str">
        <f t="shared" ca="1" si="12"/>
        <v>IS 14650 CPS 10748/GR2</v>
      </c>
      <c r="L431" s="1451"/>
      <c r="M431" s="1451"/>
      <c r="N431" s="1451"/>
      <c r="O431" s="1451"/>
      <c r="P431" s="902"/>
      <c r="Q431" s="903"/>
      <c r="R431" s="1451"/>
      <c r="S431" s="1451"/>
      <c r="T431" s="904"/>
      <c r="U431" s="1450"/>
    </row>
    <row r="432" spans="1:21" ht="19.5" customHeight="1">
      <c r="A432" s="864"/>
      <c r="B432" s="904"/>
      <c r="C432" s="895"/>
      <c r="D432" s="896"/>
      <c r="E432" s="897"/>
      <c r="F432" s="906"/>
      <c r="G432" s="907"/>
      <c r="H432" s="908"/>
      <c r="I432" s="909"/>
      <c r="J432" s="909"/>
      <c r="K432" s="1451"/>
      <c r="L432" s="1451"/>
      <c r="M432" s="1451"/>
      <c r="N432" s="1451"/>
      <c r="O432" s="1451"/>
      <c r="P432" s="902"/>
      <c r="Q432" s="903"/>
      <c r="R432" s="1451"/>
      <c r="S432" s="1451"/>
      <c r="T432" s="904"/>
      <c r="U432" s="1450"/>
    </row>
    <row r="433" spans="1:21" ht="19.5" customHeight="1">
      <c r="A433" s="864"/>
      <c r="B433" s="904"/>
      <c r="C433" s="895"/>
      <c r="D433" s="896"/>
      <c r="E433" s="897"/>
      <c r="F433" s="906"/>
      <c r="G433" s="907"/>
      <c r="H433" s="908"/>
      <c r="I433" s="909"/>
      <c r="J433" s="909"/>
      <c r="K433" s="1451"/>
      <c r="L433" s="1451"/>
      <c r="M433" s="1451"/>
      <c r="N433" s="1451"/>
      <c r="O433" s="1451"/>
      <c r="P433" s="902"/>
      <c r="Q433" s="905"/>
      <c r="R433" s="1451"/>
      <c r="S433" s="1451"/>
      <c r="T433" s="904"/>
      <c r="U433" s="1450"/>
    </row>
    <row r="434" spans="1:21" ht="19.5" customHeight="1">
      <c r="A434" s="864"/>
      <c r="B434" s="910"/>
      <c r="C434" s="911"/>
      <c r="D434" s="896"/>
      <c r="E434" s="897"/>
      <c r="F434" s="906"/>
      <c r="G434" s="907"/>
      <c r="H434" s="908"/>
      <c r="I434" s="909"/>
      <c r="J434" s="909"/>
      <c r="K434" s="1451"/>
      <c r="L434" s="1451"/>
      <c r="M434" s="1451"/>
      <c r="N434" s="1451"/>
      <c r="O434" s="1451"/>
      <c r="P434" s="912"/>
      <c r="Q434" s="913"/>
      <c r="R434" s="1452"/>
      <c r="S434" s="1452"/>
      <c r="T434" s="910"/>
      <c r="U434" s="1450"/>
    </row>
    <row r="435" spans="1:21" ht="19.5" customHeight="1">
      <c r="A435" s="914"/>
      <c r="B435" s="915"/>
      <c r="C435" s="916"/>
      <c r="D435" s="917"/>
      <c r="E435" s="918">
        <f>SUM(E426:E431)</f>
        <v>0</v>
      </c>
      <c r="F435" s="919"/>
      <c r="G435" s="920"/>
      <c r="H435" s="921"/>
      <c r="I435" s="922"/>
      <c r="J435" s="922"/>
      <c r="K435" s="1453"/>
      <c r="L435" s="1453"/>
      <c r="M435" s="1453"/>
      <c r="N435" s="1453"/>
      <c r="O435" s="1453"/>
      <c r="P435" s="923"/>
      <c r="Q435" s="924"/>
      <c r="R435" s="1454"/>
      <c r="S435" s="1454"/>
      <c r="T435" s="915"/>
      <c r="U435" s="1450"/>
    </row>
    <row r="436" spans="1:21" ht="15.75" customHeight="1">
      <c r="A436" s="864"/>
      <c r="B436" s="773"/>
      <c r="C436" s="773"/>
      <c r="D436" s="925"/>
      <c r="E436" s="926"/>
      <c r="F436" s="927"/>
      <c r="G436" s="928"/>
      <c r="H436" s="259"/>
      <c r="I436" s="259"/>
      <c r="J436" s="928"/>
      <c r="K436" s="929"/>
      <c r="L436" s="929"/>
      <c r="M436" s="929"/>
      <c r="N436" s="929"/>
      <c r="O436" s="928"/>
      <c r="P436" s="930"/>
      <c r="Q436" s="931"/>
      <c r="R436" s="931"/>
      <c r="U436" s="932"/>
    </row>
    <row r="437" spans="1:21" ht="18.75" customHeight="1">
      <c r="A437" s="864"/>
      <c r="B437" s="773"/>
      <c r="C437" s="773"/>
      <c r="D437" s="773"/>
      <c r="E437" s="773"/>
      <c r="F437" s="773"/>
      <c r="G437" s="773"/>
      <c r="H437" s="773"/>
      <c r="I437" s="773"/>
      <c r="J437" s="773"/>
      <c r="K437" s="773"/>
      <c r="P437" s="1446" t="s">
        <v>804</v>
      </c>
      <c r="Q437" s="1446"/>
      <c r="R437" s="1446"/>
      <c r="S437" s="1446"/>
      <c r="T437" s="1446"/>
      <c r="U437" s="1446"/>
    </row>
    <row r="438" spans="1:21" ht="18.75" customHeight="1">
      <c r="A438" s="1447" t="s">
        <v>805</v>
      </c>
      <c r="B438" s="1447"/>
      <c r="C438" s="933"/>
      <c r="D438" s="933"/>
      <c r="E438" s="933"/>
      <c r="F438" s="933"/>
      <c r="P438" s="855"/>
      <c r="Q438" s="855"/>
      <c r="R438" s="855"/>
      <c r="S438" s="855"/>
      <c r="T438" s="855"/>
      <c r="U438" s="934"/>
    </row>
    <row r="439" spans="1:21" ht="18.75" customHeight="1">
      <c r="A439" s="854"/>
      <c r="B439" s="855"/>
      <c r="P439" s="855"/>
      <c r="Q439" s="855"/>
      <c r="R439" s="855"/>
      <c r="S439" s="855"/>
      <c r="T439" s="855"/>
      <c r="U439" s="934"/>
    </row>
    <row r="440" spans="1:21" ht="18.75" customHeight="1">
      <c r="A440" s="854" t="s">
        <v>806</v>
      </c>
      <c r="B440" s="855"/>
      <c r="C440" s="867"/>
      <c r="D440" s="941"/>
      <c r="E440" s="933"/>
      <c r="F440" s="933"/>
      <c r="P440" s="855"/>
      <c r="Q440" s="855"/>
      <c r="R440" s="855"/>
      <c r="S440" s="855"/>
      <c r="T440" s="855"/>
      <c r="U440" s="934"/>
    </row>
    <row r="441" spans="1:21" ht="18.75" customHeight="1">
      <c r="A441" s="854"/>
      <c r="B441" s="855"/>
      <c r="C441" s="937"/>
      <c r="P441" s="855"/>
      <c r="Q441" s="855"/>
      <c r="R441" s="855"/>
      <c r="S441" s="855"/>
      <c r="T441" s="855"/>
      <c r="U441" s="934"/>
    </row>
    <row r="442" spans="1:21" ht="19.5" customHeight="1">
      <c r="A442" s="938"/>
      <c r="B442" s="939"/>
      <c r="C442" s="940"/>
      <c r="D442" s="453"/>
      <c r="E442" s="453"/>
      <c r="F442" s="453"/>
      <c r="G442" s="453"/>
      <c r="H442" s="453"/>
      <c r="I442" s="453"/>
      <c r="J442" s="453"/>
      <c r="K442" s="453"/>
      <c r="L442" s="453"/>
      <c r="M442" s="453"/>
      <c r="N442" s="453"/>
      <c r="O442" s="453"/>
      <c r="P442" s="1448" t="s">
        <v>807</v>
      </c>
      <c r="Q442" s="1448"/>
      <c r="R442" s="1448"/>
      <c r="S442" s="1448"/>
      <c r="T442" s="1448"/>
      <c r="U442" s="1448"/>
    </row>
    <row r="443" spans="1:21" ht="45.75" customHeight="1">
      <c r="A443" s="1455"/>
      <c r="B443" s="1455"/>
      <c r="C443" s="1455"/>
      <c r="D443" s="847"/>
      <c r="E443" s="1456" t="s">
        <v>774</v>
      </c>
      <c r="F443" s="1456"/>
      <c r="G443" s="1456"/>
      <c r="H443" s="1456"/>
      <c r="I443" s="1456"/>
      <c r="J443" s="1456"/>
      <c r="K443" s="1456"/>
      <c r="L443" s="1456"/>
      <c r="M443" s="1456"/>
      <c r="N443" s="1456"/>
      <c r="O443" s="1456"/>
      <c r="P443" s="1456"/>
      <c r="Q443" s="1456"/>
      <c r="R443" s="1456"/>
      <c r="S443" s="848"/>
      <c r="T443" s="1457" t="s">
        <v>775</v>
      </c>
      <c r="U443" s="1457"/>
    </row>
    <row r="444" spans="1:21" ht="18.75" customHeight="1">
      <c r="A444" s="849"/>
      <c r="E444" s="1458" t="s">
        <v>776</v>
      </c>
      <c r="F444" s="1458"/>
      <c r="G444" s="1458"/>
      <c r="H444" s="1458"/>
      <c r="I444" s="1458"/>
      <c r="J444" s="1458"/>
      <c r="K444" s="1458"/>
      <c r="L444" s="1458"/>
      <c r="M444" s="1458"/>
      <c r="N444" s="1458"/>
      <c r="O444" s="1458"/>
      <c r="P444" s="1458"/>
      <c r="Q444" s="1458"/>
      <c r="R444" s="1458"/>
      <c r="U444" s="456"/>
    </row>
    <row r="445" spans="1:21" ht="18.75" customHeight="1">
      <c r="A445" s="850"/>
      <c r="F445" s="587"/>
      <c r="G445" s="587"/>
      <c r="H445" s="587"/>
      <c r="I445" s="587"/>
      <c r="J445" s="587"/>
      <c r="K445" s="587"/>
      <c r="L445" s="587"/>
      <c r="M445" s="851"/>
      <c r="N445" s="852"/>
      <c r="O445" s="851"/>
      <c r="P445" s="1459" t="s">
        <v>777</v>
      </c>
      <c r="Q445" s="1459"/>
      <c r="R445" s="1459"/>
      <c r="S445" s="1459"/>
      <c r="T445" s="1459"/>
      <c r="U445" s="1459"/>
    </row>
    <row r="446" spans="1:21" ht="15" customHeight="1">
      <c r="A446" s="849"/>
      <c r="E446" s="1287" t="s">
        <v>778</v>
      </c>
      <c r="F446" s="1287"/>
      <c r="G446" s="1287"/>
      <c r="H446" s="1287"/>
      <c r="I446" s="1287"/>
      <c r="J446" s="1287"/>
      <c r="K446" s="1287"/>
      <c r="L446" s="1287"/>
      <c r="M446" s="1287"/>
      <c r="N446" s="1287"/>
      <c r="O446" s="1287"/>
      <c r="P446" s="1287"/>
      <c r="Q446" s="1287"/>
      <c r="R446" s="1287"/>
      <c r="U446" s="456"/>
    </row>
    <row r="447" spans="1:21" ht="18.75" customHeight="1">
      <c r="A447" s="849"/>
      <c r="E447" s="1286" t="s">
        <v>779</v>
      </c>
      <c r="F447" s="1286"/>
      <c r="G447" s="1286"/>
      <c r="H447" s="1286"/>
      <c r="I447" s="1286"/>
      <c r="J447" s="1286"/>
      <c r="K447" s="1286"/>
      <c r="L447" s="1286"/>
      <c r="M447" s="1286"/>
      <c r="N447" s="1286"/>
      <c r="O447" s="1286"/>
      <c r="P447" s="1286"/>
      <c r="Q447" s="1286"/>
      <c r="R447" s="1286"/>
      <c r="U447" s="853"/>
    </row>
    <row r="448" spans="1:21" ht="23.25" customHeight="1">
      <c r="A448" s="854" t="s">
        <v>780</v>
      </c>
      <c r="B448" s="855"/>
      <c r="C448" s="855"/>
      <c r="D448" s="856" t="s">
        <v>837</v>
      </c>
      <c r="E448" s="857"/>
      <c r="F448" s="858"/>
      <c r="G448" s="859"/>
      <c r="H448" s="859"/>
      <c r="I448" s="859"/>
      <c r="J448" s="859"/>
      <c r="K448" s="859"/>
      <c r="L448" s="860"/>
      <c r="M448" s="1460"/>
      <c r="N448" s="1460"/>
      <c r="O448" s="1460"/>
      <c r="P448" s="1461" t="s">
        <v>781</v>
      </c>
      <c r="Q448" s="1461"/>
      <c r="R448" s="1461"/>
      <c r="S448" s="855"/>
      <c r="T448" s="861">
        <v>46302</v>
      </c>
      <c r="U448" s="456"/>
    </row>
    <row r="449" spans="1:21" ht="23.25" customHeight="1">
      <c r="A449" s="854"/>
      <c r="B449" s="862"/>
      <c r="C449" s="862"/>
      <c r="D449" s="862"/>
      <c r="E449" s="163"/>
      <c r="F449" s="863"/>
      <c r="G449" s="863"/>
      <c r="H449" s="863"/>
      <c r="I449" s="863"/>
      <c r="J449" s="863"/>
      <c r="K449" s="863"/>
      <c r="U449" s="456"/>
    </row>
    <row r="450" spans="1:21" ht="21" customHeight="1">
      <c r="A450" s="864" t="s">
        <v>782</v>
      </c>
      <c r="B450" s="865"/>
      <c r="C450" s="866"/>
      <c r="D450" s="867"/>
      <c r="E450" s="868"/>
      <c r="F450" s="869"/>
      <c r="G450" s="869"/>
      <c r="H450" s="869"/>
      <c r="I450" s="870"/>
      <c r="J450" s="870"/>
      <c r="P450" s="1462"/>
      <c r="Q450" s="1462"/>
      <c r="R450" s="1462"/>
      <c r="S450" s="1462"/>
      <c r="T450" s="871"/>
      <c r="U450" s="456"/>
    </row>
    <row r="451" spans="1:21" ht="21" customHeight="1">
      <c r="A451" s="872"/>
      <c r="B451" s="873"/>
      <c r="C451" s="869"/>
      <c r="D451" s="869"/>
      <c r="E451" s="869"/>
      <c r="F451" s="869"/>
      <c r="G451" s="869"/>
      <c r="H451" s="869"/>
      <c r="I451" s="870"/>
      <c r="J451" s="870"/>
      <c r="U451" s="456"/>
    </row>
    <row r="452" spans="1:21" ht="15" customHeight="1">
      <c r="A452" s="1463" t="s">
        <v>783</v>
      </c>
      <c r="B452" s="1463"/>
      <c r="C452" s="1463"/>
      <c r="D452" s="1463"/>
      <c r="E452" s="1463"/>
      <c r="F452" s="1463"/>
      <c r="G452" s="1463"/>
      <c r="H452" s="1463"/>
      <c r="I452" s="1463"/>
      <c r="J452" s="1463"/>
      <c r="K452" s="1463"/>
      <c r="L452" s="1463"/>
      <c r="M452" s="1463"/>
      <c r="N452" s="1463"/>
      <c r="O452" s="1463"/>
      <c r="P452" s="1463"/>
      <c r="Q452" s="1463"/>
      <c r="R452" s="1463"/>
      <c r="S452" s="1463"/>
      <c r="T452" s="1463"/>
      <c r="U452" s="1463"/>
    </row>
    <row r="453" spans="1:21" ht="15" customHeight="1">
      <c r="A453" s="1463"/>
      <c r="B453" s="1463"/>
      <c r="C453" s="1463"/>
      <c r="D453" s="1463"/>
      <c r="E453" s="1463"/>
      <c r="F453" s="1463"/>
      <c r="G453" s="1463"/>
      <c r="H453" s="1463"/>
      <c r="I453" s="1463"/>
      <c r="J453" s="1463"/>
      <c r="K453" s="1463"/>
      <c r="L453" s="1463"/>
      <c r="M453" s="1463"/>
      <c r="N453" s="1463"/>
      <c r="O453" s="1463"/>
      <c r="P453" s="1463"/>
      <c r="Q453" s="1463"/>
      <c r="R453" s="1463"/>
      <c r="S453" s="1463"/>
      <c r="T453" s="1463"/>
      <c r="U453" s="1463"/>
    </row>
    <row r="454" spans="1:21" ht="18" customHeight="1">
      <c r="A454" s="1464" t="s">
        <v>784</v>
      </c>
      <c r="B454" s="1464"/>
      <c r="C454" s="1464"/>
      <c r="D454" s="1464"/>
      <c r="E454" s="1464"/>
      <c r="F454" s="1464"/>
      <c r="G454" s="1464"/>
      <c r="H454" s="1464"/>
      <c r="I454" s="1464"/>
      <c r="J454" s="1464"/>
      <c r="K454" s="1464"/>
      <c r="L454" s="1464"/>
      <c r="M454" s="1464"/>
      <c r="N454" s="1464"/>
      <c r="O454" s="1464"/>
      <c r="P454" s="1464"/>
      <c r="Q454" s="1464"/>
      <c r="R454" s="1464"/>
      <c r="S454" s="1464"/>
      <c r="T454" s="1464"/>
      <c r="U454" s="1464"/>
    </row>
    <row r="455" spans="1:21" ht="23.25" customHeight="1">
      <c r="A455" s="1465" t="s">
        <v>785</v>
      </c>
      <c r="B455" s="1465"/>
      <c r="C455" s="1465"/>
      <c r="D455" s="1465"/>
      <c r="E455" s="1465"/>
      <c r="F455" s="1465"/>
      <c r="G455" s="1465"/>
      <c r="H455" s="1465"/>
      <c r="I455" s="1465"/>
      <c r="J455" s="1465"/>
      <c r="K455" s="1465"/>
      <c r="L455" s="1465"/>
      <c r="M455" s="1465"/>
      <c r="N455" s="1465"/>
      <c r="O455" s="1465"/>
      <c r="P455" s="1465"/>
      <c r="Q455" s="1465"/>
      <c r="R455" s="1465"/>
      <c r="S455" s="1465"/>
      <c r="T455" s="1465"/>
      <c r="U455" s="1465"/>
    </row>
    <row r="456" spans="1:21" ht="21.75" customHeight="1">
      <c r="A456" s="874"/>
      <c r="B456" s="875"/>
      <c r="C456" s="875"/>
      <c r="D456" s="875"/>
      <c r="E456" s="875"/>
      <c r="F456" s="875"/>
      <c r="G456" s="875"/>
      <c r="H456" s="875"/>
      <c r="I456" s="875"/>
      <c r="J456" s="875"/>
      <c r="K456" s="875"/>
      <c r="L456" s="875"/>
      <c r="M456" s="875"/>
      <c r="N456" s="875"/>
      <c r="O456" s="875"/>
      <c r="P456" s="875"/>
      <c r="Q456" s="875"/>
      <c r="R456" s="875"/>
      <c r="S456" s="875"/>
      <c r="T456" s="875"/>
      <c r="U456" s="876"/>
    </row>
    <row r="457" spans="1:21" ht="15" customHeight="1">
      <c r="A457" s="1466" t="s">
        <v>786</v>
      </c>
      <c r="B457" s="1467" t="s">
        <v>787</v>
      </c>
      <c r="C457" s="1468" t="s">
        <v>788</v>
      </c>
      <c r="D457" s="1468" t="s">
        <v>789</v>
      </c>
      <c r="E457" s="1469" t="s">
        <v>790</v>
      </c>
      <c r="F457" s="1468" t="s">
        <v>791</v>
      </c>
      <c r="G457" s="1468"/>
      <c r="H457" s="1468"/>
      <c r="I457" s="1468"/>
      <c r="J457" s="1468"/>
      <c r="K457" s="1468"/>
      <c r="L457" s="1468"/>
      <c r="M457" s="1468"/>
      <c r="N457" s="1468"/>
      <c r="O457" s="1468"/>
      <c r="P457" s="1470"/>
      <c r="Q457" s="1470"/>
      <c r="R457" s="1470"/>
      <c r="S457" s="1470"/>
      <c r="T457" s="1470"/>
      <c r="U457" s="1470"/>
    </row>
    <row r="458" spans="1:21" ht="15.75" customHeight="1">
      <c r="A458" s="1466"/>
      <c r="B458" s="1467"/>
      <c r="C458" s="1468"/>
      <c r="D458" s="1468"/>
      <c r="E458" s="1469"/>
      <c r="F458" s="1468"/>
      <c r="G458" s="1468"/>
      <c r="H458" s="1468"/>
      <c r="I458" s="1468"/>
      <c r="J458" s="1468"/>
      <c r="K458" s="1468"/>
      <c r="L458" s="1468"/>
      <c r="M458" s="1468"/>
      <c r="N458" s="1468"/>
      <c r="O458" s="1468"/>
      <c r="P458" s="1470"/>
      <c r="Q458" s="1470"/>
      <c r="R458" s="1470"/>
      <c r="S458" s="1470"/>
      <c r="T458" s="1470"/>
      <c r="U458" s="1470"/>
    </row>
    <row r="459" spans="1:21" ht="48" customHeight="1">
      <c r="A459" s="1466"/>
      <c r="B459" s="1467"/>
      <c r="C459" s="1468"/>
      <c r="D459" s="1468"/>
      <c r="E459" s="1469"/>
      <c r="F459" s="878" t="s">
        <v>792</v>
      </c>
      <c r="G459" s="877" t="s">
        <v>793</v>
      </c>
      <c r="H459" s="878" t="s">
        <v>794</v>
      </c>
      <c r="I459" s="879" t="s">
        <v>795</v>
      </c>
      <c r="J459" s="880" t="s">
        <v>796</v>
      </c>
      <c r="K459" s="1468" t="s">
        <v>797</v>
      </c>
      <c r="L459" s="1468"/>
      <c r="M459" s="1468"/>
      <c r="N459" s="1468"/>
      <c r="O459" s="1468"/>
      <c r="P459" s="881" t="s">
        <v>798</v>
      </c>
      <c r="Q459" s="882" t="s">
        <v>799</v>
      </c>
      <c r="R459" s="1469" t="s">
        <v>800</v>
      </c>
      <c r="S459" s="1469"/>
      <c r="T459" s="877" t="s">
        <v>801</v>
      </c>
      <c r="U459" s="879" t="s">
        <v>104</v>
      </c>
    </row>
    <row r="460" spans="1:21" ht="19.5" customHeight="1">
      <c r="A460" s="883"/>
      <c r="B460" s="884" t="str">
        <f>IF('BIS Doc'!AC211=130, "130 × 130", IF('BIS Doc'!AC211=160, "160 × 160", IF('BIS Doc'!AC211=110, "110 × 110", "Value not 130, 160, or 110")))</f>
        <v>Value not 130, 160, or 110</v>
      </c>
      <c r="C460" s="885">
        <f>'BIS Doc'!W211</f>
        <v>0</v>
      </c>
      <c r="D460" s="886"/>
      <c r="E460" s="887">
        <f>'BIS Doc'!AE211</f>
        <v>0</v>
      </c>
      <c r="F460" s="888">
        <f ca="1">'BIS Doc'!F211</f>
        <v>0</v>
      </c>
      <c r="G460" s="888">
        <f ca="1">'BIS Doc'!J211</f>
        <v>0</v>
      </c>
      <c r="H460" s="888">
        <f ca="1">'BIS Doc'!G211</f>
        <v>0.513445553032296</v>
      </c>
      <c r="I460" s="889">
        <f ca="1">'BIS Doc'!H211</f>
        <v>0</v>
      </c>
      <c r="J460" s="889">
        <f ca="1">'BIS Doc'!I211</f>
        <v>0</v>
      </c>
      <c r="K460" s="1449" t="str">
        <f t="shared" ref="K460:K465" ca="1" si="13">IF(H460&lt;0.6, "IS 14650 CPS 10748/GR2", "IS 14650 CPS 10748/GR3")</f>
        <v>IS 14650 CPS 10748/GR2</v>
      </c>
      <c r="L460" s="1449"/>
      <c r="M460" s="1449"/>
      <c r="N460" s="1449"/>
      <c r="O460" s="1449"/>
      <c r="P460" s="890"/>
      <c r="Q460" s="891"/>
      <c r="R460" s="1449"/>
      <c r="S460" s="1449"/>
      <c r="T460" s="892"/>
      <c r="U460" s="1450" t="s">
        <v>802</v>
      </c>
    </row>
    <row r="461" spans="1:21" ht="19.5" customHeight="1">
      <c r="A461" s="893"/>
      <c r="B461" s="894" t="str">
        <f>IF('BIS Doc'!AC213=130, "130 × 130", IF('BIS Doc'!AC213=160, "160 × 160", IF('BIS Doc'!AC213=110, "110 × 110", "Value not 130, 160, or 110")))</f>
        <v>Value not 130, 160, or 110</v>
      </c>
      <c r="C461" s="895">
        <f>'BIS Doc'!W213</f>
        <v>0</v>
      </c>
      <c r="D461" s="896"/>
      <c r="E461" s="897">
        <f>'BIS Doc'!AE213</f>
        <v>0</v>
      </c>
      <c r="F461" s="898">
        <f ca="1">'BIS Doc'!F213</f>
        <v>0</v>
      </c>
      <c r="G461" s="899">
        <f ca="1">'BIS Doc'!J213</f>
        <v>0</v>
      </c>
      <c r="H461" s="900">
        <f ca="1">'BIS Doc'!G213</f>
        <v>0.55636273591347929</v>
      </c>
      <c r="I461" s="901">
        <f ca="1">'BIS Doc'!H213</f>
        <v>0</v>
      </c>
      <c r="J461" s="901">
        <f ca="1">'BIS Doc'!I213</f>
        <v>0</v>
      </c>
      <c r="K461" s="1451" t="str">
        <f t="shared" ca="1" si="13"/>
        <v>IS 14650 CPS 10748/GR2</v>
      </c>
      <c r="L461" s="1451"/>
      <c r="M461" s="1451"/>
      <c r="N461" s="1451"/>
      <c r="O461" s="1451"/>
      <c r="P461" s="902"/>
      <c r="Q461" s="903"/>
      <c r="R461" s="1451"/>
      <c r="S461" s="1451"/>
      <c r="T461" s="904"/>
      <c r="U461" s="1450"/>
    </row>
    <row r="462" spans="1:21" ht="19.5" customHeight="1">
      <c r="A462" s="864"/>
      <c r="B462" s="894" t="str">
        <f>IF('BIS Doc'!AC215=130, "130 × 130", IF('BIS Doc'!AC215=160, "160 × 160", IF('BIS Doc'!AC215=110, "110 × 110", "Value not 130, 160, or 110")))</f>
        <v>Value not 130, 160, or 110</v>
      </c>
      <c r="C462" s="895">
        <f>'BIS Doc'!W215</f>
        <v>0</v>
      </c>
      <c r="D462" s="896" t="s">
        <v>803</v>
      </c>
      <c r="E462" s="897">
        <f>'BIS Doc'!AE215</f>
        <v>0</v>
      </c>
      <c r="F462" s="898">
        <f ca="1">'BIS Doc'!F215</f>
        <v>0</v>
      </c>
      <c r="G462" s="899">
        <f ca="1">'BIS Doc'!J215</f>
        <v>0</v>
      </c>
      <c r="H462" s="900">
        <f ca="1">'BIS Doc'!G215</f>
        <v>0.53136944913818152</v>
      </c>
      <c r="I462" s="901">
        <f ca="1">'BIS Doc'!H215</f>
        <v>0</v>
      </c>
      <c r="J462" s="901">
        <f ca="1">'BIS Doc'!I215</f>
        <v>0</v>
      </c>
      <c r="K462" s="1451" t="str">
        <f t="shared" ca="1" si="13"/>
        <v>IS 14650 CPS 10748/GR2</v>
      </c>
      <c r="L462" s="1451"/>
      <c r="M462" s="1451"/>
      <c r="N462" s="1451"/>
      <c r="O462" s="1451"/>
      <c r="P462" s="902"/>
      <c r="Q462" s="905"/>
      <c r="R462" s="1451"/>
      <c r="S462" s="1451"/>
      <c r="T462" s="904"/>
      <c r="U462" s="1450"/>
    </row>
    <row r="463" spans="1:21" ht="19.5" customHeight="1">
      <c r="A463" s="864"/>
      <c r="B463" s="894" t="str">
        <f>IF('BIS Doc'!AC217=130, "130 × 130", IF('BIS Doc'!AC217=160, "160 × 160", IF('BIS Doc'!AC217=110, "110 × 110", "Value not 130, 160, or 110")))</f>
        <v>Value not 130, 160, or 110</v>
      </c>
      <c r="C463" s="895">
        <f>'BIS Doc'!W217</f>
        <v>0</v>
      </c>
      <c r="D463" s="896"/>
      <c r="E463" s="897">
        <f>'BIS Doc'!AE217</f>
        <v>0</v>
      </c>
      <c r="F463" s="898">
        <f ca="1">'BIS Doc'!F217</f>
        <v>0</v>
      </c>
      <c r="G463" s="899">
        <f ca="1">'BIS Doc'!J217</f>
        <v>0</v>
      </c>
      <c r="H463" s="900">
        <f ca="1">'BIS Doc'!G217</f>
        <v>0.57257318500703436</v>
      </c>
      <c r="I463" s="901">
        <f ca="1">'BIS Doc'!H217</f>
        <v>0</v>
      </c>
      <c r="J463" s="901">
        <f ca="1">'BIS Doc'!I217</f>
        <v>0</v>
      </c>
      <c r="K463" s="1451" t="str">
        <f t="shared" ca="1" si="13"/>
        <v>IS 14650 CPS 10748/GR2</v>
      </c>
      <c r="L463" s="1451"/>
      <c r="M463" s="1451"/>
      <c r="N463" s="1451"/>
      <c r="O463" s="1451"/>
      <c r="P463" s="902"/>
      <c r="Q463" s="905"/>
      <c r="R463" s="1451"/>
      <c r="S463" s="1451"/>
      <c r="T463" s="904"/>
      <c r="U463" s="1450"/>
    </row>
    <row r="464" spans="1:21" ht="19.5" customHeight="1">
      <c r="A464" s="864"/>
      <c r="B464" s="894" t="str">
        <f>IF('BIS Doc'!AC219=130, "130 × 130", IF('BIS Doc'!AC219=160, "160 × 160", IF('BIS Doc'!AC219=110, "110 × 110", "Value not 130, 160, or 110")))</f>
        <v>Value not 130, 160, or 110</v>
      </c>
      <c r="C464" s="895">
        <f>'BIS Doc'!W219</f>
        <v>0</v>
      </c>
      <c r="D464" s="896"/>
      <c r="E464" s="897">
        <f>'BIS Doc'!AE219</f>
        <v>0</v>
      </c>
      <c r="F464" s="898">
        <f ca="1">'BIS Doc'!F219</f>
        <v>0</v>
      </c>
      <c r="G464" s="899">
        <f ca="1">'BIS Doc'!J219</f>
        <v>0</v>
      </c>
      <c r="H464" s="900">
        <f ca="1">'BIS Doc'!G219</f>
        <v>0.5945293566855181</v>
      </c>
      <c r="I464" s="901">
        <f ca="1">'BIS Doc'!H219</f>
        <v>0</v>
      </c>
      <c r="J464" s="901">
        <f ca="1">'BIS Doc'!I219</f>
        <v>0</v>
      </c>
      <c r="K464" s="1451" t="str">
        <f t="shared" ca="1" si="13"/>
        <v>IS 14650 CPS 10748/GR2</v>
      </c>
      <c r="L464" s="1451"/>
      <c r="M464" s="1451"/>
      <c r="N464" s="1451"/>
      <c r="O464" s="1451"/>
      <c r="P464" s="902"/>
      <c r="Q464" s="905"/>
      <c r="R464" s="1451"/>
      <c r="S464" s="1451"/>
      <c r="T464" s="904"/>
      <c r="U464" s="1450"/>
    </row>
    <row r="465" spans="1:21" ht="19.5" customHeight="1">
      <c r="A465" s="864"/>
      <c r="B465" s="894" t="str">
        <f>IF('BIS Doc'!AC221=130, "130 × 130", IF('BIS Doc'!AC221=160, "160 × 160", IF('BIS Doc'!AC221=110, "110 × 110", "Value not 130, 160, or 110")))</f>
        <v>Value not 130, 160, or 110</v>
      </c>
      <c r="C465" s="895">
        <f>'BIS Doc'!W221</f>
        <v>0</v>
      </c>
      <c r="D465" s="896"/>
      <c r="E465" s="897">
        <f>'BIS Doc'!AE221</f>
        <v>0</v>
      </c>
      <c r="F465" s="898">
        <f ca="1">'BIS Doc'!F221</f>
        <v>0</v>
      </c>
      <c r="G465" s="899">
        <f ca="1">'BIS Doc'!J221</f>
        <v>0</v>
      </c>
      <c r="H465" s="900">
        <f ca="1">'BIS Doc'!G221</f>
        <v>0.57830094463624215</v>
      </c>
      <c r="I465" s="901">
        <f ca="1">'BIS Doc'!H221</f>
        <v>0</v>
      </c>
      <c r="J465" s="901">
        <f ca="1">'BIS Doc'!I221</f>
        <v>0</v>
      </c>
      <c r="K465" s="1451" t="str">
        <f t="shared" ca="1" si="13"/>
        <v>IS 14650 CPS 10748/GR2</v>
      </c>
      <c r="L465" s="1451"/>
      <c r="M465" s="1451"/>
      <c r="N465" s="1451"/>
      <c r="O465" s="1451"/>
      <c r="P465" s="902"/>
      <c r="Q465" s="903"/>
      <c r="R465" s="1451"/>
      <c r="S465" s="1451"/>
      <c r="T465" s="904"/>
      <c r="U465" s="1450"/>
    </row>
    <row r="466" spans="1:21" ht="19.5" customHeight="1">
      <c r="A466" s="864"/>
      <c r="B466" s="904"/>
      <c r="C466" s="895"/>
      <c r="D466" s="896"/>
      <c r="E466" s="897"/>
      <c r="F466" s="906"/>
      <c r="G466" s="907"/>
      <c r="H466" s="908"/>
      <c r="I466" s="909"/>
      <c r="J466" s="909"/>
      <c r="K466" s="1451"/>
      <c r="L466" s="1451"/>
      <c r="M466" s="1451"/>
      <c r="N466" s="1451"/>
      <c r="O466" s="1451"/>
      <c r="P466" s="902"/>
      <c r="Q466" s="903"/>
      <c r="R466" s="1451"/>
      <c r="S466" s="1451"/>
      <c r="T466" s="904"/>
      <c r="U466" s="1450"/>
    </row>
    <row r="467" spans="1:21" ht="19.5" customHeight="1">
      <c r="A467" s="864"/>
      <c r="B467" s="904"/>
      <c r="C467" s="895"/>
      <c r="D467" s="896"/>
      <c r="E467" s="897"/>
      <c r="F467" s="906"/>
      <c r="G467" s="907"/>
      <c r="H467" s="908"/>
      <c r="I467" s="909"/>
      <c r="J467" s="909"/>
      <c r="K467" s="1451"/>
      <c r="L467" s="1451"/>
      <c r="M467" s="1451"/>
      <c r="N467" s="1451"/>
      <c r="O467" s="1451"/>
      <c r="P467" s="902"/>
      <c r="Q467" s="905"/>
      <c r="R467" s="1451"/>
      <c r="S467" s="1451"/>
      <c r="T467" s="904"/>
      <c r="U467" s="1450"/>
    </row>
    <row r="468" spans="1:21" ht="19.5" customHeight="1">
      <c r="A468" s="864"/>
      <c r="B468" s="910"/>
      <c r="C468" s="911"/>
      <c r="D468" s="896"/>
      <c r="E468" s="897"/>
      <c r="F468" s="906"/>
      <c r="G468" s="907"/>
      <c r="H468" s="908"/>
      <c r="I468" s="909"/>
      <c r="J468" s="909"/>
      <c r="K468" s="1451"/>
      <c r="L468" s="1451"/>
      <c r="M468" s="1451"/>
      <c r="N468" s="1451"/>
      <c r="O468" s="1451"/>
      <c r="P468" s="912"/>
      <c r="Q468" s="913"/>
      <c r="R468" s="1452"/>
      <c r="S468" s="1452"/>
      <c r="T468" s="910"/>
      <c r="U468" s="1450"/>
    </row>
    <row r="469" spans="1:21" ht="19.5" customHeight="1">
      <c r="A469" s="914"/>
      <c r="B469" s="915"/>
      <c r="C469" s="916"/>
      <c r="D469" s="917"/>
      <c r="E469" s="918">
        <f>SUM(E460:E465)</f>
        <v>0</v>
      </c>
      <c r="F469" s="919"/>
      <c r="G469" s="920"/>
      <c r="H469" s="921"/>
      <c r="I469" s="922"/>
      <c r="J469" s="922"/>
      <c r="K469" s="1453"/>
      <c r="L469" s="1453"/>
      <c r="M469" s="1453"/>
      <c r="N469" s="1453"/>
      <c r="O469" s="1453"/>
      <c r="P469" s="923"/>
      <c r="Q469" s="924"/>
      <c r="R469" s="1454"/>
      <c r="S469" s="1454"/>
      <c r="T469" s="915"/>
      <c r="U469" s="1450"/>
    </row>
    <row r="470" spans="1:21" ht="15.75" customHeight="1">
      <c r="A470" s="864"/>
      <c r="B470" s="773"/>
      <c r="C470" s="773"/>
      <c r="D470" s="925"/>
      <c r="E470" s="926"/>
      <c r="F470" s="927"/>
      <c r="G470" s="928"/>
      <c r="H470" s="259"/>
      <c r="I470" s="259"/>
      <c r="J470" s="928"/>
      <c r="K470" s="929"/>
      <c r="L470" s="929"/>
      <c r="M470" s="929"/>
      <c r="N470" s="929"/>
      <c r="O470" s="928"/>
      <c r="P470" s="930"/>
      <c r="Q470" s="931"/>
      <c r="R470" s="931"/>
      <c r="U470" s="932"/>
    </row>
    <row r="471" spans="1:21" ht="18.75" customHeight="1">
      <c r="A471" s="864"/>
      <c r="B471" s="773"/>
      <c r="C471" s="773"/>
      <c r="D471" s="773"/>
      <c r="E471" s="773"/>
      <c r="F471" s="773"/>
      <c r="G471" s="773"/>
      <c r="H471" s="773"/>
      <c r="I471" s="773"/>
      <c r="J471" s="773"/>
      <c r="K471" s="773"/>
      <c r="P471" s="1446" t="s">
        <v>804</v>
      </c>
      <c r="Q471" s="1446"/>
      <c r="R471" s="1446"/>
      <c r="S471" s="1446"/>
      <c r="T471" s="1446"/>
      <c r="U471" s="1446"/>
    </row>
    <row r="472" spans="1:21" ht="18.75" customHeight="1">
      <c r="A472" s="1447" t="s">
        <v>805</v>
      </c>
      <c r="B472" s="1447"/>
      <c r="C472" s="933"/>
      <c r="D472" s="933"/>
      <c r="E472" s="933"/>
      <c r="F472" s="933"/>
      <c r="P472" s="855"/>
      <c r="Q472" s="855"/>
      <c r="R472" s="855"/>
      <c r="S472" s="855"/>
      <c r="T472" s="855"/>
      <c r="U472" s="934"/>
    </row>
    <row r="473" spans="1:21" ht="18.75" customHeight="1">
      <c r="A473" s="854"/>
      <c r="B473" s="855"/>
      <c r="P473" s="855"/>
      <c r="Q473" s="855"/>
      <c r="R473" s="855"/>
      <c r="S473" s="855"/>
      <c r="T473" s="855"/>
      <c r="U473" s="934"/>
    </row>
    <row r="474" spans="1:21" ht="18.75" customHeight="1">
      <c r="A474" s="854" t="s">
        <v>806</v>
      </c>
      <c r="B474" s="855"/>
      <c r="C474" s="867"/>
      <c r="D474" s="941"/>
      <c r="E474" s="933"/>
      <c r="F474" s="933"/>
      <c r="P474" s="855"/>
      <c r="Q474" s="855"/>
      <c r="R474" s="855"/>
      <c r="S474" s="855"/>
      <c r="T474" s="855"/>
      <c r="U474" s="934"/>
    </row>
    <row r="475" spans="1:21" ht="18.75" customHeight="1">
      <c r="A475" s="854"/>
      <c r="B475" s="855"/>
      <c r="C475" s="937"/>
      <c r="P475" s="855"/>
      <c r="Q475" s="855"/>
      <c r="R475" s="855"/>
      <c r="S475" s="855"/>
      <c r="T475" s="855"/>
      <c r="U475" s="934"/>
    </row>
    <row r="476" spans="1:21" ht="19.5" customHeight="1">
      <c r="A476" s="938"/>
      <c r="B476" s="939"/>
      <c r="C476" s="940"/>
      <c r="D476" s="453"/>
      <c r="E476" s="453"/>
      <c r="F476" s="453"/>
      <c r="G476" s="453"/>
      <c r="H476" s="453"/>
      <c r="I476" s="453"/>
      <c r="J476" s="453"/>
      <c r="K476" s="453"/>
      <c r="L476" s="453"/>
      <c r="M476" s="453"/>
      <c r="N476" s="453"/>
      <c r="O476" s="453"/>
      <c r="P476" s="1448" t="s">
        <v>807</v>
      </c>
      <c r="Q476" s="1448"/>
      <c r="R476" s="1448"/>
      <c r="S476" s="1448"/>
      <c r="T476" s="1448"/>
      <c r="U476" s="1448"/>
    </row>
    <row r="477" spans="1:21" ht="45.75" customHeight="1">
      <c r="A477" s="1455"/>
      <c r="B477" s="1455"/>
      <c r="C477" s="1455"/>
      <c r="D477" s="847"/>
      <c r="E477" s="1456" t="s">
        <v>774</v>
      </c>
      <c r="F477" s="1456"/>
      <c r="G477" s="1456"/>
      <c r="H477" s="1456"/>
      <c r="I477" s="1456"/>
      <c r="J477" s="1456"/>
      <c r="K477" s="1456"/>
      <c r="L477" s="1456"/>
      <c r="M477" s="1456"/>
      <c r="N477" s="1456"/>
      <c r="O477" s="1456"/>
      <c r="P477" s="1456"/>
      <c r="Q477" s="1456"/>
      <c r="R477" s="1456"/>
      <c r="S477" s="848"/>
      <c r="T477" s="1457" t="s">
        <v>775</v>
      </c>
      <c r="U477" s="1457"/>
    </row>
    <row r="478" spans="1:21" ht="18.75" customHeight="1">
      <c r="A478" s="849"/>
      <c r="E478" s="1458" t="s">
        <v>776</v>
      </c>
      <c r="F478" s="1458"/>
      <c r="G478" s="1458"/>
      <c r="H478" s="1458"/>
      <c r="I478" s="1458"/>
      <c r="J478" s="1458"/>
      <c r="K478" s="1458"/>
      <c r="L478" s="1458"/>
      <c r="M478" s="1458"/>
      <c r="N478" s="1458"/>
      <c r="O478" s="1458"/>
      <c r="P478" s="1458"/>
      <c r="Q478" s="1458"/>
      <c r="R478" s="1458"/>
      <c r="U478" s="456"/>
    </row>
    <row r="479" spans="1:21" ht="18.75" customHeight="1">
      <c r="A479" s="850"/>
      <c r="F479" s="587"/>
      <c r="G479" s="587"/>
      <c r="H479" s="587"/>
      <c r="I479" s="587"/>
      <c r="J479" s="587"/>
      <c r="K479" s="587"/>
      <c r="L479" s="587"/>
      <c r="M479" s="851"/>
      <c r="N479" s="852"/>
      <c r="O479" s="851"/>
      <c r="P479" s="1459" t="s">
        <v>777</v>
      </c>
      <c r="Q479" s="1459"/>
      <c r="R479" s="1459"/>
      <c r="S479" s="1459"/>
      <c r="T479" s="1459"/>
      <c r="U479" s="1459"/>
    </row>
    <row r="480" spans="1:21" ht="15" customHeight="1">
      <c r="A480" s="849"/>
      <c r="E480" s="1287" t="s">
        <v>778</v>
      </c>
      <c r="F480" s="1287"/>
      <c r="G480" s="1287"/>
      <c r="H480" s="1287"/>
      <c r="I480" s="1287"/>
      <c r="J480" s="1287"/>
      <c r="K480" s="1287"/>
      <c r="L480" s="1287"/>
      <c r="M480" s="1287"/>
      <c r="N480" s="1287"/>
      <c r="O480" s="1287"/>
      <c r="P480" s="1287"/>
      <c r="Q480" s="1287"/>
      <c r="R480" s="1287"/>
      <c r="U480" s="456"/>
    </row>
    <row r="481" spans="1:21" ht="18.75" customHeight="1">
      <c r="A481" s="849"/>
      <c r="E481" s="1286" t="s">
        <v>779</v>
      </c>
      <c r="F481" s="1286"/>
      <c r="G481" s="1286"/>
      <c r="H481" s="1286"/>
      <c r="I481" s="1286"/>
      <c r="J481" s="1286"/>
      <c r="K481" s="1286"/>
      <c r="L481" s="1286"/>
      <c r="M481" s="1286"/>
      <c r="N481" s="1286"/>
      <c r="O481" s="1286"/>
      <c r="P481" s="1286"/>
      <c r="Q481" s="1286"/>
      <c r="R481" s="1286"/>
      <c r="U481" s="853"/>
    </row>
    <row r="482" spans="1:21" ht="23.25" customHeight="1">
      <c r="A482" s="854" t="s">
        <v>780</v>
      </c>
      <c r="B482" s="855"/>
      <c r="C482" s="855"/>
      <c r="D482" s="856" t="s">
        <v>838</v>
      </c>
      <c r="E482" s="857"/>
      <c r="F482" s="858"/>
      <c r="G482" s="859"/>
      <c r="H482" s="859"/>
      <c r="I482" s="859"/>
      <c r="J482" s="859"/>
      <c r="K482" s="859"/>
      <c r="L482" s="860"/>
      <c r="M482" s="1460"/>
      <c r="N482" s="1460"/>
      <c r="O482" s="1460"/>
      <c r="P482" s="1461" t="s">
        <v>781</v>
      </c>
      <c r="Q482" s="1461"/>
      <c r="R482" s="1461"/>
      <c r="S482" s="855"/>
      <c r="T482" s="861">
        <v>46303</v>
      </c>
      <c r="U482" s="456"/>
    </row>
    <row r="483" spans="1:21" ht="23.25" customHeight="1">
      <c r="A483" s="854"/>
      <c r="B483" s="862"/>
      <c r="C483" s="862"/>
      <c r="D483" s="862"/>
      <c r="E483" s="163"/>
      <c r="F483" s="863"/>
      <c r="G483" s="863"/>
      <c r="H483" s="863"/>
      <c r="I483" s="863"/>
      <c r="J483" s="863"/>
      <c r="K483" s="863"/>
      <c r="U483" s="456"/>
    </row>
    <row r="484" spans="1:21" ht="21" customHeight="1">
      <c r="A484" s="864" t="s">
        <v>782</v>
      </c>
      <c r="B484" s="865"/>
      <c r="C484" s="866"/>
      <c r="D484" s="867"/>
      <c r="E484" s="868"/>
      <c r="F484" s="869"/>
      <c r="G484" s="869"/>
      <c r="H484" s="869"/>
      <c r="I484" s="870"/>
      <c r="J484" s="870"/>
      <c r="P484" s="1462"/>
      <c r="Q484" s="1462"/>
      <c r="R484" s="1462"/>
      <c r="S484" s="1462"/>
      <c r="T484" s="871"/>
      <c r="U484" s="456"/>
    </row>
    <row r="485" spans="1:21" ht="21" customHeight="1">
      <c r="A485" s="872"/>
      <c r="B485" s="873"/>
      <c r="C485" s="869"/>
      <c r="D485" s="869"/>
      <c r="E485" s="869"/>
      <c r="F485" s="869"/>
      <c r="G485" s="869"/>
      <c r="H485" s="869"/>
      <c r="I485" s="870"/>
      <c r="J485" s="870"/>
      <c r="U485" s="456"/>
    </row>
    <row r="486" spans="1:21" ht="15" customHeight="1">
      <c r="A486" s="1463" t="s">
        <v>783</v>
      </c>
      <c r="B486" s="1463"/>
      <c r="C486" s="1463"/>
      <c r="D486" s="1463"/>
      <c r="E486" s="1463"/>
      <c r="F486" s="1463"/>
      <c r="G486" s="1463"/>
      <c r="H486" s="1463"/>
      <c r="I486" s="1463"/>
      <c r="J486" s="1463"/>
      <c r="K486" s="1463"/>
      <c r="L486" s="1463"/>
      <c r="M486" s="1463"/>
      <c r="N486" s="1463"/>
      <c r="O486" s="1463"/>
      <c r="P486" s="1463"/>
      <c r="Q486" s="1463"/>
      <c r="R486" s="1463"/>
      <c r="S486" s="1463"/>
      <c r="T486" s="1463"/>
      <c r="U486" s="1463"/>
    </row>
    <row r="487" spans="1:21" ht="15" customHeight="1">
      <c r="A487" s="1463"/>
      <c r="B487" s="1463"/>
      <c r="C487" s="1463"/>
      <c r="D487" s="1463"/>
      <c r="E487" s="1463"/>
      <c r="F487" s="1463"/>
      <c r="G487" s="1463"/>
      <c r="H487" s="1463"/>
      <c r="I487" s="1463"/>
      <c r="J487" s="1463"/>
      <c r="K487" s="1463"/>
      <c r="L487" s="1463"/>
      <c r="M487" s="1463"/>
      <c r="N487" s="1463"/>
      <c r="O487" s="1463"/>
      <c r="P487" s="1463"/>
      <c r="Q487" s="1463"/>
      <c r="R487" s="1463"/>
      <c r="S487" s="1463"/>
      <c r="T487" s="1463"/>
      <c r="U487" s="1463"/>
    </row>
    <row r="488" spans="1:21" ht="18" customHeight="1">
      <c r="A488" s="1464" t="s">
        <v>784</v>
      </c>
      <c r="B488" s="1464"/>
      <c r="C488" s="1464"/>
      <c r="D488" s="1464"/>
      <c r="E488" s="1464"/>
      <c r="F488" s="1464"/>
      <c r="G488" s="1464"/>
      <c r="H488" s="1464"/>
      <c r="I488" s="1464"/>
      <c r="J488" s="1464"/>
      <c r="K488" s="1464"/>
      <c r="L488" s="1464"/>
      <c r="M488" s="1464"/>
      <c r="N488" s="1464"/>
      <c r="O488" s="1464"/>
      <c r="P488" s="1464"/>
      <c r="Q488" s="1464"/>
      <c r="R488" s="1464"/>
      <c r="S488" s="1464"/>
      <c r="T488" s="1464"/>
      <c r="U488" s="1464"/>
    </row>
    <row r="489" spans="1:21" ht="23.25" customHeight="1">
      <c r="A489" s="1465" t="s">
        <v>785</v>
      </c>
      <c r="B489" s="1465"/>
      <c r="C489" s="1465"/>
      <c r="D489" s="1465"/>
      <c r="E489" s="1465"/>
      <c r="F489" s="1465"/>
      <c r="G489" s="1465"/>
      <c r="H489" s="1465"/>
      <c r="I489" s="1465"/>
      <c r="J489" s="1465"/>
      <c r="K489" s="1465"/>
      <c r="L489" s="1465"/>
      <c r="M489" s="1465"/>
      <c r="N489" s="1465"/>
      <c r="O489" s="1465"/>
      <c r="P489" s="1465"/>
      <c r="Q489" s="1465"/>
      <c r="R489" s="1465"/>
      <c r="S489" s="1465"/>
      <c r="T489" s="1465"/>
      <c r="U489" s="1465"/>
    </row>
    <row r="490" spans="1:21" ht="21.75" customHeight="1">
      <c r="A490" s="874"/>
      <c r="B490" s="875"/>
      <c r="C490" s="875"/>
      <c r="D490" s="875"/>
      <c r="E490" s="875"/>
      <c r="F490" s="875"/>
      <c r="G490" s="875"/>
      <c r="H490" s="875"/>
      <c r="I490" s="875"/>
      <c r="J490" s="875"/>
      <c r="K490" s="875"/>
      <c r="L490" s="875"/>
      <c r="M490" s="875"/>
      <c r="N490" s="875"/>
      <c r="O490" s="875"/>
      <c r="P490" s="875"/>
      <c r="Q490" s="875"/>
      <c r="R490" s="875"/>
      <c r="S490" s="875"/>
      <c r="T490" s="875"/>
      <c r="U490" s="876"/>
    </row>
    <row r="491" spans="1:21" ht="15" customHeight="1">
      <c r="A491" s="1466" t="s">
        <v>786</v>
      </c>
      <c r="B491" s="1467" t="s">
        <v>787</v>
      </c>
      <c r="C491" s="1468" t="s">
        <v>788</v>
      </c>
      <c r="D491" s="1468" t="s">
        <v>789</v>
      </c>
      <c r="E491" s="1469" t="s">
        <v>790</v>
      </c>
      <c r="F491" s="1468" t="s">
        <v>791</v>
      </c>
      <c r="G491" s="1468"/>
      <c r="H491" s="1468"/>
      <c r="I491" s="1468"/>
      <c r="J491" s="1468"/>
      <c r="K491" s="1468"/>
      <c r="L491" s="1468"/>
      <c r="M491" s="1468"/>
      <c r="N491" s="1468"/>
      <c r="O491" s="1468"/>
      <c r="P491" s="1470"/>
      <c r="Q491" s="1470"/>
      <c r="R491" s="1470"/>
      <c r="S491" s="1470"/>
      <c r="T491" s="1470"/>
      <c r="U491" s="1470"/>
    </row>
    <row r="492" spans="1:21" ht="15.75" customHeight="1">
      <c r="A492" s="1466"/>
      <c r="B492" s="1467"/>
      <c r="C492" s="1468"/>
      <c r="D492" s="1468"/>
      <c r="E492" s="1469"/>
      <c r="F492" s="1468"/>
      <c r="G492" s="1468"/>
      <c r="H492" s="1468"/>
      <c r="I492" s="1468"/>
      <c r="J492" s="1468"/>
      <c r="K492" s="1468"/>
      <c r="L492" s="1468"/>
      <c r="M492" s="1468"/>
      <c r="N492" s="1468"/>
      <c r="O492" s="1468"/>
      <c r="P492" s="1470"/>
      <c r="Q492" s="1470"/>
      <c r="R492" s="1470"/>
      <c r="S492" s="1470"/>
      <c r="T492" s="1470"/>
      <c r="U492" s="1470"/>
    </row>
    <row r="493" spans="1:21" ht="48" customHeight="1">
      <c r="A493" s="1466"/>
      <c r="B493" s="1467"/>
      <c r="C493" s="1468"/>
      <c r="D493" s="1468"/>
      <c r="E493" s="1469"/>
      <c r="F493" s="878" t="s">
        <v>792</v>
      </c>
      <c r="G493" s="877" t="s">
        <v>793</v>
      </c>
      <c r="H493" s="878" t="s">
        <v>794</v>
      </c>
      <c r="I493" s="879" t="s">
        <v>795</v>
      </c>
      <c r="J493" s="880" t="s">
        <v>796</v>
      </c>
      <c r="K493" s="1468" t="s">
        <v>797</v>
      </c>
      <c r="L493" s="1468"/>
      <c r="M493" s="1468"/>
      <c r="N493" s="1468"/>
      <c r="O493" s="1468"/>
      <c r="P493" s="881" t="s">
        <v>798</v>
      </c>
      <c r="Q493" s="882" t="s">
        <v>799</v>
      </c>
      <c r="R493" s="1469" t="s">
        <v>800</v>
      </c>
      <c r="S493" s="1469"/>
      <c r="T493" s="877" t="s">
        <v>801</v>
      </c>
      <c r="U493" s="879" t="s">
        <v>104</v>
      </c>
    </row>
    <row r="494" spans="1:21" ht="19.5" customHeight="1">
      <c r="A494" s="883"/>
      <c r="B494" s="884" t="str">
        <f>IF('BIS Doc'!AC231=130, "130 × 130", IF('BIS Doc'!AC231=160, "160 × 160", IF('BIS Doc'!AC231=110, "110 × 110", "Value not 130, 160, or 110")))</f>
        <v>Value not 130, 160, or 110</v>
      </c>
      <c r="C494" s="885">
        <f>'BIS Doc'!W231</f>
        <v>0</v>
      </c>
      <c r="D494" s="886"/>
      <c r="E494" s="887">
        <f>'BIS Doc'!AE231</f>
        <v>0</v>
      </c>
      <c r="F494" s="888">
        <f ca="1">'BIS Doc'!F231</f>
        <v>0</v>
      </c>
      <c r="G494" s="888">
        <f ca="1">'BIS Doc'!J231</f>
        <v>0</v>
      </c>
      <c r="H494" s="888">
        <f ca="1">'BIS Doc'!G231</f>
        <v>0.58841648140130431</v>
      </c>
      <c r="I494" s="889">
        <f ca="1">'BIS Doc'!H231</f>
        <v>0</v>
      </c>
      <c r="J494" s="889">
        <f ca="1">'BIS Doc'!I231</f>
        <v>0</v>
      </c>
      <c r="K494" s="1449" t="str">
        <f t="shared" ref="K494:K499" ca="1" si="14">IF(H494&lt;0.6, "IS 14650 CPS 10748/GR2", "IS 14650 CPS 10748/GR3")</f>
        <v>IS 14650 CPS 10748/GR2</v>
      </c>
      <c r="L494" s="1449"/>
      <c r="M494" s="1449"/>
      <c r="N494" s="1449"/>
      <c r="O494" s="1449"/>
      <c r="P494" s="890"/>
      <c r="Q494" s="891"/>
      <c r="R494" s="1449"/>
      <c r="S494" s="1449"/>
      <c r="T494" s="892"/>
      <c r="U494" s="1450" t="s">
        <v>802</v>
      </c>
    </row>
    <row r="495" spans="1:21" ht="19.5" customHeight="1">
      <c r="A495" s="893"/>
      <c r="B495" s="894" t="str">
        <f>IF('BIS Doc'!AC233=130, "130 × 130", IF('BIS Doc'!AC233=160, "160 × 160", IF('BIS Doc'!AC233=110, "110 × 110", "Value not 130, 160, or 110")))</f>
        <v>Value not 130, 160, or 110</v>
      </c>
      <c r="C495" s="895">
        <f>'BIS Doc'!W233</f>
        <v>0</v>
      </c>
      <c r="D495" s="896"/>
      <c r="E495" s="897">
        <f>'BIS Doc'!AE233</f>
        <v>0</v>
      </c>
      <c r="F495" s="898">
        <f ca="1">'BIS Doc'!F233</f>
        <v>0</v>
      </c>
      <c r="G495" s="899">
        <f ca="1">'BIS Doc'!J233</f>
        <v>0</v>
      </c>
      <c r="H495" s="900">
        <f ca="1">'BIS Doc'!G233</f>
        <v>0.54110343767371527</v>
      </c>
      <c r="I495" s="901">
        <f ca="1">'BIS Doc'!H233</f>
        <v>0</v>
      </c>
      <c r="J495" s="901">
        <f ca="1">'BIS Doc'!I233</f>
        <v>0</v>
      </c>
      <c r="K495" s="1451" t="str">
        <f t="shared" ca="1" si="14"/>
        <v>IS 14650 CPS 10748/GR2</v>
      </c>
      <c r="L495" s="1451"/>
      <c r="M495" s="1451"/>
      <c r="N495" s="1451"/>
      <c r="O495" s="1451"/>
      <c r="P495" s="902"/>
      <c r="Q495" s="903"/>
      <c r="R495" s="1451"/>
      <c r="S495" s="1451"/>
      <c r="T495" s="904"/>
      <c r="U495" s="1450"/>
    </row>
    <row r="496" spans="1:21" ht="19.5" customHeight="1">
      <c r="A496" s="864"/>
      <c r="B496" s="894" t="str">
        <f>IF('BIS Doc'!AC235=130, "130 × 130", IF('BIS Doc'!AC235=160, "160 × 160", IF('BIS Doc'!AC235=110, "110 × 110", "Value not 130, 160, or 110")))</f>
        <v>Value not 130, 160, or 110</v>
      </c>
      <c r="C496" s="895">
        <f>'BIS Doc'!W235</f>
        <v>0</v>
      </c>
      <c r="D496" s="896" t="s">
        <v>803</v>
      </c>
      <c r="E496" s="897">
        <f>'BIS Doc'!AE235</f>
        <v>0</v>
      </c>
      <c r="F496" s="898">
        <f ca="1">'BIS Doc'!F235</f>
        <v>0</v>
      </c>
      <c r="G496" s="899">
        <f ca="1">'BIS Doc'!J235</f>
        <v>0</v>
      </c>
      <c r="H496" s="900">
        <f ca="1">'BIS Doc'!G235</f>
        <v>0.57043413220739159</v>
      </c>
      <c r="I496" s="901">
        <f ca="1">'BIS Doc'!H235</f>
        <v>0</v>
      </c>
      <c r="J496" s="901">
        <f ca="1">'BIS Doc'!I235</f>
        <v>0</v>
      </c>
      <c r="K496" s="1451" t="str">
        <f t="shared" ca="1" si="14"/>
        <v>IS 14650 CPS 10748/GR2</v>
      </c>
      <c r="L496" s="1451"/>
      <c r="M496" s="1451"/>
      <c r="N496" s="1451"/>
      <c r="O496" s="1451"/>
      <c r="P496" s="902"/>
      <c r="Q496" s="905"/>
      <c r="R496" s="1451"/>
      <c r="S496" s="1451"/>
      <c r="T496" s="904"/>
      <c r="U496" s="1450"/>
    </row>
    <row r="497" spans="1:21" ht="19.5" customHeight="1">
      <c r="A497" s="864"/>
      <c r="B497" s="894" t="str">
        <f>IF('BIS Doc'!AC237=130, "130 × 130", IF('BIS Doc'!AC237=160, "160 × 160", IF('BIS Doc'!AC237=110, "110 × 110", "Value not 130, 160, or 110")))</f>
        <v>Value not 130, 160, or 110</v>
      </c>
      <c r="C497" s="895">
        <f>'BIS Doc'!W237</f>
        <v>0</v>
      </c>
      <c r="D497" s="896"/>
      <c r="E497" s="897">
        <f>'BIS Doc'!AE237</f>
        <v>0</v>
      </c>
      <c r="F497" s="898">
        <f ca="1">'BIS Doc'!F237</f>
        <v>0</v>
      </c>
      <c r="G497" s="899">
        <f ca="1">'BIS Doc'!J237</f>
        <v>0</v>
      </c>
      <c r="H497" s="900">
        <f ca="1">'BIS Doc'!G237</f>
        <v>0.53546311371967714</v>
      </c>
      <c r="I497" s="901">
        <f ca="1">'BIS Doc'!H237</f>
        <v>0</v>
      </c>
      <c r="J497" s="901">
        <f ca="1">'BIS Doc'!I237</f>
        <v>0</v>
      </c>
      <c r="K497" s="1451" t="str">
        <f t="shared" ca="1" si="14"/>
        <v>IS 14650 CPS 10748/GR2</v>
      </c>
      <c r="L497" s="1451"/>
      <c r="M497" s="1451"/>
      <c r="N497" s="1451"/>
      <c r="O497" s="1451"/>
      <c r="P497" s="902"/>
      <c r="Q497" s="905"/>
      <c r="R497" s="1451"/>
      <c r="S497" s="1451"/>
      <c r="T497" s="904"/>
      <c r="U497" s="1450"/>
    </row>
    <row r="498" spans="1:21" ht="19.5" customHeight="1">
      <c r="A498" s="864"/>
      <c r="B498" s="894" t="str">
        <f>IF('BIS Doc'!AC239=130, "130 × 130", IF('BIS Doc'!AC239=160, "160 × 160", IF('BIS Doc'!AC239=110, "110 × 110", "Value not 130, 160, or 110")))</f>
        <v>Value not 130, 160, or 110</v>
      </c>
      <c r="C498" s="895">
        <f>'BIS Doc'!W239</f>
        <v>0</v>
      </c>
      <c r="D498" s="896"/>
      <c r="E498" s="897">
        <f>'BIS Doc'!AE239</f>
        <v>0</v>
      </c>
      <c r="F498" s="898">
        <f ca="1">'BIS Doc'!F239</f>
        <v>0</v>
      </c>
      <c r="G498" s="899">
        <f ca="1">'BIS Doc'!J239</f>
        <v>0</v>
      </c>
      <c r="H498" s="900">
        <f ca="1">'BIS Doc'!G239</f>
        <v>0.52049053548427426</v>
      </c>
      <c r="I498" s="901">
        <f ca="1">'BIS Doc'!H239</f>
        <v>0</v>
      </c>
      <c r="J498" s="901">
        <f ca="1">'BIS Doc'!I239</f>
        <v>0</v>
      </c>
      <c r="K498" s="1451" t="str">
        <f t="shared" ca="1" si="14"/>
        <v>IS 14650 CPS 10748/GR2</v>
      </c>
      <c r="L498" s="1451"/>
      <c r="M498" s="1451"/>
      <c r="N498" s="1451"/>
      <c r="O498" s="1451"/>
      <c r="P498" s="902"/>
      <c r="Q498" s="905"/>
      <c r="R498" s="1451"/>
      <c r="S498" s="1451"/>
      <c r="T498" s="904"/>
      <c r="U498" s="1450"/>
    </row>
    <row r="499" spans="1:21" ht="19.5" customHeight="1">
      <c r="A499" s="864"/>
      <c r="B499" s="894" t="str">
        <f>IF('BIS Doc'!AC241=130, "130 × 130", IF('BIS Doc'!AC241=160, "160 × 160", IF('BIS Doc'!AC241=110, "110 × 110", "Value not 130, 160, or 110")))</f>
        <v>Value not 130, 160, or 110</v>
      </c>
      <c r="C499" s="895">
        <f>'BIS Doc'!W241</f>
        <v>0</v>
      </c>
      <c r="D499" s="896"/>
      <c r="E499" s="897">
        <f>'BIS Doc'!AE241</f>
        <v>0</v>
      </c>
      <c r="F499" s="898">
        <f ca="1">'BIS Doc'!F241</f>
        <v>0</v>
      </c>
      <c r="G499" s="899">
        <f ca="1">'BIS Doc'!J241</f>
        <v>0</v>
      </c>
      <c r="H499" s="900">
        <f ca="1">'BIS Doc'!G241</f>
        <v>0.58747288953420984</v>
      </c>
      <c r="I499" s="901">
        <f ca="1">'BIS Doc'!H241</f>
        <v>0</v>
      </c>
      <c r="J499" s="901">
        <f ca="1">'BIS Doc'!I241</f>
        <v>0</v>
      </c>
      <c r="K499" s="1451" t="str">
        <f t="shared" ca="1" si="14"/>
        <v>IS 14650 CPS 10748/GR2</v>
      </c>
      <c r="L499" s="1451"/>
      <c r="M499" s="1451"/>
      <c r="N499" s="1451"/>
      <c r="O499" s="1451"/>
      <c r="P499" s="902"/>
      <c r="Q499" s="903"/>
      <c r="R499" s="1451"/>
      <c r="S499" s="1451"/>
      <c r="T499" s="904"/>
      <c r="U499" s="1450"/>
    </row>
    <row r="500" spans="1:21" ht="19.5" customHeight="1">
      <c r="A500" s="864"/>
      <c r="B500" s="904"/>
      <c r="C500" s="895"/>
      <c r="D500" s="896"/>
      <c r="E500" s="897"/>
      <c r="F500" s="906"/>
      <c r="G500" s="907"/>
      <c r="H500" s="908"/>
      <c r="I500" s="909"/>
      <c r="J500" s="909"/>
      <c r="K500" s="1451"/>
      <c r="L500" s="1451"/>
      <c r="M500" s="1451"/>
      <c r="N500" s="1451"/>
      <c r="O500" s="1451"/>
      <c r="P500" s="902"/>
      <c r="Q500" s="903"/>
      <c r="R500" s="1451"/>
      <c r="S500" s="1451"/>
      <c r="T500" s="904"/>
      <c r="U500" s="1450"/>
    </row>
    <row r="501" spans="1:21" ht="19.5" customHeight="1">
      <c r="A501" s="864"/>
      <c r="B501" s="904"/>
      <c r="C501" s="895"/>
      <c r="D501" s="896"/>
      <c r="E501" s="897"/>
      <c r="F501" s="906"/>
      <c r="G501" s="907"/>
      <c r="H501" s="908"/>
      <c r="I501" s="909"/>
      <c r="J501" s="909"/>
      <c r="K501" s="1451"/>
      <c r="L501" s="1451"/>
      <c r="M501" s="1451"/>
      <c r="N501" s="1451"/>
      <c r="O501" s="1451"/>
      <c r="P501" s="902"/>
      <c r="Q501" s="905"/>
      <c r="R501" s="1451"/>
      <c r="S501" s="1451"/>
      <c r="T501" s="904"/>
      <c r="U501" s="1450"/>
    </row>
    <row r="502" spans="1:21" ht="19.5" customHeight="1">
      <c r="A502" s="864"/>
      <c r="B502" s="910"/>
      <c r="C502" s="911"/>
      <c r="D502" s="896"/>
      <c r="E502" s="897"/>
      <c r="F502" s="906"/>
      <c r="G502" s="907"/>
      <c r="H502" s="908"/>
      <c r="I502" s="909"/>
      <c r="J502" s="909"/>
      <c r="K502" s="1451"/>
      <c r="L502" s="1451"/>
      <c r="M502" s="1451"/>
      <c r="N502" s="1451"/>
      <c r="O502" s="1451"/>
      <c r="P502" s="912"/>
      <c r="Q502" s="913"/>
      <c r="R502" s="1452"/>
      <c r="S502" s="1452"/>
      <c r="T502" s="910"/>
      <c r="U502" s="1450"/>
    </row>
    <row r="503" spans="1:21" ht="19.5" customHeight="1">
      <c r="A503" s="914"/>
      <c r="B503" s="915"/>
      <c r="C503" s="916"/>
      <c r="D503" s="917"/>
      <c r="E503" s="918">
        <f>SUM(E494:E499)</f>
        <v>0</v>
      </c>
      <c r="F503" s="919"/>
      <c r="G503" s="920"/>
      <c r="H503" s="921"/>
      <c r="I503" s="922"/>
      <c r="J503" s="922"/>
      <c r="K503" s="1453"/>
      <c r="L503" s="1453"/>
      <c r="M503" s="1453"/>
      <c r="N503" s="1453"/>
      <c r="O503" s="1453"/>
      <c r="P503" s="923"/>
      <c r="Q503" s="924"/>
      <c r="R503" s="1454"/>
      <c r="S503" s="1454"/>
      <c r="T503" s="915"/>
      <c r="U503" s="1450"/>
    </row>
    <row r="504" spans="1:21" ht="15.75" customHeight="1">
      <c r="A504" s="864"/>
      <c r="B504" s="773"/>
      <c r="C504" s="773"/>
      <c r="D504" s="925"/>
      <c r="E504" s="926"/>
      <c r="F504" s="927"/>
      <c r="G504" s="928"/>
      <c r="H504" s="259"/>
      <c r="I504" s="259"/>
      <c r="J504" s="928"/>
      <c r="K504" s="929"/>
      <c r="L504" s="929"/>
      <c r="M504" s="929"/>
      <c r="N504" s="929"/>
      <c r="O504" s="928"/>
      <c r="P504" s="930"/>
      <c r="Q504" s="931"/>
      <c r="R504" s="931"/>
      <c r="U504" s="932"/>
    </row>
    <row r="505" spans="1:21" ht="18.75" customHeight="1">
      <c r="A505" s="864"/>
      <c r="B505" s="773"/>
      <c r="C505" s="773"/>
      <c r="D505" s="773"/>
      <c r="E505" s="773"/>
      <c r="F505" s="773"/>
      <c r="G505" s="773"/>
      <c r="H505" s="773"/>
      <c r="I505" s="773"/>
      <c r="J505" s="773"/>
      <c r="K505" s="773"/>
      <c r="P505" s="1446" t="s">
        <v>804</v>
      </c>
      <c r="Q505" s="1446"/>
      <c r="R505" s="1446"/>
      <c r="S505" s="1446"/>
      <c r="T505" s="1446"/>
      <c r="U505" s="1446"/>
    </row>
    <row r="506" spans="1:21" ht="18.75" customHeight="1">
      <c r="A506" s="1447" t="s">
        <v>805</v>
      </c>
      <c r="B506" s="1447"/>
      <c r="C506" s="933"/>
      <c r="D506" s="933"/>
      <c r="E506" s="933"/>
      <c r="F506" s="933"/>
      <c r="P506" s="855"/>
      <c r="Q506" s="855"/>
      <c r="R506" s="855"/>
      <c r="S506" s="855"/>
      <c r="T506" s="855"/>
      <c r="U506" s="934"/>
    </row>
    <row r="507" spans="1:21" ht="18.75" customHeight="1">
      <c r="A507" s="854"/>
      <c r="B507" s="855"/>
      <c r="P507" s="855"/>
      <c r="Q507" s="855"/>
      <c r="R507" s="855"/>
      <c r="S507" s="855"/>
      <c r="T507" s="855"/>
      <c r="U507" s="934"/>
    </row>
    <row r="508" spans="1:21" ht="18.75" customHeight="1">
      <c r="A508" s="854" t="s">
        <v>806</v>
      </c>
      <c r="B508" s="855"/>
      <c r="C508" s="867"/>
      <c r="D508" s="941"/>
      <c r="E508" s="933"/>
      <c r="F508" s="933"/>
      <c r="P508" s="855"/>
      <c r="Q508" s="855"/>
      <c r="R508" s="855"/>
      <c r="S508" s="855"/>
      <c r="T508" s="855"/>
      <c r="U508" s="934"/>
    </row>
    <row r="509" spans="1:21" ht="18.75" customHeight="1">
      <c r="A509" s="854"/>
      <c r="B509" s="855"/>
      <c r="C509" s="937"/>
      <c r="P509" s="855"/>
      <c r="Q509" s="855"/>
      <c r="R509" s="855"/>
      <c r="S509" s="855"/>
      <c r="T509" s="855"/>
      <c r="U509" s="934"/>
    </row>
    <row r="510" spans="1:21" ht="19.5" customHeight="1">
      <c r="A510" s="938"/>
      <c r="B510" s="939"/>
      <c r="C510" s="940"/>
      <c r="D510" s="453"/>
      <c r="E510" s="453"/>
      <c r="F510" s="453"/>
      <c r="G510" s="453"/>
      <c r="H510" s="453"/>
      <c r="I510" s="453"/>
      <c r="J510" s="453"/>
      <c r="K510" s="453"/>
      <c r="L510" s="453"/>
      <c r="M510" s="453"/>
      <c r="N510" s="453"/>
      <c r="O510" s="453"/>
      <c r="P510" s="1448" t="s">
        <v>807</v>
      </c>
      <c r="Q510" s="1448"/>
      <c r="R510" s="1448"/>
      <c r="S510" s="1448"/>
      <c r="T510" s="1448"/>
      <c r="U510" s="1448"/>
    </row>
    <row r="511" spans="1:21" ht="45.75" customHeight="1">
      <c r="A511" s="1455"/>
      <c r="B511" s="1455"/>
      <c r="C511" s="1455"/>
      <c r="D511" s="847"/>
      <c r="E511" s="1456" t="s">
        <v>774</v>
      </c>
      <c r="F511" s="1456"/>
      <c r="G511" s="1456"/>
      <c r="H511" s="1456"/>
      <c r="I511" s="1456"/>
      <c r="J511" s="1456"/>
      <c r="K511" s="1456"/>
      <c r="L511" s="1456"/>
      <c r="M511" s="1456"/>
      <c r="N511" s="1456"/>
      <c r="O511" s="1456"/>
      <c r="P511" s="1456"/>
      <c r="Q511" s="1456"/>
      <c r="R511" s="1456"/>
      <c r="S511" s="848"/>
      <c r="T511" s="1457" t="s">
        <v>775</v>
      </c>
      <c r="U511" s="1457"/>
    </row>
    <row r="512" spans="1:21" ht="18.75" customHeight="1">
      <c r="A512" s="849"/>
      <c r="E512" s="1458" t="s">
        <v>776</v>
      </c>
      <c r="F512" s="1458"/>
      <c r="G512" s="1458"/>
      <c r="H512" s="1458"/>
      <c r="I512" s="1458"/>
      <c r="J512" s="1458"/>
      <c r="K512" s="1458"/>
      <c r="L512" s="1458"/>
      <c r="M512" s="1458"/>
      <c r="N512" s="1458"/>
      <c r="O512" s="1458"/>
      <c r="P512" s="1458"/>
      <c r="Q512" s="1458"/>
      <c r="R512" s="1458"/>
      <c r="U512" s="456"/>
    </row>
    <row r="513" spans="1:21" ht="18.75" customHeight="1">
      <c r="A513" s="850"/>
      <c r="F513" s="587"/>
      <c r="G513" s="587"/>
      <c r="H513" s="587"/>
      <c r="I513" s="587"/>
      <c r="J513" s="587"/>
      <c r="K513" s="587"/>
      <c r="L513" s="587"/>
      <c r="M513" s="851"/>
      <c r="N513" s="852"/>
      <c r="O513" s="851"/>
      <c r="P513" s="1459" t="s">
        <v>777</v>
      </c>
      <c r="Q513" s="1459"/>
      <c r="R513" s="1459"/>
      <c r="S513" s="1459"/>
      <c r="T513" s="1459"/>
      <c r="U513" s="1459"/>
    </row>
    <row r="514" spans="1:21" ht="15" customHeight="1">
      <c r="A514" s="849"/>
      <c r="E514" s="1287" t="s">
        <v>778</v>
      </c>
      <c r="F514" s="1287"/>
      <c r="G514" s="1287"/>
      <c r="H514" s="1287"/>
      <c r="I514" s="1287"/>
      <c r="J514" s="1287"/>
      <c r="K514" s="1287"/>
      <c r="L514" s="1287"/>
      <c r="M514" s="1287"/>
      <c r="N514" s="1287"/>
      <c r="O514" s="1287"/>
      <c r="P514" s="1287"/>
      <c r="Q514" s="1287"/>
      <c r="R514" s="1287"/>
      <c r="U514" s="456"/>
    </row>
    <row r="515" spans="1:21" ht="18.75" customHeight="1">
      <c r="A515" s="849"/>
      <c r="E515" s="1286" t="s">
        <v>779</v>
      </c>
      <c r="F515" s="1286"/>
      <c r="G515" s="1286"/>
      <c r="H515" s="1286"/>
      <c r="I515" s="1286"/>
      <c r="J515" s="1286"/>
      <c r="K515" s="1286"/>
      <c r="L515" s="1286"/>
      <c r="M515" s="1286"/>
      <c r="N515" s="1286"/>
      <c r="O515" s="1286"/>
      <c r="P515" s="1286"/>
      <c r="Q515" s="1286"/>
      <c r="R515" s="1286"/>
      <c r="U515" s="853"/>
    </row>
    <row r="516" spans="1:21" ht="23.25" customHeight="1">
      <c r="A516" s="854" t="s">
        <v>780</v>
      </c>
      <c r="B516" s="855"/>
      <c r="C516" s="855"/>
      <c r="D516" s="856" t="s">
        <v>839</v>
      </c>
      <c r="E516" s="857"/>
      <c r="F516" s="858"/>
      <c r="G516" s="859"/>
      <c r="H516" s="859"/>
      <c r="I516" s="859"/>
      <c r="J516" s="859"/>
      <c r="K516" s="859"/>
      <c r="L516" s="860"/>
      <c r="M516" s="1460"/>
      <c r="N516" s="1460"/>
      <c r="O516" s="1460"/>
      <c r="P516" s="1461" t="s">
        <v>781</v>
      </c>
      <c r="Q516" s="1461"/>
      <c r="R516" s="1461"/>
      <c r="S516" s="855"/>
      <c r="T516" s="861">
        <v>46303</v>
      </c>
      <c r="U516" s="456"/>
    </row>
    <row r="517" spans="1:21" ht="23.25" customHeight="1">
      <c r="A517" s="854"/>
      <c r="B517" s="862"/>
      <c r="C517" s="862"/>
      <c r="D517" s="862"/>
      <c r="E517" s="163"/>
      <c r="F517" s="863"/>
      <c r="G517" s="863"/>
      <c r="H517" s="863"/>
      <c r="I517" s="863"/>
      <c r="J517" s="863"/>
      <c r="K517" s="863"/>
      <c r="U517" s="456"/>
    </row>
    <row r="518" spans="1:21" ht="21" customHeight="1">
      <c r="A518" s="864" t="s">
        <v>782</v>
      </c>
      <c r="B518" s="865"/>
      <c r="C518" s="866"/>
      <c r="D518" s="867"/>
      <c r="E518" s="868"/>
      <c r="F518" s="869"/>
      <c r="G518" s="869"/>
      <c r="H518" s="869"/>
      <c r="I518" s="870"/>
      <c r="J518" s="870"/>
      <c r="P518" s="1462"/>
      <c r="Q518" s="1462"/>
      <c r="R518" s="1462"/>
      <c r="S518" s="1462"/>
      <c r="T518" s="871"/>
      <c r="U518" s="456"/>
    </row>
    <row r="519" spans="1:21" ht="21" customHeight="1">
      <c r="A519" s="872"/>
      <c r="B519" s="873"/>
      <c r="C519" s="869"/>
      <c r="D519" s="869"/>
      <c r="E519" s="869"/>
      <c r="F519" s="869"/>
      <c r="G519" s="869"/>
      <c r="H519" s="869"/>
      <c r="I519" s="870"/>
      <c r="J519" s="870"/>
      <c r="U519" s="456"/>
    </row>
    <row r="520" spans="1:21" ht="15" customHeight="1">
      <c r="A520" s="1463" t="s">
        <v>783</v>
      </c>
      <c r="B520" s="1463"/>
      <c r="C520" s="1463"/>
      <c r="D520" s="1463"/>
      <c r="E520" s="1463"/>
      <c r="F520" s="1463"/>
      <c r="G520" s="1463"/>
      <c r="H520" s="1463"/>
      <c r="I520" s="1463"/>
      <c r="J520" s="1463"/>
      <c r="K520" s="1463"/>
      <c r="L520" s="1463"/>
      <c r="M520" s="1463"/>
      <c r="N520" s="1463"/>
      <c r="O520" s="1463"/>
      <c r="P520" s="1463"/>
      <c r="Q520" s="1463"/>
      <c r="R520" s="1463"/>
      <c r="S520" s="1463"/>
      <c r="T520" s="1463"/>
      <c r="U520" s="1463"/>
    </row>
    <row r="521" spans="1:21" ht="15" customHeight="1">
      <c r="A521" s="1463"/>
      <c r="B521" s="1463"/>
      <c r="C521" s="1463"/>
      <c r="D521" s="1463"/>
      <c r="E521" s="1463"/>
      <c r="F521" s="1463"/>
      <c r="G521" s="1463"/>
      <c r="H521" s="1463"/>
      <c r="I521" s="1463"/>
      <c r="J521" s="1463"/>
      <c r="K521" s="1463"/>
      <c r="L521" s="1463"/>
      <c r="M521" s="1463"/>
      <c r="N521" s="1463"/>
      <c r="O521" s="1463"/>
      <c r="P521" s="1463"/>
      <c r="Q521" s="1463"/>
      <c r="R521" s="1463"/>
      <c r="S521" s="1463"/>
      <c r="T521" s="1463"/>
      <c r="U521" s="1463"/>
    </row>
    <row r="522" spans="1:21" ht="18" customHeight="1">
      <c r="A522" s="1464" t="s">
        <v>784</v>
      </c>
      <c r="B522" s="1464"/>
      <c r="C522" s="1464"/>
      <c r="D522" s="1464"/>
      <c r="E522" s="1464"/>
      <c r="F522" s="1464"/>
      <c r="G522" s="1464"/>
      <c r="H522" s="1464"/>
      <c r="I522" s="1464"/>
      <c r="J522" s="1464"/>
      <c r="K522" s="1464"/>
      <c r="L522" s="1464"/>
      <c r="M522" s="1464"/>
      <c r="N522" s="1464"/>
      <c r="O522" s="1464"/>
      <c r="P522" s="1464"/>
      <c r="Q522" s="1464"/>
      <c r="R522" s="1464"/>
      <c r="S522" s="1464"/>
      <c r="T522" s="1464"/>
      <c r="U522" s="1464"/>
    </row>
    <row r="523" spans="1:21" ht="23.25" customHeight="1">
      <c r="A523" s="1465" t="s">
        <v>785</v>
      </c>
      <c r="B523" s="1465"/>
      <c r="C523" s="1465"/>
      <c r="D523" s="1465"/>
      <c r="E523" s="1465"/>
      <c r="F523" s="1465"/>
      <c r="G523" s="1465"/>
      <c r="H523" s="1465"/>
      <c r="I523" s="1465"/>
      <c r="J523" s="1465"/>
      <c r="K523" s="1465"/>
      <c r="L523" s="1465"/>
      <c r="M523" s="1465"/>
      <c r="N523" s="1465"/>
      <c r="O523" s="1465"/>
      <c r="P523" s="1465"/>
      <c r="Q523" s="1465"/>
      <c r="R523" s="1465"/>
      <c r="S523" s="1465"/>
      <c r="T523" s="1465"/>
      <c r="U523" s="1465"/>
    </row>
    <row r="524" spans="1:21" ht="21.75" customHeight="1">
      <c r="A524" s="874"/>
      <c r="B524" s="875"/>
      <c r="C524" s="875"/>
      <c r="D524" s="875"/>
      <c r="E524" s="875"/>
      <c r="F524" s="875"/>
      <c r="G524" s="875"/>
      <c r="H524" s="875"/>
      <c r="I524" s="875"/>
      <c r="J524" s="875"/>
      <c r="K524" s="875"/>
      <c r="L524" s="875"/>
      <c r="M524" s="875"/>
      <c r="N524" s="875"/>
      <c r="O524" s="875"/>
      <c r="P524" s="875"/>
      <c r="Q524" s="875"/>
      <c r="R524" s="875"/>
      <c r="S524" s="875"/>
      <c r="T524" s="875"/>
      <c r="U524" s="876"/>
    </row>
    <row r="525" spans="1:21" ht="15" customHeight="1">
      <c r="A525" s="1466" t="s">
        <v>786</v>
      </c>
      <c r="B525" s="1467" t="s">
        <v>787</v>
      </c>
      <c r="C525" s="1468" t="s">
        <v>788</v>
      </c>
      <c r="D525" s="1468" t="s">
        <v>789</v>
      </c>
      <c r="E525" s="1469" t="s">
        <v>790</v>
      </c>
      <c r="F525" s="1468" t="s">
        <v>791</v>
      </c>
      <c r="G525" s="1468"/>
      <c r="H525" s="1468"/>
      <c r="I525" s="1468"/>
      <c r="J525" s="1468"/>
      <c r="K525" s="1468"/>
      <c r="L525" s="1468"/>
      <c r="M525" s="1468"/>
      <c r="N525" s="1468"/>
      <c r="O525" s="1468"/>
      <c r="P525" s="1470"/>
      <c r="Q525" s="1470"/>
      <c r="R525" s="1470"/>
      <c r="S525" s="1470"/>
      <c r="T525" s="1470"/>
      <c r="U525" s="1470"/>
    </row>
    <row r="526" spans="1:21" ht="15.75" customHeight="1">
      <c r="A526" s="1466"/>
      <c r="B526" s="1467"/>
      <c r="C526" s="1468"/>
      <c r="D526" s="1468"/>
      <c r="E526" s="1469"/>
      <c r="F526" s="1468"/>
      <c r="G526" s="1468"/>
      <c r="H526" s="1468"/>
      <c r="I526" s="1468"/>
      <c r="J526" s="1468"/>
      <c r="K526" s="1468"/>
      <c r="L526" s="1468"/>
      <c r="M526" s="1468"/>
      <c r="N526" s="1468"/>
      <c r="O526" s="1468"/>
      <c r="P526" s="1470"/>
      <c r="Q526" s="1470"/>
      <c r="R526" s="1470"/>
      <c r="S526" s="1470"/>
      <c r="T526" s="1470"/>
      <c r="U526" s="1470"/>
    </row>
    <row r="527" spans="1:21" ht="48" customHeight="1">
      <c r="A527" s="1466"/>
      <c r="B527" s="1467"/>
      <c r="C527" s="1468"/>
      <c r="D527" s="1468"/>
      <c r="E527" s="1469"/>
      <c r="F527" s="878" t="s">
        <v>792</v>
      </c>
      <c r="G527" s="877" t="s">
        <v>793</v>
      </c>
      <c r="H527" s="878" t="s">
        <v>794</v>
      </c>
      <c r="I527" s="879" t="s">
        <v>795</v>
      </c>
      <c r="J527" s="880" t="s">
        <v>796</v>
      </c>
      <c r="K527" s="1468" t="s">
        <v>797</v>
      </c>
      <c r="L527" s="1468"/>
      <c r="M527" s="1468"/>
      <c r="N527" s="1468"/>
      <c r="O527" s="1468"/>
      <c r="P527" s="881" t="s">
        <v>798</v>
      </c>
      <c r="Q527" s="882" t="s">
        <v>799</v>
      </c>
      <c r="R527" s="1469" t="s">
        <v>800</v>
      </c>
      <c r="S527" s="1469"/>
      <c r="T527" s="877" t="s">
        <v>801</v>
      </c>
      <c r="U527" s="879" t="s">
        <v>104</v>
      </c>
    </row>
    <row r="528" spans="1:21" ht="19.5" customHeight="1">
      <c r="A528" s="883"/>
      <c r="B528" s="884" t="str">
        <f>IF('BIS Doc'!AC243=130, "130 × 130", IF('BIS Doc'!AC243=160, "160 × 160", IF('BIS Doc'!AC243=110, "110 × 110", "Value not 130, 160, or 110")))</f>
        <v>Value not 130, 160, or 110</v>
      </c>
      <c r="C528" s="885">
        <f>'BIS Doc'!W243</f>
        <v>0</v>
      </c>
      <c r="D528" s="886"/>
      <c r="E528" s="887">
        <f>'BIS Doc'!AE243</f>
        <v>0</v>
      </c>
      <c r="F528" s="888">
        <f ca="1">'BIS Doc'!F243</f>
        <v>0</v>
      </c>
      <c r="G528" s="888">
        <f ca="1">'BIS Doc'!J243</f>
        <v>0</v>
      </c>
      <c r="H528" s="888">
        <f ca="1">'BIS Doc'!G243</f>
        <v>0.56898157282184247</v>
      </c>
      <c r="I528" s="889">
        <f ca="1">'BIS Doc'!H243</f>
        <v>0</v>
      </c>
      <c r="J528" s="889">
        <f ca="1">'BIS Doc'!I243</f>
        <v>0</v>
      </c>
      <c r="K528" s="1449" t="str">
        <f t="shared" ref="K528:K533" ca="1" si="15">IF(H528&lt;0.6, "IS 14650 CPS 10748/GR2", "IS 14650 CPS 10748/GR3")</f>
        <v>IS 14650 CPS 10748/GR2</v>
      </c>
      <c r="L528" s="1449"/>
      <c r="M528" s="1449"/>
      <c r="N528" s="1449"/>
      <c r="O528" s="1449"/>
      <c r="P528" s="890"/>
      <c r="Q528" s="891"/>
      <c r="R528" s="1449"/>
      <c r="S528" s="1449"/>
      <c r="T528" s="892"/>
      <c r="U528" s="1450" t="s">
        <v>802</v>
      </c>
    </row>
    <row r="529" spans="1:21" ht="19.5" customHeight="1">
      <c r="A529" s="893"/>
      <c r="B529" s="894" t="str">
        <f>IF('BIS Doc'!AC245=130, "130 × 130", IF('BIS Doc'!AC245=160, "160 × 160", IF('BIS Doc'!AC245=110, "110 × 110", "Value not 130, 160, or 110")))</f>
        <v>Value not 130, 160, or 110</v>
      </c>
      <c r="C529" s="895">
        <f>'BIS Doc'!W245</f>
        <v>0</v>
      </c>
      <c r="D529" s="896"/>
      <c r="E529" s="897">
        <f>'BIS Doc'!AE245</f>
        <v>0</v>
      </c>
      <c r="F529" s="898">
        <f ca="1">'BIS Doc'!F245</f>
        <v>0</v>
      </c>
      <c r="G529" s="899">
        <f ca="1">'BIS Doc'!J245</f>
        <v>0</v>
      </c>
      <c r="H529" s="900">
        <f ca="1">'BIS Doc'!G245</f>
        <v>0.51272880775663199</v>
      </c>
      <c r="I529" s="901">
        <f ca="1">'BIS Doc'!H245</f>
        <v>0</v>
      </c>
      <c r="J529" s="901">
        <f ca="1">'BIS Doc'!I245</f>
        <v>0</v>
      </c>
      <c r="K529" s="1451" t="str">
        <f t="shared" ca="1" si="15"/>
        <v>IS 14650 CPS 10748/GR2</v>
      </c>
      <c r="L529" s="1451"/>
      <c r="M529" s="1451"/>
      <c r="N529" s="1451"/>
      <c r="O529" s="1451"/>
      <c r="P529" s="902"/>
      <c r="Q529" s="903"/>
      <c r="R529" s="1451"/>
      <c r="S529" s="1451"/>
      <c r="T529" s="904"/>
      <c r="U529" s="1450"/>
    </row>
    <row r="530" spans="1:21" ht="19.5" customHeight="1">
      <c r="A530" s="864"/>
      <c r="B530" s="894" t="str">
        <f>IF('BIS Doc'!AC247=130, "130 × 130", IF('BIS Doc'!AC247=160, "160 × 160", IF('BIS Doc'!AC247=110, "110 × 110", "Value not 130, 160, or 110")))</f>
        <v>Value not 130, 160, or 110</v>
      </c>
      <c r="C530" s="895">
        <f>'BIS Doc'!W247</f>
        <v>0</v>
      </c>
      <c r="D530" s="896" t="s">
        <v>803</v>
      </c>
      <c r="E530" s="897">
        <f>'BIS Doc'!AE247</f>
        <v>0</v>
      </c>
      <c r="F530" s="898">
        <f ca="1">'BIS Doc'!F247</f>
        <v>0</v>
      </c>
      <c r="G530" s="899">
        <f ca="1">'BIS Doc'!J247</f>
        <v>0</v>
      </c>
      <c r="H530" s="900">
        <f ca="1">'BIS Doc'!G247</f>
        <v>0.56244078636884198</v>
      </c>
      <c r="I530" s="901">
        <f ca="1">'BIS Doc'!H247</f>
        <v>0</v>
      </c>
      <c r="J530" s="901">
        <f ca="1">'BIS Doc'!I247</f>
        <v>0</v>
      </c>
      <c r="K530" s="1451" t="str">
        <f t="shared" ca="1" si="15"/>
        <v>IS 14650 CPS 10748/GR2</v>
      </c>
      <c r="L530" s="1451"/>
      <c r="M530" s="1451"/>
      <c r="N530" s="1451"/>
      <c r="O530" s="1451"/>
      <c r="P530" s="902"/>
      <c r="Q530" s="905"/>
      <c r="R530" s="1451"/>
      <c r="S530" s="1451"/>
      <c r="T530" s="904"/>
      <c r="U530" s="1450"/>
    </row>
    <row r="531" spans="1:21" ht="19.5" customHeight="1">
      <c r="A531" s="864"/>
      <c r="B531" s="894" t="str">
        <f>IF('BIS Doc'!AC249=130, "130 × 130", IF('BIS Doc'!AC249=160, "160 × 160", IF('BIS Doc'!AC249=110, "110 × 110", "Value not 130, 160, or 110")))</f>
        <v>Value not 130, 160, or 110</v>
      </c>
      <c r="C531" s="895">
        <f>'BIS Doc'!W249</f>
        <v>0</v>
      </c>
      <c r="D531" s="896"/>
      <c r="E531" s="897">
        <f>'BIS Doc'!AE249</f>
        <v>0</v>
      </c>
      <c r="F531" s="898">
        <f ca="1">'BIS Doc'!F249</f>
        <v>0</v>
      </c>
      <c r="G531" s="899">
        <f ca="1">'BIS Doc'!J249</f>
        <v>0</v>
      </c>
      <c r="H531" s="900">
        <f ca="1">'BIS Doc'!G249</f>
        <v>0.50723966248997776</v>
      </c>
      <c r="I531" s="901">
        <f ca="1">'BIS Doc'!H249</f>
        <v>0</v>
      </c>
      <c r="J531" s="901">
        <f ca="1">'BIS Doc'!I249</f>
        <v>0</v>
      </c>
      <c r="K531" s="1451" t="str">
        <f t="shared" ca="1" si="15"/>
        <v>IS 14650 CPS 10748/GR2</v>
      </c>
      <c r="L531" s="1451"/>
      <c r="M531" s="1451"/>
      <c r="N531" s="1451"/>
      <c r="O531" s="1451"/>
      <c r="P531" s="902"/>
      <c r="Q531" s="905"/>
      <c r="R531" s="1451"/>
      <c r="S531" s="1451"/>
      <c r="T531" s="904"/>
      <c r="U531" s="1450"/>
    </row>
    <row r="532" spans="1:21" ht="19.5" customHeight="1">
      <c r="A532" s="864"/>
      <c r="B532" s="894" t="str">
        <f>IF('BIS Doc'!AC251=130, "130 × 130", IF('BIS Doc'!AC251=160, "160 × 160", IF('BIS Doc'!AC251=110, "110 × 110", "Value not 130, 160, or 110")))</f>
        <v>Value not 130, 160, or 110</v>
      </c>
      <c r="C532" s="895">
        <f>'BIS Doc'!W251</f>
        <v>0</v>
      </c>
      <c r="D532" s="896"/>
      <c r="E532" s="897">
        <f>'BIS Doc'!AE251</f>
        <v>0</v>
      </c>
      <c r="F532" s="898">
        <f ca="1">'BIS Doc'!F251</f>
        <v>0</v>
      </c>
      <c r="G532" s="899">
        <f ca="1">'BIS Doc'!J251</f>
        <v>0</v>
      </c>
      <c r="H532" s="900">
        <f ca="1">'BIS Doc'!G251</f>
        <v>0.50510765423222137</v>
      </c>
      <c r="I532" s="901">
        <f ca="1">'BIS Doc'!H251</f>
        <v>0</v>
      </c>
      <c r="J532" s="901">
        <f ca="1">'BIS Doc'!I251</f>
        <v>0</v>
      </c>
      <c r="K532" s="1451" t="str">
        <f t="shared" ca="1" si="15"/>
        <v>IS 14650 CPS 10748/GR2</v>
      </c>
      <c r="L532" s="1451"/>
      <c r="M532" s="1451"/>
      <c r="N532" s="1451"/>
      <c r="O532" s="1451"/>
      <c r="P532" s="902"/>
      <c r="Q532" s="905"/>
      <c r="R532" s="1451"/>
      <c r="S532" s="1451"/>
      <c r="T532" s="904"/>
      <c r="U532" s="1450"/>
    </row>
    <row r="533" spans="1:21" ht="19.5" customHeight="1">
      <c r="A533" s="864"/>
      <c r="B533" s="894" t="str">
        <f>IF('BIS Doc'!AC253=130, "130 × 130", IF('BIS Doc'!AC253=160, "160 × 160", IF('BIS Doc'!AC253=110, "110 × 110", "Value not 130, 160, or 110")))</f>
        <v>Value not 130, 160, or 110</v>
      </c>
      <c r="C533" s="895">
        <f>'BIS Doc'!W253</f>
        <v>0</v>
      </c>
      <c r="D533" s="896"/>
      <c r="E533" s="897">
        <f>'BIS Doc'!AE253</f>
        <v>0</v>
      </c>
      <c r="F533" s="898">
        <f ca="1">'BIS Doc'!F253</f>
        <v>0</v>
      </c>
      <c r="G533" s="899">
        <f ca="1">'BIS Doc'!J253</f>
        <v>0</v>
      </c>
      <c r="H533" s="900">
        <f ca="1">'BIS Doc'!G253</f>
        <v>0.54135017207876968</v>
      </c>
      <c r="I533" s="901">
        <f ca="1">'BIS Doc'!H253</f>
        <v>0</v>
      </c>
      <c r="J533" s="901">
        <f ca="1">'BIS Doc'!I253</f>
        <v>0</v>
      </c>
      <c r="K533" s="1451" t="str">
        <f t="shared" ca="1" si="15"/>
        <v>IS 14650 CPS 10748/GR2</v>
      </c>
      <c r="L533" s="1451"/>
      <c r="M533" s="1451"/>
      <c r="N533" s="1451"/>
      <c r="O533" s="1451"/>
      <c r="P533" s="902"/>
      <c r="Q533" s="903"/>
      <c r="R533" s="1451"/>
      <c r="S533" s="1451"/>
      <c r="T533" s="904"/>
      <c r="U533" s="1450"/>
    </row>
    <row r="534" spans="1:21" ht="19.5" customHeight="1">
      <c r="A534" s="864"/>
      <c r="B534" s="904"/>
      <c r="C534" s="895"/>
      <c r="D534" s="896"/>
      <c r="E534" s="897"/>
      <c r="F534" s="906"/>
      <c r="G534" s="907"/>
      <c r="H534" s="908"/>
      <c r="I534" s="909"/>
      <c r="J534" s="909"/>
      <c r="K534" s="1451"/>
      <c r="L534" s="1451"/>
      <c r="M534" s="1451"/>
      <c r="N534" s="1451"/>
      <c r="O534" s="1451"/>
      <c r="P534" s="902"/>
      <c r="Q534" s="903"/>
      <c r="R534" s="1451"/>
      <c r="S534" s="1451"/>
      <c r="T534" s="904"/>
      <c r="U534" s="1450"/>
    </row>
    <row r="535" spans="1:21" ht="19.5" customHeight="1">
      <c r="A535" s="864"/>
      <c r="B535" s="904"/>
      <c r="C535" s="895"/>
      <c r="D535" s="896"/>
      <c r="E535" s="897"/>
      <c r="F535" s="906"/>
      <c r="G535" s="907"/>
      <c r="H535" s="908"/>
      <c r="I535" s="909"/>
      <c r="J535" s="909"/>
      <c r="K535" s="1451"/>
      <c r="L535" s="1451"/>
      <c r="M535" s="1451"/>
      <c r="N535" s="1451"/>
      <c r="O535" s="1451"/>
      <c r="P535" s="902"/>
      <c r="Q535" s="905"/>
      <c r="R535" s="1451"/>
      <c r="S535" s="1451"/>
      <c r="T535" s="904"/>
      <c r="U535" s="1450"/>
    </row>
    <row r="536" spans="1:21" ht="19.5" customHeight="1">
      <c r="A536" s="864"/>
      <c r="B536" s="910"/>
      <c r="C536" s="911"/>
      <c r="D536" s="896"/>
      <c r="E536" s="897"/>
      <c r="F536" s="906"/>
      <c r="G536" s="907"/>
      <c r="H536" s="908"/>
      <c r="I536" s="909"/>
      <c r="J536" s="909"/>
      <c r="K536" s="1451"/>
      <c r="L536" s="1451"/>
      <c r="M536" s="1451"/>
      <c r="N536" s="1451"/>
      <c r="O536" s="1451"/>
      <c r="P536" s="912"/>
      <c r="Q536" s="913"/>
      <c r="R536" s="1452"/>
      <c r="S536" s="1452"/>
      <c r="T536" s="910"/>
      <c r="U536" s="1450"/>
    </row>
    <row r="537" spans="1:21" ht="19.5" customHeight="1">
      <c r="A537" s="914"/>
      <c r="B537" s="915"/>
      <c r="C537" s="916"/>
      <c r="D537" s="917"/>
      <c r="E537" s="918">
        <f>SUM(E528:E533)</f>
        <v>0</v>
      </c>
      <c r="F537" s="919"/>
      <c r="G537" s="920"/>
      <c r="H537" s="921"/>
      <c r="I537" s="922"/>
      <c r="J537" s="922"/>
      <c r="K537" s="1453"/>
      <c r="L537" s="1453"/>
      <c r="M537" s="1453"/>
      <c r="N537" s="1453"/>
      <c r="O537" s="1453"/>
      <c r="P537" s="923"/>
      <c r="Q537" s="924"/>
      <c r="R537" s="1454"/>
      <c r="S537" s="1454"/>
      <c r="T537" s="915"/>
      <c r="U537" s="1450"/>
    </row>
    <row r="538" spans="1:21" ht="15.75" customHeight="1">
      <c r="A538" s="864"/>
      <c r="B538" s="773"/>
      <c r="C538" s="773"/>
      <c r="D538" s="925"/>
      <c r="E538" s="926"/>
      <c r="F538" s="927"/>
      <c r="G538" s="928"/>
      <c r="H538" s="259"/>
      <c r="I538" s="259"/>
      <c r="J538" s="928"/>
      <c r="K538" s="929"/>
      <c r="L538" s="929"/>
      <c r="M538" s="929"/>
      <c r="N538" s="929"/>
      <c r="O538" s="928"/>
      <c r="P538" s="930"/>
      <c r="Q538" s="931"/>
      <c r="R538" s="931"/>
      <c r="U538" s="932"/>
    </row>
    <row r="539" spans="1:21" ht="18.75" customHeight="1">
      <c r="A539" s="864"/>
      <c r="B539" s="773"/>
      <c r="C539" s="773"/>
      <c r="D539" s="773"/>
      <c r="E539" s="773"/>
      <c r="F539" s="773"/>
      <c r="G539" s="773"/>
      <c r="H539" s="773"/>
      <c r="I539" s="773"/>
      <c r="J539" s="773"/>
      <c r="K539" s="773"/>
      <c r="P539" s="1446" t="s">
        <v>804</v>
      </c>
      <c r="Q539" s="1446"/>
      <c r="R539" s="1446"/>
      <c r="S539" s="1446"/>
      <c r="T539" s="1446"/>
      <c r="U539" s="1446"/>
    </row>
    <row r="540" spans="1:21" ht="18.75" customHeight="1">
      <c r="A540" s="1447" t="s">
        <v>805</v>
      </c>
      <c r="B540" s="1447"/>
      <c r="C540" s="933"/>
      <c r="D540" s="933"/>
      <c r="E540" s="933"/>
      <c r="F540" s="933"/>
      <c r="P540" s="855"/>
      <c r="Q540" s="855"/>
      <c r="R540" s="855"/>
      <c r="S540" s="855"/>
      <c r="T540" s="855"/>
      <c r="U540" s="934"/>
    </row>
    <row r="541" spans="1:21" ht="18.75" customHeight="1">
      <c r="A541" s="854"/>
      <c r="B541" s="855"/>
      <c r="P541" s="855"/>
      <c r="Q541" s="855"/>
      <c r="R541" s="855"/>
      <c r="S541" s="855"/>
      <c r="T541" s="855"/>
      <c r="U541" s="934"/>
    </row>
    <row r="542" spans="1:21" ht="18.75" customHeight="1">
      <c r="A542" s="854" t="s">
        <v>806</v>
      </c>
      <c r="B542" s="855"/>
      <c r="C542" s="867"/>
      <c r="D542" s="941"/>
      <c r="E542" s="933"/>
      <c r="F542" s="933"/>
      <c r="P542" s="855"/>
      <c r="Q542" s="855"/>
      <c r="R542" s="855"/>
      <c r="S542" s="855"/>
      <c r="T542" s="855"/>
      <c r="U542" s="934"/>
    </row>
    <row r="543" spans="1:21" ht="18.75" customHeight="1">
      <c r="A543" s="854"/>
      <c r="B543" s="855"/>
      <c r="C543" s="937"/>
      <c r="P543" s="855"/>
      <c r="Q543" s="855"/>
      <c r="R543" s="855"/>
      <c r="S543" s="855"/>
      <c r="T543" s="855"/>
      <c r="U543" s="934"/>
    </row>
    <row r="544" spans="1:21" ht="19.5" customHeight="1">
      <c r="A544" s="938"/>
      <c r="B544" s="939"/>
      <c r="C544" s="940"/>
      <c r="D544" s="453"/>
      <c r="E544" s="453"/>
      <c r="F544" s="453"/>
      <c r="G544" s="453"/>
      <c r="H544" s="453"/>
      <c r="I544" s="453"/>
      <c r="J544" s="453"/>
      <c r="K544" s="453"/>
      <c r="L544" s="453"/>
      <c r="M544" s="453"/>
      <c r="N544" s="453"/>
      <c r="O544" s="453"/>
      <c r="P544" s="1448" t="s">
        <v>807</v>
      </c>
      <c r="Q544" s="1448"/>
      <c r="R544" s="1448"/>
      <c r="S544" s="1448"/>
      <c r="T544" s="1448"/>
      <c r="U544" s="1448"/>
    </row>
    <row r="545" spans="1:21" ht="45.75" customHeight="1">
      <c r="A545" s="1455"/>
      <c r="B545" s="1455"/>
      <c r="C545" s="1455"/>
      <c r="D545" s="847"/>
      <c r="E545" s="1456" t="s">
        <v>774</v>
      </c>
      <c r="F545" s="1456"/>
      <c r="G545" s="1456"/>
      <c r="H545" s="1456"/>
      <c r="I545" s="1456"/>
      <c r="J545" s="1456"/>
      <c r="K545" s="1456"/>
      <c r="L545" s="1456"/>
      <c r="M545" s="1456"/>
      <c r="N545" s="1456"/>
      <c r="O545" s="1456"/>
      <c r="P545" s="1456"/>
      <c r="Q545" s="1456"/>
      <c r="R545" s="1456"/>
      <c r="S545" s="848"/>
      <c r="T545" s="1457" t="s">
        <v>775</v>
      </c>
      <c r="U545" s="1457"/>
    </row>
    <row r="546" spans="1:21" ht="18.75" customHeight="1">
      <c r="A546" s="849"/>
      <c r="E546" s="1458" t="s">
        <v>776</v>
      </c>
      <c r="F546" s="1458"/>
      <c r="G546" s="1458"/>
      <c r="H546" s="1458"/>
      <c r="I546" s="1458"/>
      <c r="J546" s="1458"/>
      <c r="K546" s="1458"/>
      <c r="L546" s="1458"/>
      <c r="M546" s="1458"/>
      <c r="N546" s="1458"/>
      <c r="O546" s="1458"/>
      <c r="P546" s="1458"/>
      <c r="Q546" s="1458"/>
      <c r="R546" s="1458"/>
      <c r="U546" s="456"/>
    </row>
    <row r="547" spans="1:21" ht="18.75" customHeight="1">
      <c r="A547" s="850"/>
      <c r="F547" s="587"/>
      <c r="G547" s="587"/>
      <c r="H547" s="587"/>
      <c r="I547" s="587"/>
      <c r="J547" s="587"/>
      <c r="K547" s="587"/>
      <c r="L547" s="587"/>
      <c r="M547" s="851"/>
      <c r="N547" s="852"/>
      <c r="O547" s="851"/>
      <c r="P547" s="1459" t="s">
        <v>777</v>
      </c>
      <c r="Q547" s="1459"/>
      <c r="R547" s="1459"/>
      <c r="S547" s="1459"/>
      <c r="T547" s="1459"/>
      <c r="U547" s="1459"/>
    </row>
    <row r="548" spans="1:21" ht="15" customHeight="1">
      <c r="A548" s="849"/>
      <c r="E548" s="1287" t="s">
        <v>778</v>
      </c>
      <c r="F548" s="1287"/>
      <c r="G548" s="1287"/>
      <c r="H548" s="1287"/>
      <c r="I548" s="1287"/>
      <c r="J548" s="1287"/>
      <c r="K548" s="1287"/>
      <c r="L548" s="1287"/>
      <c r="M548" s="1287"/>
      <c r="N548" s="1287"/>
      <c r="O548" s="1287"/>
      <c r="P548" s="1287"/>
      <c r="Q548" s="1287"/>
      <c r="R548" s="1287"/>
      <c r="U548" s="456"/>
    </row>
    <row r="549" spans="1:21" ht="18.75" customHeight="1">
      <c r="A549" s="849"/>
      <c r="E549" s="1286" t="s">
        <v>779</v>
      </c>
      <c r="F549" s="1286"/>
      <c r="G549" s="1286"/>
      <c r="H549" s="1286"/>
      <c r="I549" s="1286"/>
      <c r="J549" s="1286"/>
      <c r="K549" s="1286"/>
      <c r="L549" s="1286"/>
      <c r="M549" s="1286"/>
      <c r="N549" s="1286"/>
      <c r="O549" s="1286"/>
      <c r="P549" s="1286"/>
      <c r="Q549" s="1286"/>
      <c r="R549" s="1286"/>
      <c r="U549" s="853"/>
    </row>
    <row r="550" spans="1:21" ht="23.25" customHeight="1">
      <c r="A550" s="854" t="s">
        <v>780</v>
      </c>
      <c r="B550" s="855"/>
      <c r="C550" s="855"/>
      <c r="D550" s="856" t="s">
        <v>840</v>
      </c>
      <c r="E550" s="857"/>
      <c r="F550" s="858"/>
      <c r="G550" s="859"/>
      <c r="H550" s="859"/>
      <c r="I550" s="859"/>
      <c r="J550" s="859"/>
      <c r="K550" s="859"/>
      <c r="L550" s="860"/>
      <c r="M550" s="1460"/>
      <c r="N550" s="1460"/>
      <c r="O550" s="1460"/>
      <c r="P550" s="1461" t="s">
        <v>781</v>
      </c>
      <c r="Q550" s="1461"/>
      <c r="R550" s="1461"/>
      <c r="S550" s="855"/>
      <c r="T550" s="861">
        <v>46304</v>
      </c>
      <c r="U550" s="456"/>
    </row>
    <row r="551" spans="1:21" ht="23.25" customHeight="1">
      <c r="A551" s="854"/>
      <c r="B551" s="862"/>
      <c r="C551" s="862"/>
      <c r="D551" s="862"/>
      <c r="E551" s="163"/>
      <c r="F551" s="863"/>
      <c r="G551" s="863"/>
      <c r="H551" s="863"/>
      <c r="I551" s="863"/>
      <c r="J551" s="863"/>
      <c r="K551" s="863"/>
      <c r="U551" s="456"/>
    </row>
    <row r="552" spans="1:21" ht="21" customHeight="1">
      <c r="A552" s="864" t="s">
        <v>782</v>
      </c>
      <c r="B552" s="865"/>
      <c r="C552" s="866"/>
      <c r="D552" s="867"/>
      <c r="E552" s="868"/>
      <c r="F552" s="869"/>
      <c r="G552" s="869"/>
      <c r="H552" s="869"/>
      <c r="I552" s="870"/>
      <c r="J552" s="870"/>
      <c r="P552" s="1462"/>
      <c r="Q552" s="1462"/>
      <c r="R552" s="1462"/>
      <c r="S552" s="1462"/>
      <c r="T552" s="871"/>
      <c r="U552" s="456"/>
    </row>
    <row r="553" spans="1:21" ht="21" customHeight="1">
      <c r="A553" s="872"/>
      <c r="B553" s="873"/>
      <c r="C553" s="869"/>
      <c r="D553" s="869"/>
      <c r="E553" s="869"/>
      <c r="F553" s="869"/>
      <c r="G553" s="869"/>
      <c r="H553" s="869"/>
      <c r="I553" s="870"/>
      <c r="J553" s="870"/>
      <c r="U553" s="456"/>
    </row>
    <row r="554" spans="1:21" ht="15" customHeight="1">
      <c r="A554" s="1463" t="s">
        <v>783</v>
      </c>
      <c r="B554" s="1463"/>
      <c r="C554" s="1463"/>
      <c r="D554" s="1463"/>
      <c r="E554" s="1463"/>
      <c r="F554" s="1463"/>
      <c r="G554" s="1463"/>
      <c r="H554" s="1463"/>
      <c r="I554" s="1463"/>
      <c r="J554" s="1463"/>
      <c r="K554" s="1463"/>
      <c r="L554" s="1463"/>
      <c r="M554" s="1463"/>
      <c r="N554" s="1463"/>
      <c r="O554" s="1463"/>
      <c r="P554" s="1463"/>
      <c r="Q554" s="1463"/>
      <c r="R554" s="1463"/>
      <c r="S554" s="1463"/>
      <c r="T554" s="1463"/>
      <c r="U554" s="1463"/>
    </row>
    <row r="555" spans="1:21" ht="15" customHeight="1">
      <c r="A555" s="1463"/>
      <c r="B555" s="1463"/>
      <c r="C555" s="1463"/>
      <c r="D555" s="1463"/>
      <c r="E555" s="1463"/>
      <c r="F555" s="1463"/>
      <c r="G555" s="1463"/>
      <c r="H555" s="1463"/>
      <c r="I555" s="1463"/>
      <c r="J555" s="1463"/>
      <c r="K555" s="1463"/>
      <c r="L555" s="1463"/>
      <c r="M555" s="1463"/>
      <c r="N555" s="1463"/>
      <c r="O555" s="1463"/>
      <c r="P555" s="1463"/>
      <c r="Q555" s="1463"/>
      <c r="R555" s="1463"/>
      <c r="S555" s="1463"/>
      <c r="T555" s="1463"/>
      <c r="U555" s="1463"/>
    </row>
    <row r="556" spans="1:21" ht="18" customHeight="1">
      <c r="A556" s="1464" t="s">
        <v>784</v>
      </c>
      <c r="B556" s="1464"/>
      <c r="C556" s="1464"/>
      <c r="D556" s="1464"/>
      <c r="E556" s="1464"/>
      <c r="F556" s="1464"/>
      <c r="G556" s="1464"/>
      <c r="H556" s="1464"/>
      <c r="I556" s="1464"/>
      <c r="J556" s="1464"/>
      <c r="K556" s="1464"/>
      <c r="L556" s="1464"/>
      <c r="M556" s="1464"/>
      <c r="N556" s="1464"/>
      <c r="O556" s="1464"/>
      <c r="P556" s="1464"/>
      <c r="Q556" s="1464"/>
      <c r="R556" s="1464"/>
      <c r="S556" s="1464"/>
      <c r="T556" s="1464"/>
      <c r="U556" s="1464"/>
    </row>
    <row r="557" spans="1:21" ht="23.25" customHeight="1">
      <c r="A557" s="1465" t="s">
        <v>785</v>
      </c>
      <c r="B557" s="1465"/>
      <c r="C557" s="1465"/>
      <c r="D557" s="1465"/>
      <c r="E557" s="1465"/>
      <c r="F557" s="1465"/>
      <c r="G557" s="1465"/>
      <c r="H557" s="1465"/>
      <c r="I557" s="1465"/>
      <c r="J557" s="1465"/>
      <c r="K557" s="1465"/>
      <c r="L557" s="1465"/>
      <c r="M557" s="1465"/>
      <c r="N557" s="1465"/>
      <c r="O557" s="1465"/>
      <c r="P557" s="1465"/>
      <c r="Q557" s="1465"/>
      <c r="R557" s="1465"/>
      <c r="S557" s="1465"/>
      <c r="T557" s="1465"/>
      <c r="U557" s="1465"/>
    </row>
    <row r="558" spans="1:21" ht="21.75" customHeight="1">
      <c r="A558" s="874"/>
      <c r="B558" s="875"/>
      <c r="C558" s="875"/>
      <c r="D558" s="875"/>
      <c r="E558" s="875"/>
      <c r="F558" s="875"/>
      <c r="G558" s="875"/>
      <c r="H558" s="875"/>
      <c r="I558" s="875"/>
      <c r="J558" s="875"/>
      <c r="K558" s="875"/>
      <c r="L558" s="875"/>
      <c r="M558" s="875"/>
      <c r="N558" s="875"/>
      <c r="O558" s="875"/>
      <c r="P558" s="875"/>
      <c r="Q558" s="875"/>
      <c r="R558" s="875"/>
      <c r="S558" s="875"/>
      <c r="T558" s="875"/>
      <c r="U558" s="876"/>
    </row>
    <row r="559" spans="1:21" ht="15" customHeight="1">
      <c r="A559" s="1466" t="s">
        <v>786</v>
      </c>
      <c r="B559" s="1467" t="s">
        <v>787</v>
      </c>
      <c r="C559" s="1468" t="s">
        <v>788</v>
      </c>
      <c r="D559" s="1468" t="s">
        <v>789</v>
      </c>
      <c r="E559" s="1469" t="s">
        <v>790</v>
      </c>
      <c r="F559" s="1468" t="s">
        <v>791</v>
      </c>
      <c r="G559" s="1468"/>
      <c r="H559" s="1468"/>
      <c r="I559" s="1468"/>
      <c r="J559" s="1468"/>
      <c r="K559" s="1468"/>
      <c r="L559" s="1468"/>
      <c r="M559" s="1468"/>
      <c r="N559" s="1468"/>
      <c r="O559" s="1468"/>
      <c r="P559" s="1470"/>
      <c r="Q559" s="1470"/>
      <c r="R559" s="1470"/>
      <c r="S559" s="1470"/>
      <c r="T559" s="1470"/>
      <c r="U559" s="1470"/>
    </row>
    <row r="560" spans="1:21" ht="15.75" customHeight="1">
      <c r="A560" s="1466"/>
      <c r="B560" s="1467"/>
      <c r="C560" s="1468"/>
      <c r="D560" s="1468"/>
      <c r="E560" s="1469"/>
      <c r="F560" s="1468"/>
      <c r="G560" s="1468"/>
      <c r="H560" s="1468"/>
      <c r="I560" s="1468"/>
      <c r="J560" s="1468"/>
      <c r="K560" s="1468"/>
      <c r="L560" s="1468"/>
      <c r="M560" s="1468"/>
      <c r="N560" s="1468"/>
      <c r="O560" s="1468"/>
      <c r="P560" s="1470"/>
      <c r="Q560" s="1470"/>
      <c r="R560" s="1470"/>
      <c r="S560" s="1470"/>
      <c r="T560" s="1470"/>
      <c r="U560" s="1470"/>
    </row>
    <row r="561" spans="1:21" ht="48" customHeight="1">
      <c r="A561" s="1466"/>
      <c r="B561" s="1467"/>
      <c r="C561" s="1468"/>
      <c r="D561" s="1468"/>
      <c r="E561" s="1469"/>
      <c r="F561" s="878" t="s">
        <v>792</v>
      </c>
      <c r="G561" s="877" t="s">
        <v>793</v>
      </c>
      <c r="H561" s="878" t="s">
        <v>794</v>
      </c>
      <c r="I561" s="879" t="s">
        <v>795</v>
      </c>
      <c r="J561" s="880" t="s">
        <v>796</v>
      </c>
      <c r="K561" s="1468" t="s">
        <v>797</v>
      </c>
      <c r="L561" s="1468"/>
      <c r="M561" s="1468"/>
      <c r="N561" s="1468"/>
      <c r="O561" s="1468"/>
      <c r="P561" s="881" t="s">
        <v>798</v>
      </c>
      <c r="Q561" s="882" t="s">
        <v>799</v>
      </c>
      <c r="R561" s="1469" t="s">
        <v>800</v>
      </c>
      <c r="S561" s="1469"/>
      <c r="T561" s="877" t="s">
        <v>801</v>
      </c>
      <c r="U561" s="879" t="s">
        <v>104</v>
      </c>
    </row>
    <row r="562" spans="1:21" ht="19.5" customHeight="1">
      <c r="A562" s="883"/>
      <c r="B562" s="884" t="str">
        <f>IF('BIS Doc'!AC263=130, "130 × 130", IF('BIS Doc'!AC263=160, "160 × 160", IF('BIS Doc'!AC263=110, "110 × 110", "Value not 130, 160, or 110")))</f>
        <v>Value not 130, 160, or 110</v>
      </c>
      <c r="C562" s="895">
        <f>'BIS Doc'!W263</f>
        <v>0</v>
      </c>
      <c r="D562" s="886"/>
      <c r="E562" s="887">
        <f>'BIS Doc'!AE263</f>
        <v>0</v>
      </c>
      <c r="F562" s="888">
        <f ca="1">'BIS Doc'!F263</f>
        <v>0</v>
      </c>
      <c r="G562" s="888">
        <f ca="1">'BIS Doc'!J263</f>
        <v>0</v>
      </c>
      <c r="H562" s="888">
        <f ca="1">'BIS Doc'!G263</f>
        <v>0.59374239760960246</v>
      </c>
      <c r="I562" s="889">
        <f ca="1">'BIS Doc'!H263</f>
        <v>0</v>
      </c>
      <c r="J562" s="889">
        <f ca="1">'BIS Doc'!I263</f>
        <v>0</v>
      </c>
      <c r="K562" s="1449" t="str">
        <f t="shared" ref="K562:K567" ca="1" si="16">IF(H562&lt;0.6, "IS 14650 CPS 10748/GR2", "IS 14650 CPS 10748/GR3")</f>
        <v>IS 14650 CPS 10748/GR2</v>
      </c>
      <c r="L562" s="1449"/>
      <c r="M562" s="1449"/>
      <c r="N562" s="1449"/>
      <c r="O562" s="1449"/>
      <c r="P562" s="890"/>
      <c r="Q562" s="891"/>
      <c r="R562" s="1449"/>
      <c r="S562" s="1449"/>
      <c r="T562" s="892"/>
      <c r="U562" s="1450" t="s">
        <v>802</v>
      </c>
    </row>
    <row r="563" spans="1:21" ht="19.5" customHeight="1">
      <c r="A563" s="893"/>
      <c r="B563" s="894" t="str">
        <f>IF('BIS Doc'!AC265=130, "130 × 130", IF('BIS Doc'!AC265=160, "160 × 160", IF('BIS Doc'!AC265=110, "110 × 110", "Value not 130, 160, or 110")))</f>
        <v>Value not 130, 160, or 110</v>
      </c>
      <c r="C563" s="895">
        <f>'BIS Doc'!W265</f>
        <v>0</v>
      </c>
      <c r="D563" s="896"/>
      <c r="E563" s="897">
        <f>'BIS Doc'!AE265</f>
        <v>0</v>
      </c>
      <c r="F563" s="898">
        <f ca="1">'BIS Doc'!F265</f>
        <v>0</v>
      </c>
      <c r="G563" s="899">
        <f ca="1">'BIS Doc'!J265</f>
        <v>0</v>
      </c>
      <c r="H563" s="900">
        <f ca="1">'BIS Doc'!G265</f>
        <v>0.59381253665413725</v>
      </c>
      <c r="I563" s="901">
        <f ca="1">'BIS Doc'!H265</f>
        <v>0</v>
      </c>
      <c r="J563" s="901">
        <f ca="1">'BIS Doc'!I265</f>
        <v>0</v>
      </c>
      <c r="K563" s="1451" t="str">
        <f t="shared" ca="1" si="16"/>
        <v>IS 14650 CPS 10748/GR2</v>
      </c>
      <c r="L563" s="1451"/>
      <c r="M563" s="1451"/>
      <c r="N563" s="1451"/>
      <c r="O563" s="1451"/>
      <c r="P563" s="902"/>
      <c r="Q563" s="903"/>
      <c r="R563" s="1451"/>
      <c r="S563" s="1451"/>
      <c r="T563" s="904"/>
      <c r="U563" s="1450"/>
    </row>
    <row r="564" spans="1:21" ht="19.5" customHeight="1">
      <c r="A564" s="864"/>
      <c r="B564" s="894" t="str">
        <f>IF('BIS Doc'!AC267=130, "130 × 130", IF('BIS Doc'!AC267=160, "160 × 160", IF('BIS Doc'!AC267=110, "110 × 110", "Value not 130, 160, or 110")))</f>
        <v>Value not 130, 160, or 110</v>
      </c>
      <c r="C564" s="895">
        <f>'BIS Doc'!W267</f>
        <v>0</v>
      </c>
      <c r="D564" s="896" t="s">
        <v>803</v>
      </c>
      <c r="E564" s="897">
        <f>'BIS Doc'!AE267</f>
        <v>0</v>
      </c>
      <c r="F564" s="898">
        <f ca="1">'BIS Doc'!F267</f>
        <v>0</v>
      </c>
      <c r="G564" s="899">
        <f ca="1">'BIS Doc'!J267</f>
        <v>0</v>
      </c>
      <c r="H564" s="900">
        <f ca="1">'BIS Doc'!G267</f>
        <v>0.52403912952313914</v>
      </c>
      <c r="I564" s="901">
        <f ca="1">'BIS Doc'!H267</f>
        <v>0</v>
      </c>
      <c r="J564" s="901">
        <f ca="1">'BIS Doc'!I267</f>
        <v>0</v>
      </c>
      <c r="K564" s="1451" t="str">
        <f t="shared" ca="1" si="16"/>
        <v>IS 14650 CPS 10748/GR2</v>
      </c>
      <c r="L564" s="1451"/>
      <c r="M564" s="1451"/>
      <c r="N564" s="1451"/>
      <c r="O564" s="1451"/>
      <c r="P564" s="902"/>
      <c r="Q564" s="905"/>
      <c r="R564" s="1451"/>
      <c r="S564" s="1451"/>
      <c r="T564" s="904"/>
      <c r="U564" s="1450"/>
    </row>
    <row r="565" spans="1:21" ht="19.5" customHeight="1">
      <c r="A565" s="864"/>
      <c r="B565" s="894" t="str">
        <f>IF('BIS Doc'!AC269=130, "130 × 130", IF('BIS Doc'!AC269=160, "160 × 160", IF('BIS Doc'!AC269=110, "110 × 110", "Value not 130, 160, or 110")))</f>
        <v>Value not 130, 160, or 110</v>
      </c>
      <c r="C565" s="895">
        <f>'BIS Doc'!W269</f>
        <v>0</v>
      </c>
      <c r="D565" s="896"/>
      <c r="E565" s="897">
        <f>'BIS Doc'!AE269</f>
        <v>0</v>
      </c>
      <c r="F565" s="898">
        <f ca="1">'BIS Doc'!F269</f>
        <v>0</v>
      </c>
      <c r="G565" s="899">
        <f ca="1">'BIS Doc'!J269</f>
        <v>0</v>
      </c>
      <c r="H565" s="900">
        <f ca="1">'BIS Doc'!G269</f>
        <v>0.56355098282903848</v>
      </c>
      <c r="I565" s="901">
        <f ca="1">'BIS Doc'!H269</f>
        <v>0</v>
      </c>
      <c r="J565" s="901">
        <f ca="1">'BIS Doc'!I269</f>
        <v>0</v>
      </c>
      <c r="K565" s="1451" t="str">
        <f t="shared" ca="1" si="16"/>
        <v>IS 14650 CPS 10748/GR2</v>
      </c>
      <c r="L565" s="1451"/>
      <c r="M565" s="1451"/>
      <c r="N565" s="1451"/>
      <c r="O565" s="1451"/>
      <c r="P565" s="902"/>
      <c r="Q565" s="905"/>
      <c r="R565" s="1451"/>
      <c r="S565" s="1451"/>
      <c r="T565" s="904"/>
      <c r="U565" s="1450"/>
    </row>
    <row r="566" spans="1:21" ht="19.5" customHeight="1">
      <c r="A566" s="864"/>
      <c r="B566" s="894" t="str">
        <f>IF('BIS Doc'!AC271=130, "130 × 130", IF('BIS Doc'!AC271=160, "160 × 160", IF('BIS Doc'!AC271=110, "110 × 110", "Value not 130, 160, or 110")))</f>
        <v>Value not 130, 160, or 110</v>
      </c>
      <c r="C566" s="895">
        <f>'BIS Doc'!W271</f>
        <v>0</v>
      </c>
      <c r="D566" s="896"/>
      <c r="E566" s="897">
        <f>'BIS Doc'!AE271</f>
        <v>0</v>
      </c>
      <c r="F566" s="898">
        <f ca="1">'BIS Doc'!F271</f>
        <v>0</v>
      </c>
      <c r="G566" s="899">
        <f ca="1">'BIS Doc'!J271</f>
        <v>0</v>
      </c>
      <c r="H566" s="900">
        <f ca="1">'BIS Doc'!G271</f>
        <v>0.59093632751869896</v>
      </c>
      <c r="I566" s="901">
        <f ca="1">'BIS Doc'!H271</f>
        <v>0</v>
      </c>
      <c r="J566" s="901">
        <f ca="1">'BIS Doc'!I271</f>
        <v>0</v>
      </c>
      <c r="K566" s="1451" t="str">
        <f t="shared" ca="1" si="16"/>
        <v>IS 14650 CPS 10748/GR2</v>
      </c>
      <c r="L566" s="1451"/>
      <c r="M566" s="1451"/>
      <c r="N566" s="1451"/>
      <c r="O566" s="1451"/>
      <c r="P566" s="902"/>
      <c r="Q566" s="905"/>
      <c r="R566" s="1451"/>
      <c r="S566" s="1451"/>
      <c r="T566" s="904"/>
      <c r="U566" s="1450"/>
    </row>
    <row r="567" spans="1:21" ht="19.5" customHeight="1">
      <c r="A567" s="864"/>
      <c r="B567" s="894" t="str">
        <f>IF('BIS Doc'!AC273=130, "130 × 130", IF('BIS Doc'!AC273=160, "160 × 160", IF('BIS Doc'!AC273=110, "110 × 110", "Value not 130, 160, or 110")))</f>
        <v>Value not 130, 160, or 110</v>
      </c>
      <c r="C567" s="895">
        <f>'BIS Doc'!W273</f>
        <v>0</v>
      </c>
      <c r="D567" s="896"/>
      <c r="E567" s="897">
        <f>'BIS Doc'!AE273</f>
        <v>0</v>
      </c>
      <c r="F567" s="898">
        <f ca="1">'BIS Doc'!F273</f>
        <v>0</v>
      </c>
      <c r="G567" s="899">
        <f ca="1">'BIS Doc'!J273</f>
        <v>0</v>
      </c>
      <c r="H567" s="900">
        <f ca="1">'BIS Doc'!G273</f>
        <v>0.55359425921607308</v>
      </c>
      <c r="I567" s="901">
        <f ca="1">'BIS Doc'!H273</f>
        <v>0</v>
      </c>
      <c r="J567" s="901">
        <f ca="1">'BIS Doc'!I273</f>
        <v>0</v>
      </c>
      <c r="K567" s="1451" t="str">
        <f t="shared" ca="1" si="16"/>
        <v>IS 14650 CPS 10748/GR2</v>
      </c>
      <c r="L567" s="1451"/>
      <c r="M567" s="1451"/>
      <c r="N567" s="1451"/>
      <c r="O567" s="1451"/>
      <c r="P567" s="902"/>
      <c r="Q567" s="903"/>
      <c r="R567" s="1451"/>
      <c r="S567" s="1451"/>
      <c r="T567" s="904"/>
      <c r="U567" s="1450"/>
    </row>
    <row r="568" spans="1:21" ht="19.5" customHeight="1">
      <c r="A568" s="864"/>
      <c r="B568" s="904"/>
      <c r="C568" s="895"/>
      <c r="D568" s="896"/>
      <c r="E568" s="897"/>
      <c r="F568" s="906"/>
      <c r="G568" s="907"/>
      <c r="H568" s="908"/>
      <c r="I568" s="909"/>
      <c r="J568" s="909"/>
      <c r="K568" s="1451"/>
      <c r="L568" s="1451"/>
      <c r="M568" s="1451"/>
      <c r="N568" s="1451"/>
      <c r="O568" s="1451"/>
      <c r="P568" s="902"/>
      <c r="Q568" s="903"/>
      <c r="R568" s="1451"/>
      <c r="S568" s="1451"/>
      <c r="T568" s="904"/>
      <c r="U568" s="1450"/>
    </row>
    <row r="569" spans="1:21" ht="19.5" customHeight="1">
      <c r="A569" s="864"/>
      <c r="B569" s="904"/>
      <c r="C569" s="895"/>
      <c r="D569" s="896"/>
      <c r="E569" s="897"/>
      <c r="F569" s="906"/>
      <c r="G569" s="907"/>
      <c r="H569" s="908"/>
      <c r="I569" s="909"/>
      <c r="J569" s="909"/>
      <c r="K569" s="1451"/>
      <c r="L569" s="1451"/>
      <c r="M569" s="1451"/>
      <c r="N569" s="1451"/>
      <c r="O569" s="1451"/>
      <c r="P569" s="902"/>
      <c r="Q569" s="905"/>
      <c r="R569" s="1451"/>
      <c r="S569" s="1451"/>
      <c r="T569" s="904"/>
      <c r="U569" s="1450"/>
    </row>
    <row r="570" spans="1:21" ht="19.5" customHeight="1">
      <c r="A570" s="864"/>
      <c r="B570" s="910"/>
      <c r="C570" s="911"/>
      <c r="D570" s="896"/>
      <c r="E570" s="897"/>
      <c r="F570" s="906"/>
      <c r="G570" s="907"/>
      <c r="H570" s="908"/>
      <c r="I570" s="909"/>
      <c r="J570" s="909"/>
      <c r="K570" s="1451"/>
      <c r="L570" s="1451"/>
      <c r="M570" s="1451"/>
      <c r="N570" s="1451"/>
      <c r="O570" s="1451"/>
      <c r="P570" s="912"/>
      <c r="Q570" s="913"/>
      <c r="R570" s="1452"/>
      <c r="S570" s="1452"/>
      <c r="T570" s="910"/>
      <c r="U570" s="1450"/>
    </row>
    <row r="571" spans="1:21" ht="19.5" customHeight="1">
      <c r="A571" s="914"/>
      <c r="B571" s="915"/>
      <c r="C571" s="916"/>
      <c r="D571" s="917"/>
      <c r="E571" s="918">
        <f>SUM(E562:E567)</f>
        <v>0</v>
      </c>
      <c r="F571" s="919"/>
      <c r="G571" s="920"/>
      <c r="H571" s="921"/>
      <c r="I571" s="922"/>
      <c r="J571" s="922"/>
      <c r="K571" s="1453"/>
      <c r="L571" s="1453"/>
      <c r="M571" s="1453"/>
      <c r="N571" s="1453"/>
      <c r="O571" s="1453"/>
      <c r="P571" s="923"/>
      <c r="Q571" s="924"/>
      <c r="R571" s="1454"/>
      <c r="S571" s="1454"/>
      <c r="T571" s="915"/>
      <c r="U571" s="1450"/>
    </row>
    <row r="572" spans="1:21" ht="15.75" customHeight="1">
      <c r="A572" s="864"/>
      <c r="B572" s="773"/>
      <c r="C572" s="773"/>
      <c r="D572" s="925"/>
      <c r="E572" s="926"/>
      <c r="F572" s="927"/>
      <c r="G572" s="928"/>
      <c r="H572" s="259"/>
      <c r="I572" s="259"/>
      <c r="J572" s="928"/>
      <c r="K572" s="929"/>
      <c r="L572" s="929"/>
      <c r="M572" s="929"/>
      <c r="N572" s="929"/>
      <c r="O572" s="928"/>
      <c r="P572" s="930"/>
      <c r="Q572" s="931"/>
      <c r="R572" s="931"/>
      <c r="U572" s="932"/>
    </row>
    <row r="573" spans="1:21" ht="18.75" customHeight="1">
      <c r="A573" s="864"/>
      <c r="B573" s="773"/>
      <c r="C573" s="773"/>
      <c r="D573" s="773"/>
      <c r="E573" s="773"/>
      <c r="F573" s="773"/>
      <c r="G573" s="773"/>
      <c r="H573" s="773"/>
      <c r="I573" s="773"/>
      <c r="J573" s="773"/>
      <c r="K573" s="773"/>
      <c r="P573" s="1446" t="s">
        <v>804</v>
      </c>
      <c r="Q573" s="1446"/>
      <c r="R573" s="1446"/>
      <c r="S573" s="1446"/>
      <c r="T573" s="1446"/>
      <c r="U573" s="1446"/>
    </row>
    <row r="574" spans="1:21" ht="18.75" customHeight="1">
      <c r="A574" s="1447" t="s">
        <v>805</v>
      </c>
      <c r="B574" s="1447"/>
      <c r="C574" s="933"/>
      <c r="D574" s="933"/>
      <c r="E574" s="933"/>
      <c r="F574" s="933"/>
      <c r="P574" s="855"/>
      <c r="Q574" s="855"/>
      <c r="R574" s="855"/>
      <c r="S574" s="855"/>
      <c r="T574" s="855"/>
      <c r="U574" s="934"/>
    </row>
    <row r="575" spans="1:21" ht="18.75" customHeight="1">
      <c r="A575" s="854"/>
      <c r="B575" s="855"/>
      <c r="P575" s="855"/>
      <c r="Q575" s="855"/>
      <c r="R575" s="855"/>
      <c r="S575" s="855"/>
      <c r="T575" s="855"/>
      <c r="U575" s="934"/>
    </row>
    <row r="576" spans="1:21" ht="18.75" customHeight="1">
      <c r="A576" s="854" t="s">
        <v>806</v>
      </c>
      <c r="B576" s="855"/>
      <c r="C576" s="867"/>
      <c r="D576" s="941"/>
      <c r="E576" s="933"/>
      <c r="F576" s="933"/>
      <c r="P576" s="855"/>
      <c r="Q576" s="855"/>
      <c r="R576" s="855"/>
      <c r="S576" s="855"/>
      <c r="T576" s="855"/>
      <c r="U576" s="934"/>
    </row>
    <row r="577" spans="1:21" ht="18.75" customHeight="1">
      <c r="A577" s="854"/>
      <c r="B577" s="855"/>
      <c r="C577" s="937"/>
      <c r="P577" s="855"/>
      <c r="Q577" s="855"/>
      <c r="R577" s="855"/>
      <c r="S577" s="855"/>
      <c r="T577" s="855"/>
      <c r="U577" s="934"/>
    </row>
    <row r="578" spans="1:21" ht="19.5" customHeight="1">
      <c r="A578" s="938"/>
      <c r="B578" s="939"/>
      <c r="C578" s="940"/>
      <c r="D578" s="453"/>
      <c r="E578" s="453"/>
      <c r="F578" s="453"/>
      <c r="G578" s="453"/>
      <c r="H578" s="453"/>
      <c r="I578" s="453"/>
      <c r="J578" s="453"/>
      <c r="K578" s="453"/>
      <c r="L578" s="453"/>
      <c r="M578" s="453"/>
      <c r="N578" s="453"/>
      <c r="O578" s="453"/>
      <c r="P578" s="1448" t="s">
        <v>807</v>
      </c>
      <c r="Q578" s="1448"/>
      <c r="R578" s="1448"/>
      <c r="S578" s="1448"/>
      <c r="T578" s="1448"/>
      <c r="U578" s="1448"/>
    </row>
    <row r="579" spans="1:21" ht="45.75" customHeight="1">
      <c r="A579" s="1455"/>
      <c r="B579" s="1455"/>
      <c r="C579" s="1455"/>
      <c r="D579" s="847"/>
      <c r="E579" s="1456" t="s">
        <v>774</v>
      </c>
      <c r="F579" s="1456"/>
      <c r="G579" s="1456"/>
      <c r="H579" s="1456"/>
      <c r="I579" s="1456"/>
      <c r="J579" s="1456"/>
      <c r="K579" s="1456"/>
      <c r="L579" s="1456"/>
      <c r="M579" s="1456"/>
      <c r="N579" s="1456"/>
      <c r="O579" s="1456"/>
      <c r="P579" s="1456"/>
      <c r="Q579" s="1456"/>
      <c r="R579" s="1456"/>
      <c r="S579" s="848"/>
      <c r="T579" s="1457" t="s">
        <v>775</v>
      </c>
      <c r="U579" s="1457"/>
    </row>
    <row r="580" spans="1:21" ht="18.75" customHeight="1">
      <c r="A580" s="849"/>
      <c r="E580" s="1458" t="s">
        <v>776</v>
      </c>
      <c r="F580" s="1458"/>
      <c r="G580" s="1458"/>
      <c r="H580" s="1458"/>
      <c r="I580" s="1458"/>
      <c r="J580" s="1458"/>
      <c r="K580" s="1458"/>
      <c r="L580" s="1458"/>
      <c r="M580" s="1458"/>
      <c r="N580" s="1458"/>
      <c r="O580" s="1458"/>
      <c r="P580" s="1458"/>
      <c r="Q580" s="1458"/>
      <c r="R580" s="1458"/>
      <c r="U580" s="456"/>
    </row>
    <row r="581" spans="1:21" ht="18.75" customHeight="1">
      <c r="A581" s="850"/>
      <c r="F581" s="587"/>
      <c r="G581" s="587"/>
      <c r="H581" s="587"/>
      <c r="I581" s="587"/>
      <c r="J581" s="587"/>
      <c r="K581" s="587"/>
      <c r="L581" s="587"/>
      <c r="M581" s="851"/>
      <c r="N581" s="852"/>
      <c r="O581" s="851"/>
      <c r="P581" s="1459" t="s">
        <v>777</v>
      </c>
      <c r="Q581" s="1459"/>
      <c r="R581" s="1459"/>
      <c r="S581" s="1459"/>
      <c r="T581" s="1459"/>
      <c r="U581" s="1459"/>
    </row>
    <row r="582" spans="1:21" ht="15" customHeight="1">
      <c r="A582" s="849"/>
      <c r="E582" s="1287" t="s">
        <v>778</v>
      </c>
      <c r="F582" s="1287"/>
      <c r="G582" s="1287"/>
      <c r="H582" s="1287"/>
      <c r="I582" s="1287"/>
      <c r="J582" s="1287"/>
      <c r="K582" s="1287"/>
      <c r="L582" s="1287"/>
      <c r="M582" s="1287"/>
      <c r="N582" s="1287"/>
      <c r="O582" s="1287"/>
      <c r="P582" s="1287"/>
      <c r="Q582" s="1287"/>
      <c r="R582" s="1287"/>
      <c r="U582" s="456"/>
    </row>
    <row r="583" spans="1:21" ht="18.75" customHeight="1">
      <c r="A583" s="849"/>
      <c r="E583" s="1286" t="s">
        <v>779</v>
      </c>
      <c r="F583" s="1286"/>
      <c r="G583" s="1286"/>
      <c r="H583" s="1286"/>
      <c r="I583" s="1286"/>
      <c r="J583" s="1286"/>
      <c r="K583" s="1286"/>
      <c r="L583" s="1286"/>
      <c r="M583" s="1286"/>
      <c r="N583" s="1286"/>
      <c r="O583" s="1286"/>
      <c r="P583" s="1286"/>
      <c r="Q583" s="1286"/>
      <c r="R583" s="1286"/>
      <c r="U583" s="853"/>
    </row>
    <row r="584" spans="1:21" ht="23.25" customHeight="1">
      <c r="A584" s="854" t="s">
        <v>780</v>
      </c>
      <c r="B584" s="855"/>
      <c r="C584" s="855"/>
      <c r="D584" s="856" t="s">
        <v>841</v>
      </c>
      <c r="E584" s="857"/>
      <c r="F584" s="858"/>
      <c r="G584" s="859"/>
      <c r="H584" s="859"/>
      <c r="I584" s="859"/>
      <c r="J584" s="859"/>
      <c r="K584" s="859"/>
      <c r="L584" s="860"/>
      <c r="M584" s="1460"/>
      <c r="N584" s="1460"/>
      <c r="O584" s="1460"/>
      <c r="P584" s="1461" t="s">
        <v>781</v>
      </c>
      <c r="Q584" s="1461"/>
      <c r="R584" s="1461"/>
      <c r="S584" s="855"/>
      <c r="T584" s="861">
        <v>46304</v>
      </c>
      <c r="U584" s="456"/>
    </row>
    <row r="585" spans="1:21" ht="23.25" customHeight="1">
      <c r="A585" s="854"/>
      <c r="B585" s="862"/>
      <c r="C585" s="862"/>
      <c r="D585" s="862"/>
      <c r="E585" s="163"/>
      <c r="F585" s="863"/>
      <c r="G585" s="863"/>
      <c r="H585" s="863"/>
      <c r="I585" s="863"/>
      <c r="J585" s="863"/>
      <c r="K585" s="863"/>
      <c r="U585" s="456"/>
    </row>
    <row r="586" spans="1:21" ht="21" customHeight="1">
      <c r="A586" s="864" t="s">
        <v>782</v>
      </c>
      <c r="B586" s="865"/>
      <c r="C586" s="866"/>
      <c r="D586" s="867"/>
      <c r="E586" s="868"/>
      <c r="F586" s="869"/>
      <c r="G586" s="869"/>
      <c r="H586" s="869"/>
      <c r="I586" s="870"/>
      <c r="J586" s="870"/>
      <c r="P586" s="1462"/>
      <c r="Q586" s="1462"/>
      <c r="R586" s="1462"/>
      <c r="S586" s="1462"/>
      <c r="T586" s="871"/>
      <c r="U586" s="456"/>
    </row>
    <row r="587" spans="1:21" ht="21" customHeight="1">
      <c r="A587" s="872"/>
      <c r="B587" s="873"/>
      <c r="C587" s="869"/>
      <c r="D587" s="869"/>
      <c r="E587" s="869"/>
      <c r="F587" s="869"/>
      <c r="G587" s="869"/>
      <c r="H587" s="869"/>
      <c r="I587" s="870"/>
      <c r="J587" s="870"/>
      <c r="U587" s="456"/>
    </row>
    <row r="588" spans="1:21" ht="15" customHeight="1">
      <c r="A588" s="1463" t="s">
        <v>783</v>
      </c>
      <c r="B588" s="1463"/>
      <c r="C588" s="1463"/>
      <c r="D588" s="1463"/>
      <c r="E588" s="1463"/>
      <c r="F588" s="1463"/>
      <c r="G588" s="1463"/>
      <c r="H588" s="1463"/>
      <c r="I588" s="1463"/>
      <c r="J588" s="1463"/>
      <c r="K588" s="1463"/>
      <c r="L588" s="1463"/>
      <c r="M588" s="1463"/>
      <c r="N588" s="1463"/>
      <c r="O588" s="1463"/>
      <c r="P588" s="1463"/>
      <c r="Q588" s="1463"/>
      <c r="R588" s="1463"/>
      <c r="S588" s="1463"/>
      <c r="T588" s="1463"/>
      <c r="U588" s="1463"/>
    </row>
    <row r="589" spans="1:21" ht="15" customHeight="1">
      <c r="A589" s="1463"/>
      <c r="B589" s="1463"/>
      <c r="C589" s="1463"/>
      <c r="D589" s="1463"/>
      <c r="E589" s="1463"/>
      <c r="F589" s="1463"/>
      <c r="G589" s="1463"/>
      <c r="H589" s="1463"/>
      <c r="I589" s="1463"/>
      <c r="J589" s="1463"/>
      <c r="K589" s="1463"/>
      <c r="L589" s="1463"/>
      <c r="M589" s="1463"/>
      <c r="N589" s="1463"/>
      <c r="O589" s="1463"/>
      <c r="P589" s="1463"/>
      <c r="Q589" s="1463"/>
      <c r="R589" s="1463"/>
      <c r="S589" s="1463"/>
      <c r="T589" s="1463"/>
      <c r="U589" s="1463"/>
    </row>
    <row r="590" spans="1:21" ht="18" customHeight="1">
      <c r="A590" s="1464" t="s">
        <v>784</v>
      </c>
      <c r="B590" s="1464"/>
      <c r="C590" s="1464"/>
      <c r="D590" s="1464"/>
      <c r="E590" s="1464"/>
      <c r="F590" s="1464"/>
      <c r="G590" s="1464"/>
      <c r="H590" s="1464"/>
      <c r="I590" s="1464"/>
      <c r="J590" s="1464"/>
      <c r="K590" s="1464"/>
      <c r="L590" s="1464"/>
      <c r="M590" s="1464"/>
      <c r="N590" s="1464"/>
      <c r="O590" s="1464"/>
      <c r="P590" s="1464"/>
      <c r="Q590" s="1464"/>
      <c r="R590" s="1464"/>
      <c r="S590" s="1464"/>
      <c r="T590" s="1464"/>
      <c r="U590" s="1464"/>
    </row>
    <row r="591" spans="1:21" ht="23.25" customHeight="1">
      <c r="A591" s="1465" t="s">
        <v>785</v>
      </c>
      <c r="B591" s="1465"/>
      <c r="C591" s="1465"/>
      <c r="D591" s="1465"/>
      <c r="E591" s="1465"/>
      <c r="F591" s="1465"/>
      <c r="G591" s="1465"/>
      <c r="H591" s="1465"/>
      <c r="I591" s="1465"/>
      <c r="J591" s="1465"/>
      <c r="K591" s="1465"/>
      <c r="L591" s="1465"/>
      <c r="M591" s="1465"/>
      <c r="N591" s="1465"/>
      <c r="O591" s="1465"/>
      <c r="P591" s="1465"/>
      <c r="Q591" s="1465"/>
      <c r="R591" s="1465"/>
      <c r="S591" s="1465"/>
      <c r="T591" s="1465"/>
      <c r="U591" s="1465"/>
    </row>
    <row r="592" spans="1:21" ht="21.75" customHeight="1">
      <c r="A592" s="874"/>
      <c r="B592" s="875"/>
      <c r="C592" s="875"/>
      <c r="D592" s="875"/>
      <c r="E592" s="875"/>
      <c r="F592" s="875"/>
      <c r="G592" s="875"/>
      <c r="H592" s="875"/>
      <c r="I592" s="875"/>
      <c r="J592" s="875"/>
      <c r="K592" s="875"/>
      <c r="L592" s="875"/>
      <c r="M592" s="875"/>
      <c r="N592" s="875"/>
      <c r="O592" s="875"/>
      <c r="P592" s="875"/>
      <c r="Q592" s="875"/>
      <c r="R592" s="875"/>
      <c r="S592" s="875"/>
      <c r="T592" s="875"/>
      <c r="U592" s="876"/>
    </row>
    <row r="593" spans="1:21" ht="15" customHeight="1">
      <c r="A593" s="1466" t="s">
        <v>786</v>
      </c>
      <c r="B593" s="1467" t="s">
        <v>787</v>
      </c>
      <c r="C593" s="1468" t="s">
        <v>788</v>
      </c>
      <c r="D593" s="1468" t="s">
        <v>789</v>
      </c>
      <c r="E593" s="1469" t="s">
        <v>790</v>
      </c>
      <c r="F593" s="1468" t="s">
        <v>791</v>
      </c>
      <c r="G593" s="1468"/>
      <c r="H593" s="1468"/>
      <c r="I593" s="1468"/>
      <c r="J593" s="1468"/>
      <c r="K593" s="1468"/>
      <c r="L593" s="1468"/>
      <c r="M593" s="1468"/>
      <c r="N593" s="1468"/>
      <c r="O593" s="1468"/>
      <c r="P593" s="1470"/>
      <c r="Q593" s="1470"/>
      <c r="R593" s="1470"/>
      <c r="S593" s="1470"/>
      <c r="T593" s="1470"/>
      <c r="U593" s="1470"/>
    </row>
    <row r="594" spans="1:21" ht="15.75" customHeight="1">
      <c r="A594" s="1466"/>
      <c r="B594" s="1467"/>
      <c r="C594" s="1468"/>
      <c r="D594" s="1468"/>
      <c r="E594" s="1469"/>
      <c r="F594" s="1468"/>
      <c r="G594" s="1468"/>
      <c r="H594" s="1468"/>
      <c r="I594" s="1468"/>
      <c r="J594" s="1468"/>
      <c r="K594" s="1468"/>
      <c r="L594" s="1468"/>
      <c r="M594" s="1468"/>
      <c r="N594" s="1468"/>
      <c r="O594" s="1468"/>
      <c r="P594" s="1470"/>
      <c r="Q594" s="1470"/>
      <c r="R594" s="1470"/>
      <c r="S594" s="1470"/>
      <c r="T594" s="1470"/>
      <c r="U594" s="1470"/>
    </row>
    <row r="595" spans="1:21" ht="48" customHeight="1">
      <c r="A595" s="1466"/>
      <c r="B595" s="1467"/>
      <c r="C595" s="1468"/>
      <c r="D595" s="1468"/>
      <c r="E595" s="1469"/>
      <c r="F595" s="878" t="s">
        <v>792</v>
      </c>
      <c r="G595" s="877" t="s">
        <v>793</v>
      </c>
      <c r="H595" s="878" t="s">
        <v>794</v>
      </c>
      <c r="I595" s="879" t="s">
        <v>795</v>
      </c>
      <c r="J595" s="880" t="s">
        <v>796</v>
      </c>
      <c r="K595" s="1468" t="s">
        <v>797</v>
      </c>
      <c r="L595" s="1468"/>
      <c r="M595" s="1468"/>
      <c r="N595" s="1468"/>
      <c r="O595" s="1468"/>
      <c r="P595" s="881" t="s">
        <v>798</v>
      </c>
      <c r="Q595" s="882" t="s">
        <v>799</v>
      </c>
      <c r="R595" s="1469" t="s">
        <v>800</v>
      </c>
      <c r="S595" s="1469"/>
      <c r="T595" s="877" t="s">
        <v>801</v>
      </c>
      <c r="U595" s="879" t="s">
        <v>104</v>
      </c>
    </row>
    <row r="596" spans="1:21" ht="19.5" customHeight="1">
      <c r="A596" s="883"/>
      <c r="B596" s="884" t="str">
        <f>IF('BIS Doc'!AC275=130, "130 × 130", IF('BIS Doc'!AC275=160, "160 × 160", IF('BIS Doc'!AC275=110, "110 × 110", "Value not 130, 160, or 110")))</f>
        <v>Value not 130, 160, or 110</v>
      </c>
      <c r="C596" s="885">
        <f>'BIS Doc'!W275</f>
        <v>0</v>
      </c>
      <c r="D596" s="886"/>
      <c r="E596" s="887">
        <f>'BIS Doc'!AE275</f>
        <v>0</v>
      </c>
      <c r="F596" s="888">
        <f ca="1">'BIS Doc'!F275</f>
        <v>0</v>
      </c>
      <c r="G596" s="888">
        <f ca="1">'BIS Doc'!J275</f>
        <v>0</v>
      </c>
      <c r="H596" s="888">
        <f ca="1">'BIS Doc'!G275</f>
        <v>0.53579307096776552</v>
      </c>
      <c r="I596" s="889">
        <f ca="1">'BIS Doc'!H275</f>
        <v>0</v>
      </c>
      <c r="J596" s="889">
        <f ca="1">'BIS Doc'!I275</f>
        <v>0</v>
      </c>
      <c r="K596" s="1449" t="str">
        <f t="shared" ref="K596:K601" ca="1" si="17">IF(H596&lt;0.6, "IS 14650 CPS 10748/GR2", "IS 14650 CPS 10748/GR3")</f>
        <v>IS 14650 CPS 10748/GR2</v>
      </c>
      <c r="L596" s="1449"/>
      <c r="M596" s="1449"/>
      <c r="N596" s="1449"/>
      <c r="O596" s="1449"/>
      <c r="P596" s="890"/>
      <c r="Q596" s="891"/>
      <c r="R596" s="1449"/>
      <c r="S596" s="1449"/>
      <c r="T596" s="892"/>
      <c r="U596" s="1450" t="s">
        <v>802</v>
      </c>
    </row>
    <row r="597" spans="1:21" ht="19.5" customHeight="1">
      <c r="A597" s="893"/>
      <c r="B597" s="894" t="str">
        <f>IF('BIS Doc'!AC277=130, "130 × 130", IF('BIS Doc'!AC277=160, "160 × 160", IF('BIS Doc'!AC277=110, "110 × 110", "Value not 130, 160, or 110")))</f>
        <v>Value not 130, 160, or 110</v>
      </c>
      <c r="C597" s="895">
        <f>'BIS Doc'!W277</f>
        <v>0</v>
      </c>
      <c r="D597" s="896"/>
      <c r="E597" s="897">
        <f>'BIS Doc'!AE277</f>
        <v>0</v>
      </c>
      <c r="F597" s="898">
        <f ca="1">'BIS Doc'!F277</f>
        <v>0</v>
      </c>
      <c r="G597" s="899">
        <f ca="1">'BIS Doc'!J277</f>
        <v>0</v>
      </c>
      <c r="H597" s="900">
        <f ca="1">'BIS Doc'!G277</f>
        <v>0.57266000372185188</v>
      </c>
      <c r="I597" s="901">
        <f ca="1">'BIS Doc'!H277</f>
        <v>0</v>
      </c>
      <c r="J597" s="901">
        <f ca="1">'BIS Doc'!I277</f>
        <v>0</v>
      </c>
      <c r="K597" s="1451" t="str">
        <f t="shared" ca="1" si="17"/>
        <v>IS 14650 CPS 10748/GR2</v>
      </c>
      <c r="L597" s="1451"/>
      <c r="M597" s="1451"/>
      <c r="N597" s="1451"/>
      <c r="O597" s="1451"/>
      <c r="P597" s="902"/>
      <c r="Q597" s="903"/>
      <c r="R597" s="1451"/>
      <c r="S597" s="1451"/>
      <c r="T597" s="904"/>
      <c r="U597" s="1450"/>
    </row>
    <row r="598" spans="1:21" ht="19.5" customHeight="1">
      <c r="A598" s="864"/>
      <c r="B598" s="894" t="str">
        <f>IF('BIS Doc'!AC279=130, "130 × 130", IF('BIS Doc'!AC279=160, "160 × 160", IF('BIS Doc'!AC279=110, "110 × 110", "Value not 130, 160, or 110")))</f>
        <v>Value not 130, 160, or 110</v>
      </c>
      <c r="C598" s="895">
        <f>'BIS Doc'!W279</f>
        <v>0</v>
      </c>
      <c r="D598" s="896" t="s">
        <v>803</v>
      </c>
      <c r="E598" s="897">
        <f>'BIS Doc'!AE279</f>
        <v>0</v>
      </c>
      <c r="F598" s="898">
        <f ca="1">'BIS Doc'!F279</f>
        <v>0</v>
      </c>
      <c r="G598" s="899">
        <f ca="1">'BIS Doc'!J279</f>
        <v>0</v>
      </c>
      <c r="H598" s="900">
        <f ca="1">'BIS Doc'!G279</f>
        <v>0.57266492537169578</v>
      </c>
      <c r="I598" s="901">
        <f ca="1">'BIS Doc'!H279</f>
        <v>0</v>
      </c>
      <c r="J598" s="901">
        <f ca="1">'BIS Doc'!I279</f>
        <v>0</v>
      </c>
      <c r="K598" s="1451" t="str">
        <f t="shared" ca="1" si="17"/>
        <v>IS 14650 CPS 10748/GR2</v>
      </c>
      <c r="L598" s="1451"/>
      <c r="M598" s="1451"/>
      <c r="N598" s="1451"/>
      <c r="O598" s="1451"/>
      <c r="P598" s="902"/>
      <c r="Q598" s="905"/>
      <c r="R598" s="1451"/>
      <c r="S598" s="1451"/>
      <c r="T598" s="904"/>
      <c r="U598" s="1450"/>
    </row>
    <row r="599" spans="1:21" ht="19.5" customHeight="1">
      <c r="A599" s="864"/>
      <c r="B599" s="894" t="str">
        <f>IF('BIS Doc'!AC281=130, "130 × 130", IF('BIS Doc'!AC281=160, "160 × 160", IF('BIS Doc'!AC281=110, "110 × 110", "Value not 130, 160, or 110")))</f>
        <v>Value not 130, 160, or 110</v>
      </c>
      <c r="C599" s="895">
        <f>'BIS Doc'!W281</f>
        <v>0</v>
      </c>
      <c r="D599" s="896"/>
      <c r="E599" s="897">
        <f>'BIS Doc'!AE281</f>
        <v>0</v>
      </c>
      <c r="F599" s="898">
        <f ca="1">'BIS Doc'!F281</f>
        <v>0</v>
      </c>
      <c r="G599" s="899">
        <f ca="1">'BIS Doc'!J281</f>
        <v>0</v>
      </c>
      <c r="H599" s="900">
        <f ca="1">'BIS Doc'!G281</f>
        <v>0.50225438041558412</v>
      </c>
      <c r="I599" s="901">
        <f ca="1">'BIS Doc'!H281</f>
        <v>0</v>
      </c>
      <c r="J599" s="901">
        <f ca="1">'BIS Doc'!I281</f>
        <v>0</v>
      </c>
      <c r="K599" s="1451" t="str">
        <f t="shared" ca="1" si="17"/>
        <v>IS 14650 CPS 10748/GR2</v>
      </c>
      <c r="L599" s="1451"/>
      <c r="M599" s="1451"/>
      <c r="N599" s="1451"/>
      <c r="O599" s="1451"/>
      <c r="P599" s="902"/>
      <c r="Q599" s="905"/>
      <c r="R599" s="1451"/>
      <c r="S599" s="1451"/>
      <c r="T599" s="904"/>
      <c r="U599" s="1450"/>
    </row>
    <row r="600" spans="1:21" ht="19.5" customHeight="1">
      <c r="A600" s="864"/>
      <c r="B600" s="894" t="str">
        <f>IF('BIS Doc'!AC283=130, "130 × 130", IF('BIS Doc'!AC283=160, "160 × 160", IF('BIS Doc'!AC283=110, "110 × 110", "Value not 130, 160, or 110")))</f>
        <v>Value not 130, 160, or 110</v>
      </c>
      <c r="C600" s="895">
        <f>'BIS Doc'!W283</f>
        <v>0</v>
      </c>
      <c r="D600" s="896"/>
      <c r="E600" s="897">
        <f>'BIS Doc'!AE283</f>
        <v>0</v>
      </c>
      <c r="F600" s="898">
        <f ca="1">'BIS Doc'!F283</f>
        <v>0</v>
      </c>
      <c r="G600" s="899">
        <f ca="1">'BIS Doc'!J283</f>
        <v>0</v>
      </c>
      <c r="H600" s="900">
        <f ca="1">'BIS Doc'!G283</f>
        <v>0.5473050816052426</v>
      </c>
      <c r="I600" s="901">
        <f ca="1">'BIS Doc'!H283</f>
        <v>0</v>
      </c>
      <c r="J600" s="901">
        <f ca="1">'BIS Doc'!I283</f>
        <v>0</v>
      </c>
      <c r="K600" s="1451" t="str">
        <f t="shared" ca="1" si="17"/>
        <v>IS 14650 CPS 10748/GR2</v>
      </c>
      <c r="L600" s="1451"/>
      <c r="M600" s="1451"/>
      <c r="N600" s="1451"/>
      <c r="O600" s="1451"/>
      <c r="P600" s="902"/>
      <c r="Q600" s="905"/>
      <c r="R600" s="1451"/>
      <c r="S600" s="1451"/>
      <c r="T600" s="904"/>
      <c r="U600" s="1450"/>
    </row>
    <row r="601" spans="1:21" ht="19.5" customHeight="1">
      <c r="A601" s="864"/>
      <c r="B601" s="894" t="str">
        <f>IF('BIS Doc'!AC285=130, "130 × 130", IF('BIS Doc'!AC285=160, "160 × 160", IF('BIS Doc'!AC285=110, "110 × 110", "Value not 130, 160, or 110")))</f>
        <v>Value not 130, 160, or 110</v>
      </c>
      <c r="C601" s="895">
        <f>'BIS Doc'!W285</f>
        <v>0</v>
      </c>
      <c r="D601" s="896"/>
      <c r="E601" s="897">
        <f>'BIS Doc'!AE285</f>
        <v>0</v>
      </c>
      <c r="F601" s="898">
        <f ca="1">'BIS Doc'!F285</f>
        <v>0</v>
      </c>
      <c r="G601" s="899">
        <f ca="1">'BIS Doc'!J285</f>
        <v>0</v>
      </c>
      <c r="H601" s="900">
        <f ca="1">'BIS Doc'!G285</f>
        <v>0.56559510248806211</v>
      </c>
      <c r="I601" s="901">
        <f ca="1">'BIS Doc'!H285</f>
        <v>0</v>
      </c>
      <c r="J601" s="901">
        <f ca="1">'BIS Doc'!I285</f>
        <v>0</v>
      </c>
      <c r="K601" s="1451" t="str">
        <f t="shared" ca="1" si="17"/>
        <v>IS 14650 CPS 10748/GR2</v>
      </c>
      <c r="L601" s="1451"/>
      <c r="M601" s="1451"/>
      <c r="N601" s="1451"/>
      <c r="O601" s="1451"/>
      <c r="P601" s="902"/>
      <c r="Q601" s="903"/>
      <c r="R601" s="1451"/>
      <c r="S601" s="1451"/>
      <c r="T601" s="904"/>
      <c r="U601" s="1450"/>
    </row>
    <row r="602" spans="1:21" ht="19.5" customHeight="1">
      <c r="A602" s="864"/>
      <c r="B602" s="904"/>
      <c r="C602" s="895"/>
      <c r="D602" s="896"/>
      <c r="E602" s="897"/>
      <c r="F602" s="906"/>
      <c r="G602" s="907"/>
      <c r="H602" s="908"/>
      <c r="I602" s="909"/>
      <c r="J602" s="909"/>
      <c r="K602" s="1451"/>
      <c r="L602" s="1451"/>
      <c r="M602" s="1451"/>
      <c r="N602" s="1451"/>
      <c r="O602" s="1451"/>
      <c r="P602" s="902"/>
      <c r="Q602" s="903"/>
      <c r="R602" s="1451"/>
      <c r="S602" s="1451"/>
      <c r="T602" s="904"/>
      <c r="U602" s="1450"/>
    </row>
    <row r="603" spans="1:21" ht="19.5" customHeight="1">
      <c r="A603" s="864"/>
      <c r="B603" s="904"/>
      <c r="C603" s="895"/>
      <c r="D603" s="896"/>
      <c r="E603" s="897"/>
      <c r="F603" s="906"/>
      <c r="G603" s="907"/>
      <c r="H603" s="908"/>
      <c r="I603" s="909"/>
      <c r="J603" s="909"/>
      <c r="K603" s="1451"/>
      <c r="L603" s="1451"/>
      <c r="M603" s="1451"/>
      <c r="N603" s="1451"/>
      <c r="O603" s="1451"/>
      <c r="P603" s="902"/>
      <c r="Q603" s="905"/>
      <c r="R603" s="1451"/>
      <c r="S603" s="1451"/>
      <c r="T603" s="904"/>
      <c r="U603" s="1450"/>
    </row>
    <row r="604" spans="1:21" ht="19.5" customHeight="1">
      <c r="A604" s="864"/>
      <c r="B604" s="910"/>
      <c r="C604" s="911"/>
      <c r="D604" s="896"/>
      <c r="E604" s="897"/>
      <c r="F604" s="906"/>
      <c r="G604" s="907"/>
      <c r="H604" s="908"/>
      <c r="I604" s="909"/>
      <c r="J604" s="909"/>
      <c r="K604" s="1451"/>
      <c r="L604" s="1451"/>
      <c r="M604" s="1451"/>
      <c r="N604" s="1451"/>
      <c r="O604" s="1451"/>
      <c r="P604" s="912"/>
      <c r="Q604" s="913"/>
      <c r="R604" s="1452"/>
      <c r="S604" s="1452"/>
      <c r="T604" s="910"/>
      <c r="U604" s="1450"/>
    </row>
    <row r="605" spans="1:21" ht="19.5" customHeight="1">
      <c r="A605" s="914"/>
      <c r="B605" s="915"/>
      <c r="C605" s="916"/>
      <c r="D605" s="917"/>
      <c r="E605" s="918">
        <f>SUM(E596:E601)</f>
        <v>0</v>
      </c>
      <c r="F605" s="919"/>
      <c r="G605" s="920"/>
      <c r="H605" s="921"/>
      <c r="I605" s="922"/>
      <c r="J605" s="922"/>
      <c r="K605" s="1453"/>
      <c r="L605" s="1453"/>
      <c r="M605" s="1453"/>
      <c r="N605" s="1453"/>
      <c r="O605" s="1453"/>
      <c r="P605" s="923"/>
      <c r="Q605" s="924"/>
      <c r="R605" s="1454"/>
      <c r="S605" s="1454"/>
      <c r="T605" s="915"/>
      <c r="U605" s="1450"/>
    </row>
    <row r="606" spans="1:21" ht="15.75" customHeight="1">
      <c r="A606" s="864"/>
      <c r="B606" s="773"/>
      <c r="C606" s="773"/>
      <c r="D606" s="925"/>
      <c r="E606" s="926"/>
      <c r="F606" s="927"/>
      <c r="G606" s="928"/>
      <c r="H606" s="259"/>
      <c r="I606" s="259"/>
      <c r="J606" s="928"/>
      <c r="K606" s="929"/>
      <c r="L606" s="929"/>
      <c r="M606" s="929"/>
      <c r="N606" s="929"/>
      <c r="O606" s="928"/>
      <c r="P606" s="930"/>
      <c r="Q606" s="931"/>
      <c r="R606" s="931"/>
      <c r="U606" s="932"/>
    </row>
    <row r="607" spans="1:21" ht="18.75" customHeight="1">
      <c r="A607" s="864"/>
      <c r="B607" s="773"/>
      <c r="C607" s="773"/>
      <c r="D607" s="773"/>
      <c r="E607" s="773"/>
      <c r="F607" s="773"/>
      <c r="G607" s="773"/>
      <c r="H607" s="773"/>
      <c r="I607" s="773"/>
      <c r="J607" s="773"/>
      <c r="K607" s="773"/>
      <c r="P607" s="1446" t="s">
        <v>804</v>
      </c>
      <c r="Q607" s="1446"/>
      <c r="R607" s="1446"/>
      <c r="S607" s="1446"/>
      <c r="T607" s="1446"/>
      <c r="U607" s="1446"/>
    </row>
    <row r="608" spans="1:21" ht="18.75" customHeight="1">
      <c r="A608" s="1447" t="s">
        <v>805</v>
      </c>
      <c r="B608" s="1447"/>
      <c r="C608" s="933"/>
      <c r="D608" s="933"/>
      <c r="E608" s="933"/>
      <c r="F608" s="933"/>
      <c r="P608" s="855"/>
      <c r="Q608" s="855"/>
      <c r="R608" s="855"/>
      <c r="S608" s="855"/>
      <c r="T608" s="855"/>
      <c r="U608" s="934"/>
    </row>
    <row r="609" spans="1:21" ht="18.75" customHeight="1">
      <c r="A609" s="854"/>
      <c r="B609" s="855"/>
      <c r="P609" s="855"/>
      <c r="Q609" s="855"/>
      <c r="R609" s="855"/>
      <c r="S609" s="855"/>
      <c r="T609" s="855"/>
      <c r="U609" s="934"/>
    </row>
    <row r="610" spans="1:21" ht="18.75" customHeight="1">
      <c r="A610" s="854" t="s">
        <v>806</v>
      </c>
      <c r="B610" s="855"/>
      <c r="C610" s="867"/>
      <c r="D610" s="941"/>
      <c r="E610" s="933"/>
      <c r="F610" s="933"/>
      <c r="P610" s="855"/>
      <c r="Q610" s="855"/>
      <c r="R610" s="855"/>
      <c r="S610" s="855"/>
      <c r="T610" s="855"/>
      <c r="U610" s="934"/>
    </row>
    <row r="611" spans="1:21" ht="18.75" customHeight="1">
      <c r="A611" s="854"/>
      <c r="B611" s="855"/>
      <c r="C611" s="937"/>
      <c r="P611" s="855"/>
      <c r="Q611" s="855"/>
      <c r="R611" s="855"/>
      <c r="S611" s="855"/>
      <c r="T611" s="855"/>
      <c r="U611" s="934"/>
    </row>
    <row r="612" spans="1:21" ht="19.5" customHeight="1">
      <c r="A612" s="938"/>
      <c r="B612" s="939"/>
      <c r="C612" s="940"/>
      <c r="D612" s="453"/>
      <c r="E612" s="453"/>
      <c r="F612" s="453"/>
      <c r="G612" s="453"/>
      <c r="H612" s="453"/>
      <c r="I612" s="453"/>
      <c r="J612" s="453"/>
      <c r="K612" s="453"/>
      <c r="L612" s="453"/>
      <c r="M612" s="453"/>
      <c r="N612" s="453"/>
      <c r="O612" s="453"/>
      <c r="P612" s="1448" t="s">
        <v>807</v>
      </c>
      <c r="Q612" s="1448"/>
      <c r="R612" s="1448"/>
      <c r="S612" s="1448"/>
      <c r="T612" s="1448"/>
      <c r="U612" s="1448"/>
    </row>
    <row r="613" spans="1:21" ht="45.75" customHeight="1">
      <c r="A613" s="1455"/>
      <c r="B613" s="1455"/>
      <c r="C613" s="1455"/>
      <c r="D613" s="847"/>
      <c r="E613" s="1456" t="s">
        <v>774</v>
      </c>
      <c r="F613" s="1456"/>
      <c r="G613" s="1456"/>
      <c r="H613" s="1456"/>
      <c r="I613" s="1456"/>
      <c r="J613" s="1456"/>
      <c r="K613" s="1456"/>
      <c r="L613" s="1456"/>
      <c r="M613" s="1456"/>
      <c r="N613" s="1456"/>
      <c r="O613" s="1456"/>
      <c r="P613" s="1456"/>
      <c r="Q613" s="1456"/>
      <c r="R613" s="1456"/>
      <c r="S613" s="848"/>
      <c r="T613" s="1457" t="s">
        <v>775</v>
      </c>
      <c r="U613" s="1457"/>
    </row>
    <row r="614" spans="1:21" ht="18.75" customHeight="1">
      <c r="A614" s="849"/>
      <c r="E614" s="1458" t="s">
        <v>776</v>
      </c>
      <c r="F614" s="1458"/>
      <c r="G614" s="1458"/>
      <c r="H614" s="1458"/>
      <c r="I614" s="1458"/>
      <c r="J614" s="1458"/>
      <c r="K614" s="1458"/>
      <c r="L614" s="1458"/>
      <c r="M614" s="1458"/>
      <c r="N614" s="1458"/>
      <c r="O614" s="1458"/>
      <c r="P614" s="1458"/>
      <c r="Q614" s="1458"/>
      <c r="R614" s="1458"/>
      <c r="U614" s="456"/>
    </row>
    <row r="615" spans="1:21" ht="18.75" customHeight="1">
      <c r="A615" s="850"/>
      <c r="F615" s="587"/>
      <c r="G615" s="587"/>
      <c r="H615" s="587"/>
      <c r="I615" s="587"/>
      <c r="J615" s="587"/>
      <c r="K615" s="587"/>
      <c r="L615" s="587"/>
      <c r="M615" s="851"/>
      <c r="N615" s="852"/>
      <c r="O615" s="851"/>
      <c r="P615" s="1459" t="s">
        <v>777</v>
      </c>
      <c r="Q615" s="1459"/>
      <c r="R615" s="1459"/>
      <c r="S615" s="1459"/>
      <c r="T615" s="1459"/>
      <c r="U615" s="1459"/>
    </row>
    <row r="616" spans="1:21" ht="15" customHeight="1">
      <c r="A616" s="849"/>
      <c r="E616" s="1287" t="s">
        <v>778</v>
      </c>
      <c r="F616" s="1287"/>
      <c r="G616" s="1287"/>
      <c r="H616" s="1287"/>
      <c r="I616" s="1287"/>
      <c r="J616" s="1287"/>
      <c r="K616" s="1287"/>
      <c r="L616" s="1287"/>
      <c r="M616" s="1287"/>
      <c r="N616" s="1287"/>
      <c r="O616" s="1287"/>
      <c r="P616" s="1287"/>
      <c r="Q616" s="1287"/>
      <c r="R616" s="1287"/>
      <c r="U616" s="456"/>
    </row>
    <row r="617" spans="1:21" ht="18.75" customHeight="1">
      <c r="A617" s="849"/>
      <c r="E617" s="1286" t="s">
        <v>779</v>
      </c>
      <c r="F617" s="1286"/>
      <c r="G617" s="1286"/>
      <c r="H617" s="1286"/>
      <c r="I617" s="1286"/>
      <c r="J617" s="1286"/>
      <c r="K617" s="1286"/>
      <c r="L617" s="1286"/>
      <c r="M617" s="1286"/>
      <c r="N617" s="1286"/>
      <c r="O617" s="1286"/>
      <c r="P617" s="1286"/>
      <c r="Q617" s="1286"/>
      <c r="R617" s="1286"/>
      <c r="U617" s="853"/>
    </row>
    <row r="618" spans="1:21" ht="23.25" customHeight="1">
      <c r="A618" s="854" t="s">
        <v>780</v>
      </c>
      <c r="B618" s="855"/>
      <c r="C618" s="855"/>
      <c r="D618" s="856" t="s">
        <v>842</v>
      </c>
      <c r="E618" s="857"/>
      <c r="F618" s="858"/>
      <c r="G618" s="859"/>
      <c r="H618" s="859"/>
      <c r="I618" s="859"/>
      <c r="J618" s="859"/>
      <c r="K618" s="859"/>
      <c r="L618" s="860"/>
      <c r="M618" s="1460"/>
      <c r="N618" s="1460"/>
      <c r="O618" s="1460"/>
      <c r="P618" s="1461" t="s">
        <v>781</v>
      </c>
      <c r="Q618" s="1461"/>
      <c r="R618" s="1461"/>
      <c r="S618" s="855"/>
      <c r="T618" s="861">
        <v>46305</v>
      </c>
      <c r="U618" s="456"/>
    </row>
    <row r="619" spans="1:21" ht="23.25" customHeight="1">
      <c r="A619" s="854"/>
      <c r="B619" s="862"/>
      <c r="C619" s="862"/>
      <c r="D619" s="862"/>
      <c r="E619" s="163"/>
      <c r="F619" s="863"/>
      <c r="G619" s="863"/>
      <c r="H619" s="863"/>
      <c r="I619" s="863"/>
      <c r="J619" s="863"/>
      <c r="K619" s="863"/>
      <c r="U619" s="456"/>
    </row>
    <row r="620" spans="1:21" ht="21" customHeight="1">
      <c r="A620" s="864" t="s">
        <v>782</v>
      </c>
      <c r="B620" s="865"/>
      <c r="C620" s="866"/>
      <c r="D620" s="867"/>
      <c r="E620" s="868"/>
      <c r="F620" s="869"/>
      <c r="G620" s="869"/>
      <c r="H620" s="869"/>
      <c r="I620" s="870"/>
      <c r="J620" s="870"/>
      <c r="P620" s="1462"/>
      <c r="Q620" s="1462"/>
      <c r="R620" s="1462"/>
      <c r="S620" s="1462"/>
      <c r="T620" s="871"/>
      <c r="U620" s="456"/>
    </row>
    <row r="621" spans="1:21" ht="21" customHeight="1">
      <c r="A621" s="872"/>
      <c r="B621" s="873"/>
      <c r="C621" s="869"/>
      <c r="D621" s="869"/>
      <c r="E621" s="869"/>
      <c r="F621" s="869"/>
      <c r="G621" s="869"/>
      <c r="H621" s="869"/>
      <c r="I621" s="870"/>
      <c r="J621" s="870"/>
      <c r="U621" s="456"/>
    </row>
    <row r="622" spans="1:21" ht="15" customHeight="1">
      <c r="A622" s="1463" t="s">
        <v>783</v>
      </c>
      <c r="B622" s="1463"/>
      <c r="C622" s="1463"/>
      <c r="D622" s="1463"/>
      <c r="E622" s="1463"/>
      <c r="F622" s="1463"/>
      <c r="G622" s="1463"/>
      <c r="H622" s="1463"/>
      <c r="I622" s="1463"/>
      <c r="J622" s="1463"/>
      <c r="K622" s="1463"/>
      <c r="L622" s="1463"/>
      <c r="M622" s="1463"/>
      <c r="N622" s="1463"/>
      <c r="O622" s="1463"/>
      <c r="P622" s="1463"/>
      <c r="Q622" s="1463"/>
      <c r="R622" s="1463"/>
      <c r="S622" s="1463"/>
      <c r="T622" s="1463"/>
      <c r="U622" s="1463"/>
    </row>
    <row r="623" spans="1:21" ht="15" customHeight="1">
      <c r="A623" s="1463"/>
      <c r="B623" s="1463"/>
      <c r="C623" s="1463"/>
      <c r="D623" s="1463"/>
      <c r="E623" s="1463"/>
      <c r="F623" s="1463"/>
      <c r="G623" s="1463"/>
      <c r="H623" s="1463"/>
      <c r="I623" s="1463"/>
      <c r="J623" s="1463"/>
      <c r="K623" s="1463"/>
      <c r="L623" s="1463"/>
      <c r="M623" s="1463"/>
      <c r="N623" s="1463"/>
      <c r="O623" s="1463"/>
      <c r="P623" s="1463"/>
      <c r="Q623" s="1463"/>
      <c r="R623" s="1463"/>
      <c r="S623" s="1463"/>
      <c r="T623" s="1463"/>
      <c r="U623" s="1463"/>
    </row>
    <row r="624" spans="1:21" ht="18" customHeight="1">
      <c r="A624" s="1464" t="s">
        <v>784</v>
      </c>
      <c r="B624" s="1464"/>
      <c r="C624" s="1464"/>
      <c r="D624" s="1464"/>
      <c r="E624" s="1464"/>
      <c r="F624" s="1464"/>
      <c r="G624" s="1464"/>
      <c r="H624" s="1464"/>
      <c r="I624" s="1464"/>
      <c r="J624" s="1464"/>
      <c r="K624" s="1464"/>
      <c r="L624" s="1464"/>
      <c r="M624" s="1464"/>
      <c r="N624" s="1464"/>
      <c r="O624" s="1464"/>
      <c r="P624" s="1464"/>
      <c r="Q624" s="1464"/>
      <c r="R624" s="1464"/>
      <c r="S624" s="1464"/>
      <c r="T624" s="1464"/>
      <c r="U624" s="1464"/>
    </row>
    <row r="625" spans="1:21" ht="23.25" customHeight="1">
      <c r="A625" s="1465" t="s">
        <v>785</v>
      </c>
      <c r="B625" s="1465"/>
      <c r="C625" s="1465"/>
      <c r="D625" s="1465"/>
      <c r="E625" s="1465"/>
      <c r="F625" s="1465"/>
      <c r="G625" s="1465"/>
      <c r="H625" s="1465"/>
      <c r="I625" s="1465"/>
      <c r="J625" s="1465"/>
      <c r="K625" s="1465"/>
      <c r="L625" s="1465"/>
      <c r="M625" s="1465"/>
      <c r="N625" s="1465"/>
      <c r="O625" s="1465"/>
      <c r="P625" s="1465"/>
      <c r="Q625" s="1465"/>
      <c r="R625" s="1465"/>
      <c r="S625" s="1465"/>
      <c r="T625" s="1465"/>
      <c r="U625" s="1465"/>
    </row>
    <row r="626" spans="1:21" ht="21.75" customHeight="1">
      <c r="A626" s="874"/>
      <c r="B626" s="875"/>
      <c r="C626" s="875"/>
      <c r="D626" s="875"/>
      <c r="E626" s="875"/>
      <c r="F626" s="875"/>
      <c r="G626" s="875"/>
      <c r="H626" s="875"/>
      <c r="I626" s="875"/>
      <c r="J626" s="875"/>
      <c r="K626" s="875"/>
      <c r="L626" s="875"/>
      <c r="M626" s="875"/>
      <c r="N626" s="875"/>
      <c r="O626" s="875"/>
      <c r="P626" s="875"/>
      <c r="Q626" s="875"/>
      <c r="R626" s="875"/>
      <c r="S626" s="875"/>
      <c r="T626" s="875"/>
      <c r="U626" s="876"/>
    </row>
    <row r="627" spans="1:21" ht="15" customHeight="1">
      <c r="A627" s="1466" t="s">
        <v>786</v>
      </c>
      <c r="B627" s="1467" t="s">
        <v>787</v>
      </c>
      <c r="C627" s="1468" t="s">
        <v>788</v>
      </c>
      <c r="D627" s="1468" t="s">
        <v>789</v>
      </c>
      <c r="E627" s="1469" t="s">
        <v>790</v>
      </c>
      <c r="F627" s="1468" t="s">
        <v>791</v>
      </c>
      <c r="G627" s="1468"/>
      <c r="H627" s="1468"/>
      <c r="I627" s="1468"/>
      <c r="J627" s="1468"/>
      <c r="K627" s="1468"/>
      <c r="L627" s="1468"/>
      <c r="M627" s="1468"/>
      <c r="N627" s="1468"/>
      <c r="O627" s="1468"/>
      <c r="P627" s="1470"/>
      <c r="Q627" s="1470"/>
      <c r="R627" s="1470"/>
      <c r="S627" s="1470"/>
      <c r="T627" s="1470"/>
      <c r="U627" s="1470"/>
    </row>
    <row r="628" spans="1:21" ht="15.75" customHeight="1">
      <c r="A628" s="1466"/>
      <c r="B628" s="1467"/>
      <c r="C628" s="1468"/>
      <c r="D628" s="1468"/>
      <c r="E628" s="1469"/>
      <c r="F628" s="1468"/>
      <c r="G628" s="1468"/>
      <c r="H628" s="1468"/>
      <c r="I628" s="1468"/>
      <c r="J628" s="1468"/>
      <c r="K628" s="1468"/>
      <c r="L628" s="1468"/>
      <c r="M628" s="1468"/>
      <c r="N628" s="1468"/>
      <c r="O628" s="1468"/>
      <c r="P628" s="1470"/>
      <c r="Q628" s="1470"/>
      <c r="R628" s="1470"/>
      <c r="S628" s="1470"/>
      <c r="T628" s="1470"/>
      <c r="U628" s="1470"/>
    </row>
    <row r="629" spans="1:21" ht="48" customHeight="1">
      <c r="A629" s="1466"/>
      <c r="B629" s="1467"/>
      <c r="C629" s="1468"/>
      <c r="D629" s="1468"/>
      <c r="E629" s="1469"/>
      <c r="F629" s="878" t="s">
        <v>792</v>
      </c>
      <c r="G629" s="877" t="s">
        <v>793</v>
      </c>
      <c r="H629" s="878" t="s">
        <v>794</v>
      </c>
      <c r="I629" s="879" t="s">
        <v>795</v>
      </c>
      <c r="J629" s="880" t="s">
        <v>796</v>
      </c>
      <c r="K629" s="1468" t="s">
        <v>797</v>
      </c>
      <c r="L629" s="1468"/>
      <c r="M629" s="1468"/>
      <c r="N629" s="1468"/>
      <c r="O629" s="1468"/>
      <c r="P629" s="881" t="s">
        <v>798</v>
      </c>
      <c r="Q629" s="882" t="s">
        <v>799</v>
      </c>
      <c r="R629" s="1469" t="s">
        <v>800</v>
      </c>
      <c r="S629" s="1469"/>
      <c r="T629" s="877" t="s">
        <v>801</v>
      </c>
      <c r="U629" s="879" t="s">
        <v>104</v>
      </c>
    </row>
    <row r="630" spans="1:21" ht="19.5" customHeight="1">
      <c r="A630" s="883"/>
      <c r="B630" s="884" t="str">
        <f>IF('BIS Doc'!AC295=130, "130 × 130", IF('BIS Doc'!AC295=160, "160 × 160", IF('BIS Doc'!AC295=110, "110 × 110", "Value not 130, 160, or 110")))</f>
        <v>Value not 130, 160, or 110</v>
      </c>
      <c r="C630" s="885">
        <f>'BIS Doc'!W295</f>
        <v>0</v>
      </c>
      <c r="D630" s="886"/>
      <c r="E630" s="887">
        <f>'BIS Doc'!AE295</f>
        <v>0</v>
      </c>
      <c r="F630" s="888">
        <f ca="1">'BIS Doc'!F295</f>
        <v>0</v>
      </c>
      <c r="G630" s="888">
        <f ca="1">'BIS Doc'!J295</f>
        <v>0</v>
      </c>
      <c r="H630" s="888">
        <f ca="1">'BIS Doc'!G295</f>
        <v>0.59922590561954037</v>
      </c>
      <c r="I630" s="889">
        <f ca="1">'BIS Doc'!H295</f>
        <v>0</v>
      </c>
      <c r="J630" s="889">
        <f ca="1">'BIS Doc'!I295</f>
        <v>0</v>
      </c>
      <c r="K630" s="1449" t="str">
        <f t="shared" ref="K630:K635" ca="1" si="18">IF(H630&lt;0.6, "IS 14650 CPS 10748/GR2", "IS 14650 CPS 10748/GR3")</f>
        <v>IS 14650 CPS 10748/GR2</v>
      </c>
      <c r="L630" s="1449"/>
      <c r="M630" s="1449"/>
      <c r="N630" s="1449"/>
      <c r="O630" s="1449"/>
      <c r="P630" s="890"/>
      <c r="Q630" s="891"/>
      <c r="R630" s="1449"/>
      <c r="S630" s="1449"/>
      <c r="T630" s="892"/>
      <c r="U630" s="1450" t="s">
        <v>802</v>
      </c>
    </row>
    <row r="631" spans="1:21" ht="19.5" customHeight="1">
      <c r="A631" s="893"/>
      <c r="B631" s="894" t="str">
        <f>IF('BIS Doc'!AC297=130, "130 × 130", IF('BIS Doc'!AC297=160, "160 × 160", IF('BIS Doc'!AC297=110, "110 × 110", "Value not 130, 160, or 110")))</f>
        <v>Value not 130, 160, or 110</v>
      </c>
      <c r="C631" s="895">
        <f>'BIS Doc'!W297</f>
        <v>0</v>
      </c>
      <c r="D631" s="896"/>
      <c r="E631" s="897">
        <f>'BIS Doc'!AE297</f>
        <v>0</v>
      </c>
      <c r="F631" s="898">
        <f ca="1">'BIS Doc'!F297</f>
        <v>0</v>
      </c>
      <c r="G631" s="899">
        <f ca="1">'BIS Doc'!J297</f>
        <v>0</v>
      </c>
      <c r="H631" s="900">
        <f ca="1">'BIS Doc'!G297</f>
        <v>0.5354647789518191</v>
      </c>
      <c r="I631" s="901">
        <f ca="1">'BIS Doc'!H297</f>
        <v>0</v>
      </c>
      <c r="J631" s="901">
        <f ca="1">'BIS Doc'!I297</f>
        <v>0</v>
      </c>
      <c r="K631" s="1451" t="str">
        <f t="shared" ca="1" si="18"/>
        <v>IS 14650 CPS 10748/GR2</v>
      </c>
      <c r="L631" s="1451"/>
      <c r="M631" s="1451"/>
      <c r="N631" s="1451"/>
      <c r="O631" s="1451"/>
      <c r="P631" s="902"/>
      <c r="Q631" s="903"/>
      <c r="R631" s="1451"/>
      <c r="S631" s="1451"/>
      <c r="T631" s="904"/>
      <c r="U631" s="1450"/>
    </row>
    <row r="632" spans="1:21" ht="19.5" customHeight="1">
      <c r="A632" s="864"/>
      <c r="B632" s="894" t="str">
        <f>IF('BIS Doc'!AC299=130, "130 × 130", IF('BIS Doc'!AC299=160, "160 × 160", IF('BIS Doc'!AC299=110, "110 × 110", "Value not 130, 160, or 110")))</f>
        <v>Value not 130, 160, or 110</v>
      </c>
      <c r="C632" s="895">
        <f>'BIS Doc'!W299</f>
        <v>0</v>
      </c>
      <c r="D632" s="896" t="s">
        <v>803</v>
      </c>
      <c r="E632" s="897">
        <f>'BIS Doc'!AE299</f>
        <v>0</v>
      </c>
      <c r="F632" s="898">
        <f ca="1">'BIS Doc'!F299</f>
        <v>0</v>
      </c>
      <c r="G632" s="899">
        <f ca="1">'BIS Doc'!J299</f>
        <v>0</v>
      </c>
      <c r="H632" s="900">
        <f ca="1">'BIS Doc'!G299</f>
        <v>0.5693395263591895</v>
      </c>
      <c r="I632" s="901">
        <f ca="1">'BIS Doc'!H299</f>
        <v>0</v>
      </c>
      <c r="J632" s="901">
        <f ca="1">'BIS Doc'!I299</f>
        <v>0</v>
      </c>
      <c r="K632" s="1451" t="str">
        <f t="shared" ca="1" si="18"/>
        <v>IS 14650 CPS 10748/GR2</v>
      </c>
      <c r="L632" s="1451"/>
      <c r="M632" s="1451"/>
      <c r="N632" s="1451"/>
      <c r="O632" s="1451"/>
      <c r="P632" s="902"/>
      <c r="Q632" s="905"/>
      <c r="R632" s="1451"/>
      <c r="S632" s="1451"/>
      <c r="T632" s="904"/>
      <c r="U632" s="1450"/>
    </row>
    <row r="633" spans="1:21" ht="19.5" customHeight="1">
      <c r="A633" s="864"/>
      <c r="B633" s="894" t="str">
        <f>IF('BIS Doc'!AC301=130, "130 × 130", IF('BIS Doc'!AC301=160, "160 × 160", IF('BIS Doc'!AC301=110, "110 × 110", "Value not 130, 160, or 110")))</f>
        <v>Value not 130, 160, or 110</v>
      </c>
      <c r="C633" s="895">
        <f>'BIS Doc'!W301</f>
        <v>0</v>
      </c>
      <c r="D633" s="896"/>
      <c r="E633" s="897">
        <f>'BIS Doc'!AE301</f>
        <v>0</v>
      </c>
      <c r="F633" s="898">
        <f ca="1">'BIS Doc'!F301</f>
        <v>0</v>
      </c>
      <c r="G633" s="899">
        <f ca="1">'BIS Doc'!J301</f>
        <v>0</v>
      </c>
      <c r="H633" s="900">
        <f ca="1">'BIS Doc'!G301</f>
        <v>0.58133686991420985</v>
      </c>
      <c r="I633" s="901">
        <f ca="1">'BIS Doc'!H301</f>
        <v>0</v>
      </c>
      <c r="J633" s="901">
        <f ca="1">'BIS Doc'!I301</f>
        <v>0</v>
      </c>
      <c r="K633" s="1451" t="str">
        <f t="shared" ca="1" si="18"/>
        <v>IS 14650 CPS 10748/GR2</v>
      </c>
      <c r="L633" s="1451"/>
      <c r="M633" s="1451"/>
      <c r="N633" s="1451"/>
      <c r="O633" s="1451"/>
      <c r="P633" s="902"/>
      <c r="Q633" s="905"/>
      <c r="R633" s="1451"/>
      <c r="S633" s="1451"/>
      <c r="T633" s="904"/>
      <c r="U633" s="1450"/>
    </row>
    <row r="634" spans="1:21" ht="19.5" customHeight="1">
      <c r="A634" s="864"/>
      <c r="B634" s="894" t="str">
        <f>IF('BIS Doc'!AC303=130, "130 × 130", IF('BIS Doc'!AC303=160, "160 × 160", IF('BIS Doc'!AC303=110, "110 × 110", "Value not 130, 160, or 110")))</f>
        <v>Value not 130, 160, or 110</v>
      </c>
      <c r="C634" s="895">
        <f>'BIS Doc'!W303</f>
        <v>0</v>
      </c>
      <c r="D634" s="896"/>
      <c r="E634" s="897">
        <f>'BIS Doc'!AE303</f>
        <v>0</v>
      </c>
      <c r="F634" s="898">
        <f ca="1">'BIS Doc'!F303</f>
        <v>0</v>
      </c>
      <c r="G634" s="899">
        <f ca="1">'BIS Doc'!J303</f>
        <v>0</v>
      </c>
      <c r="H634" s="900">
        <f ca="1">'BIS Doc'!G303</f>
        <v>0.56911553541794602</v>
      </c>
      <c r="I634" s="901">
        <f ca="1">'BIS Doc'!H303</f>
        <v>0</v>
      </c>
      <c r="J634" s="901">
        <f ca="1">'BIS Doc'!I303</f>
        <v>0</v>
      </c>
      <c r="K634" s="1451" t="str">
        <f t="shared" ca="1" si="18"/>
        <v>IS 14650 CPS 10748/GR2</v>
      </c>
      <c r="L634" s="1451"/>
      <c r="M634" s="1451"/>
      <c r="N634" s="1451"/>
      <c r="O634" s="1451"/>
      <c r="P634" s="902"/>
      <c r="Q634" s="905"/>
      <c r="R634" s="1451"/>
      <c r="S634" s="1451"/>
      <c r="T634" s="904"/>
      <c r="U634" s="1450"/>
    </row>
    <row r="635" spans="1:21" ht="19.5" customHeight="1">
      <c r="A635" s="864"/>
      <c r="B635" s="894" t="str">
        <f>IF('BIS Doc'!AC305=130, "130 × 130", IF('BIS Doc'!AC305=160, "160 × 160", IF('BIS Doc'!AC305=110, "110 × 110", "Value not 130, 160, or 110")))</f>
        <v>Value not 130, 160, or 110</v>
      </c>
      <c r="C635" s="895">
        <f>'BIS Doc'!W305</f>
        <v>0</v>
      </c>
      <c r="D635" s="896"/>
      <c r="E635" s="897">
        <f>'BIS Doc'!AE305</f>
        <v>0</v>
      </c>
      <c r="F635" s="898">
        <f ca="1">'BIS Doc'!F305</f>
        <v>0</v>
      </c>
      <c r="G635" s="899">
        <f ca="1">'BIS Doc'!J305</f>
        <v>0</v>
      </c>
      <c r="H635" s="900">
        <f ca="1">'BIS Doc'!G305</f>
        <v>0.55938519969579059</v>
      </c>
      <c r="I635" s="901">
        <f ca="1">'BIS Doc'!H305</f>
        <v>0</v>
      </c>
      <c r="J635" s="901">
        <f ca="1">'BIS Doc'!I305</f>
        <v>0</v>
      </c>
      <c r="K635" s="1451" t="str">
        <f t="shared" ca="1" si="18"/>
        <v>IS 14650 CPS 10748/GR2</v>
      </c>
      <c r="L635" s="1451"/>
      <c r="M635" s="1451"/>
      <c r="N635" s="1451"/>
      <c r="O635" s="1451"/>
      <c r="P635" s="902"/>
      <c r="Q635" s="903"/>
      <c r="R635" s="1451"/>
      <c r="S635" s="1451"/>
      <c r="T635" s="904"/>
      <c r="U635" s="1450"/>
    </row>
    <row r="636" spans="1:21" ht="19.5" customHeight="1">
      <c r="A636" s="864"/>
      <c r="B636" s="904"/>
      <c r="C636" s="895"/>
      <c r="D636" s="896"/>
      <c r="E636" s="897"/>
      <c r="F636" s="906"/>
      <c r="G636" s="907"/>
      <c r="H636" s="908"/>
      <c r="I636" s="909"/>
      <c r="J636" s="909"/>
      <c r="K636" s="1451"/>
      <c r="L636" s="1451"/>
      <c r="M636" s="1451"/>
      <c r="N636" s="1451"/>
      <c r="O636" s="1451"/>
      <c r="P636" s="902"/>
      <c r="Q636" s="903"/>
      <c r="R636" s="1451"/>
      <c r="S636" s="1451"/>
      <c r="T636" s="904"/>
      <c r="U636" s="1450"/>
    </row>
    <row r="637" spans="1:21" ht="19.5" customHeight="1">
      <c r="A637" s="864"/>
      <c r="B637" s="904"/>
      <c r="C637" s="895"/>
      <c r="D637" s="896"/>
      <c r="E637" s="897"/>
      <c r="F637" s="906"/>
      <c r="G637" s="907"/>
      <c r="H637" s="908"/>
      <c r="I637" s="909"/>
      <c r="J637" s="909"/>
      <c r="K637" s="1451"/>
      <c r="L637" s="1451"/>
      <c r="M637" s="1451"/>
      <c r="N637" s="1451"/>
      <c r="O637" s="1451"/>
      <c r="P637" s="902"/>
      <c r="Q637" s="905"/>
      <c r="R637" s="1451"/>
      <c r="S637" s="1451"/>
      <c r="T637" s="904"/>
      <c r="U637" s="1450"/>
    </row>
    <row r="638" spans="1:21" ht="19.5" customHeight="1">
      <c r="A638" s="864"/>
      <c r="B638" s="910"/>
      <c r="C638" s="911"/>
      <c r="D638" s="896"/>
      <c r="E638" s="897"/>
      <c r="F638" s="906"/>
      <c r="G638" s="907"/>
      <c r="H638" s="908"/>
      <c r="I638" s="909"/>
      <c r="J638" s="909"/>
      <c r="K638" s="1451"/>
      <c r="L638" s="1451"/>
      <c r="M638" s="1451"/>
      <c r="N638" s="1451"/>
      <c r="O638" s="1451"/>
      <c r="P638" s="912"/>
      <c r="Q638" s="913"/>
      <c r="R638" s="1452"/>
      <c r="S638" s="1452"/>
      <c r="T638" s="910"/>
      <c r="U638" s="1450"/>
    </row>
    <row r="639" spans="1:21" ht="19.5" customHeight="1">
      <c r="A639" s="914"/>
      <c r="B639" s="915"/>
      <c r="C639" s="916"/>
      <c r="D639" s="917"/>
      <c r="E639" s="918">
        <f>SUM(E630:E635)</f>
        <v>0</v>
      </c>
      <c r="F639" s="919"/>
      <c r="G639" s="920"/>
      <c r="H639" s="921"/>
      <c r="I639" s="922"/>
      <c r="J639" s="922"/>
      <c r="K639" s="1453"/>
      <c r="L639" s="1453"/>
      <c r="M639" s="1453"/>
      <c r="N639" s="1453"/>
      <c r="O639" s="1453"/>
      <c r="P639" s="923"/>
      <c r="Q639" s="924"/>
      <c r="R639" s="1454"/>
      <c r="S639" s="1454"/>
      <c r="T639" s="915"/>
      <c r="U639" s="1450"/>
    </row>
    <row r="640" spans="1:21" ht="15.75" customHeight="1">
      <c r="A640" s="864"/>
      <c r="B640" s="773"/>
      <c r="C640" s="773"/>
      <c r="D640" s="925"/>
      <c r="E640" s="926"/>
      <c r="F640" s="927"/>
      <c r="G640" s="928"/>
      <c r="H640" s="259"/>
      <c r="I640" s="259"/>
      <c r="J640" s="928"/>
      <c r="K640" s="929"/>
      <c r="L640" s="929"/>
      <c r="M640" s="929"/>
      <c r="N640" s="929"/>
      <c r="O640" s="928"/>
      <c r="P640" s="930"/>
      <c r="Q640" s="931"/>
      <c r="R640" s="931"/>
      <c r="U640" s="932"/>
    </row>
    <row r="641" spans="1:21" ht="18.75" customHeight="1">
      <c r="A641" s="864"/>
      <c r="B641" s="773"/>
      <c r="C641" s="773"/>
      <c r="D641" s="773"/>
      <c r="E641" s="773"/>
      <c r="F641" s="773"/>
      <c r="G641" s="773"/>
      <c r="H641" s="773"/>
      <c r="I641" s="773"/>
      <c r="J641" s="773"/>
      <c r="K641" s="773"/>
      <c r="P641" s="1446" t="s">
        <v>804</v>
      </c>
      <c r="Q641" s="1446"/>
      <c r="R641" s="1446"/>
      <c r="S641" s="1446"/>
      <c r="T641" s="1446"/>
      <c r="U641" s="1446"/>
    </row>
    <row r="642" spans="1:21" ht="18.75" customHeight="1">
      <c r="A642" s="1447" t="s">
        <v>805</v>
      </c>
      <c r="B642" s="1447"/>
      <c r="C642" s="933"/>
      <c r="D642" s="933"/>
      <c r="E642" s="933"/>
      <c r="F642" s="933"/>
      <c r="P642" s="855"/>
      <c r="Q642" s="855"/>
      <c r="R642" s="855"/>
      <c r="S642" s="855"/>
      <c r="T642" s="855"/>
      <c r="U642" s="934"/>
    </row>
    <row r="643" spans="1:21" ht="18.75" customHeight="1">
      <c r="A643" s="854"/>
      <c r="B643" s="855"/>
      <c r="P643" s="855"/>
      <c r="Q643" s="855"/>
      <c r="R643" s="855"/>
      <c r="S643" s="855"/>
      <c r="T643" s="855"/>
      <c r="U643" s="934"/>
    </row>
    <row r="644" spans="1:21" ht="18.75" customHeight="1">
      <c r="A644" s="854" t="s">
        <v>806</v>
      </c>
      <c r="B644" s="855"/>
      <c r="C644" s="867"/>
      <c r="D644" s="941"/>
      <c r="E644" s="933"/>
      <c r="F644" s="933"/>
      <c r="P644" s="855"/>
      <c r="Q644" s="855"/>
      <c r="R644" s="855"/>
      <c r="S644" s="855"/>
      <c r="T644" s="855"/>
      <c r="U644" s="934"/>
    </row>
    <row r="645" spans="1:21" ht="18.75" customHeight="1">
      <c r="A645" s="854"/>
      <c r="B645" s="855"/>
      <c r="C645" s="937"/>
      <c r="P645" s="855"/>
      <c r="Q645" s="855"/>
      <c r="R645" s="855"/>
      <c r="S645" s="855"/>
      <c r="T645" s="855"/>
      <c r="U645" s="934"/>
    </row>
    <row r="646" spans="1:21" ht="19.5" customHeight="1">
      <c r="A646" s="938"/>
      <c r="B646" s="939"/>
      <c r="C646" s="940"/>
      <c r="D646" s="453"/>
      <c r="E646" s="453"/>
      <c r="F646" s="453"/>
      <c r="G646" s="453"/>
      <c r="H646" s="453"/>
      <c r="I646" s="453"/>
      <c r="J646" s="453"/>
      <c r="K646" s="453"/>
      <c r="L646" s="453"/>
      <c r="M646" s="453"/>
      <c r="N646" s="453"/>
      <c r="O646" s="453"/>
      <c r="P646" s="1448" t="s">
        <v>807</v>
      </c>
      <c r="Q646" s="1448"/>
      <c r="R646" s="1448"/>
      <c r="S646" s="1448"/>
      <c r="T646" s="1448"/>
      <c r="U646" s="1448"/>
    </row>
    <row r="647" spans="1:21" ht="45.75" customHeight="1">
      <c r="A647" s="1455"/>
      <c r="B647" s="1455"/>
      <c r="C647" s="1455"/>
      <c r="D647" s="847"/>
      <c r="E647" s="1456" t="s">
        <v>774</v>
      </c>
      <c r="F647" s="1456"/>
      <c r="G647" s="1456"/>
      <c r="H647" s="1456"/>
      <c r="I647" s="1456"/>
      <c r="J647" s="1456"/>
      <c r="K647" s="1456"/>
      <c r="L647" s="1456"/>
      <c r="M647" s="1456"/>
      <c r="N647" s="1456"/>
      <c r="O647" s="1456"/>
      <c r="P647" s="1456"/>
      <c r="Q647" s="1456"/>
      <c r="R647" s="1456"/>
      <c r="S647" s="848"/>
      <c r="T647" s="1457" t="s">
        <v>775</v>
      </c>
      <c r="U647" s="1457"/>
    </row>
    <row r="648" spans="1:21" ht="18.75" customHeight="1">
      <c r="A648" s="849"/>
      <c r="E648" s="1458" t="s">
        <v>776</v>
      </c>
      <c r="F648" s="1458"/>
      <c r="G648" s="1458"/>
      <c r="H648" s="1458"/>
      <c r="I648" s="1458"/>
      <c r="J648" s="1458"/>
      <c r="K648" s="1458"/>
      <c r="L648" s="1458"/>
      <c r="M648" s="1458"/>
      <c r="N648" s="1458"/>
      <c r="O648" s="1458"/>
      <c r="P648" s="1458"/>
      <c r="Q648" s="1458"/>
      <c r="R648" s="1458"/>
      <c r="U648" s="456"/>
    </row>
    <row r="649" spans="1:21" ht="18.75" customHeight="1">
      <c r="A649" s="850"/>
      <c r="F649" s="587"/>
      <c r="G649" s="587"/>
      <c r="H649" s="587"/>
      <c r="I649" s="587"/>
      <c r="J649" s="587"/>
      <c r="K649" s="587"/>
      <c r="L649" s="587"/>
      <c r="M649" s="851"/>
      <c r="N649" s="852"/>
      <c r="O649" s="851"/>
      <c r="P649" s="1459" t="s">
        <v>777</v>
      </c>
      <c r="Q649" s="1459"/>
      <c r="R649" s="1459"/>
      <c r="S649" s="1459"/>
      <c r="T649" s="1459"/>
      <c r="U649" s="1459"/>
    </row>
    <row r="650" spans="1:21" ht="15" customHeight="1">
      <c r="A650" s="849"/>
      <c r="E650" s="1287" t="s">
        <v>778</v>
      </c>
      <c r="F650" s="1287"/>
      <c r="G650" s="1287"/>
      <c r="H650" s="1287"/>
      <c r="I650" s="1287"/>
      <c r="J650" s="1287"/>
      <c r="K650" s="1287"/>
      <c r="L650" s="1287"/>
      <c r="M650" s="1287"/>
      <c r="N650" s="1287"/>
      <c r="O650" s="1287"/>
      <c r="P650" s="1287"/>
      <c r="Q650" s="1287"/>
      <c r="R650" s="1287"/>
      <c r="U650" s="456"/>
    </row>
    <row r="651" spans="1:21" ht="18.75" customHeight="1">
      <c r="A651" s="849"/>
      <c r="E651" s="1286" t="s">
        <v>779</v>
      </c>
      <c r="F651" s="1286"/>
      <c r="G651" s="1286"/>
      <c r="H651" s="1286"/>
      <c r="I651" s="1286"/>
      <c r="J651" s="1286"/>
      <c r="K651" s="1286"/>
      <c r="L651" s="1286"/>
      <c r="M651" s="1286"/>
      <c r="N651" s="1286"/>
      <c r="O651" s="1286"/>
      <c r="P651" s="1286"/>
      <c r="Q651" s="1286"/>
      <c r="R651" s="1286"/>
      <c r="U651" s="853"/>
    </row>
    <row r="652" spans="1:21" ht="23.25" customHeight="1">
      <c r="A652" s="854" t="s">
        <v>780</v>
      </c>
      <c r="B652" s="855"/>
      <c r="C652" s="855"/>
      <c r="D652" s="856" t="s">
        <v>843</v>
      </c>
      <c r="E652" s="857"/>
      <c r="F652" s="858"/>
      <c r="G652" s="859"/>
      <c r="H652" s="859"/>
      <c r="I652" s="859"/>
      <c r="J652" s="859"/>
      <c r="K652" s="859"/>
      <c r="L652" s="860"/>
      <c r="M652" s="1460"/>
      <c r="N652" s="1460"/>
      <c r="O652" s="1460"/>
      <c r="P652" s="1461" t="s">
        <v>781</v>
      </c>
      <c r="Q652" s="1461"/>
      <c r="R652" s="1461"/>
      <c r="S652" s="855"/>
      <c r="T652" s="861">
        <v>46305</v>
      </c>
      <c r="U652" s="456"/>
    </row>
    <row r="653" spans="1:21" ht="23.25" customHeight="1">
      <c r="A653" s="854"/>
      <c r="B653" s="862"/>
      <c r="C653" s="862"/>
      <c r="D653" s="862"/>
      <c r="E653" s="163"/>
      <c r="F653" s="863"/>
      <c r="G653" s="863"/>
      <c r="H653" s="863"/>
      <c r="I653" s="863"/>
      <c r="J653" s="863"/>
      <c r="K653" s="863"/>
      <c r="U653" s="456"/>
    </row>
    <row r="654" spans="1:21" ht="21" customHeight="1">
      <c r="A654" s="864" t="s">
        <v>782</v>
      </c>
      <c r="B654" s="865"/>
      <c r="C654" s="866"/>
      <c r="D654" s="867"/>
      <c r="E654" s="868"/>
      <c r="F654" s="869"/>
      <c r="G654" s="869"/>
      <c r="H654" s="869"/>
      <c r="I654" s="870"/>
      <c r="J654" s="870"/>
      <c r="P654" s="1462"/>
      <c r="Q654" s="1462"/>
      <c r="R654" s="1462"/>
      <c r="S654" s="1462"/>
      <c r="T654" s="871"/>
      <c r="U654" s="456"/>
    </row>
    <row r="655" spans="1:21" ht="21" customHeight="1">
      <c r="A655" s="872"/>
      <c r="B655" s="873"/>
      <c r="C655" s="869"/>
      <c r="D655" s="869"/>
      <c r="E655" s="869"/>
      <c r="F655" s="869"/>
      <c r="G655" s="869"/>
      <c r="H655" s="869"/>
      <c r="I655" s="870"/>
      <c r="J655" s="870"/>
      <c r="U655" s="456"/>
    </row>
    <row r="656" spans="1:21" ht="15" customHeight="1">
      <c r="A656" s="1463" t="s">
        <v>783</v>
      </c>
      <c r="B656" s="1463"/>
      <c r="C656" s="1463"/>
      <c r="D656" s="1463"/>
      <c r="E656" s="1463"/>
      <c r="F656" s="1463"/>
      <c r="G656" s="1463"/>
      <c r="H656" s="1463"/>
      <c r="I656" s="1463"/>
      <c r="J656" s="1463"/>
      <c r="K656" s="1463"/>
      <c r="L656" s="1463"/>
      <c r="M656" s="1463"/>
      <c r="N656" s="1463"/>
      <c r="O656" s="1463"/>
      <c r="P656" s="1463"/>
      <c r="Q656" s="1463"/>
      <c r="R656" s="1463"/>
      <c r="S656" s="1463"/>
      <c r="T656" s="1463"/>
      <c r="U656" s="1463"/>
    </row>
    <row r="657" spans="1:21" ht="15" customHeight="1">
      <c r="A657" s="1463"/>
      <c r="B657" s="1463"/>
      <c r="C657" s="1463"/>
      <c r="D657" s="1463"/>
      <c r="E657" s="1463"/>
      <c r="F657" s="1463"/>
      <c r="G657" s="1463"/>
      <c r="H657" s="1463"/>
      <c r="I657" s="1463"/>
      <c r="J657" s="1463"/>
      <c r="K657" s="1463"/>
      <c r="L657" s="1463"/>
      <c r="M657" s="1463"/>
      <c r="N657" s="1463"/>
      <c r="O657" s="1463"/>
      <c r="P657" s="1463"/>
      <c r="Q657" s="1463"/>
      <c r="R657" s="1463"/>
      <c r="S657" s="1463"/>
      <c r="T657" s="1463"/>
      <c r="U657" s="1463"/>
    </row>
    <row r="658" spans="1:21" ht="18" customHeight="1">
      <c r="A658" s="1464" t="s">
        <v>784</v>
      </c>
      <c r="B658" s="1464"/>
      <c r="C658" s="1464"/>
      <c r="D658" s="1464"/>
      <c r="E658" s="1464"/>
      <c r="F658" s="1464"/>
      <c r="G658" s="1464"/>
      <c r="H658" s="1464"/>
      <c r="I658" s="1464"/>
      <c r="J658" s="1464"/>
      <c r="K658" s="1464"/>
      <c r="L658" s="1464"/>
      <c r="M658" s="1464"/>
      <c r="N658" s="1464"/>
      <c r="O658" s="1464"/>
      <c r="P658" s="1464"/>
      <c r="Q658" s="1464"/>
      <c r="R658" s="1464"/>
      <c r="S658" s="1464"/>
      <c r="T658" s="1464"/>
      <c r="U658" s="1464"/>
    </row>
    <row r="659" spans="1:21" ht="23.25" customHeight="1">
      <c r="A659" s="1465" t="s">
        <v>785</v>
      </c>
      <c r="B659" s="1465"/>
      <c r="C659" s="1465"/>
      <c r="D659" s="1465"/>
      <c r="E659" s="1465"/>
      <c r="F659" s="1465"/>
      <c r="G659" s="1465"/>
      <c r="H659" s="1465"/>
      <c r="I659" s="1465"/>
      <c r="J659" s="1465"/>
      <c r="K659" s="1465"/>
      <c r="L659" s="1465"/>
      <c r="M659" s="1465"/>
      <c r="N659" s="1465"/>
      <c r="O659" s="1465"/>
      <c r="P659" s="1465"/>
      <c r="Q659" s="1465"/>
      <c r="R659" s="1465"/>
      <c r="S659" s="1465"/>
      <c r="T659" s="1465"/>
      <c r="U659" s="1465"/>
    </row>
    <row r="660" spans="1:21" ht="21.75" customHeight="1">
      <c r="A660" s="874"/>
      <c r="B660" s="875"/>
      <c r="C660" s="875"/>
      <c r="D660" s="875"/>
      <c r="E660" s="875"/>
      <c r="F660" s="875"/>
      <c r="G660" s="875"/>
      <c r="H660" s="875"/>
      <c r="I660" s="875"/>
      <c r="J660" s="875"/>
      <c r="K660" s="875"/>
      <c r="L660" s="875"/>
      <c r="M660" s="875"/>
      <c r="N660" s="875"/>
      <c r="O660" s="875"/>
      <c r="P660" s="875"/>
      <c r="Q660" s="875"/>
      <c r="R660" s="875"/>
      <c r="S660" s="875"/>
      <c r="T660" s="875"/>
      <c r="U660" s="876"/>
    </row>
    <row r="661" spans="1:21" ht="15" customHeight="1">
      <c r="A661" s="1466" t="s">
        <v>786</v>
      </c>
      <c r="B661" s="1467" t="s">
        <v>787</v>
      </c>
      <c r="C661" s="1468" t="s">
        <v>788</v>
      </c>
      <c r="D661" s="1468" t="s">
        <v>789</v>
      </c>
      <c r="E661" s="1469" t="s">
        <v>790</v>
      </c>
      <c r="F661" s="1468" t="s">
        <v>791</v>
      </c>
      <c r="G661" s="1468"/>
      <c r="H661" s="1468"/>
      <c r="I661" s="1468"/>
      <c r="J661" s="1468"/>
      <c r="K661" s="1468"/>
      <c r="L661" s="1468"/>
      <c r="M661" s="1468"/>
      <c r="N661" s="1468"/>
      <c r="O661" s="1468"/>
      <c r="P661" s="1470"/>
      <c r="Q661" s="1470"/>
      <c r="R661" s="1470"/>
      <c r="S661" s="1470"/>
      <c r="T661" s="1470"/>
      <c r="U661" s="1470"/>
    </row>
    <row r="662" spans="1:21" ht="15.75" customHeight="1">
      <c r="A662" s="1466"/>
      <c r="B662" s="1467"/>
      <c r="C662" s="1468"/>
      <c r="D662" s="1468"/>
      <c r="E662" s="1469"/>
      <c r="F662" s="1468"/>
      <c r="G662" s="1468"/>
      <c r="H662" s="1468"/>
      <c r="I662" s="1468"/>
      <c r="J662" s="1468"/>
      <c r="K662" s="1468"/>
      <c r="L662" s="1468"/>
      <c r="M662" s="1468"/>
      <c r="N662" s="1468"/>
      <c r="O662" s="1468"/>
      <c r="P662" s="1470"/>
      <c r="Q662" s="1470"/>
      <c r="R662" s="1470"/>
      <c r="S662" s="1470"/>
      <c r="T662" s="1470"/>
      <c r="U662" s="1470"/>
    </row>
    <row r="663" spans="1:21" ht="48" customHeight="1">
      <c r="A663" s="1466"/>
      <c r="B663" s="1467"/>
      <c r="C663" s="1468"/>
      <c r="D663" s="1468"/>
      <c r="E663" s="1469"/>
      <c r="F663" s="878" t="s">
        <v>792</v>
      </c>
      <c r="G663" s="877" t="s">
        <v>793</v>
      </c>
      <c r="H663" s="878" t="s">
        <v>794</v>
      </c>
      <c r="I663" s="879" t="s">
        <v>795</v>
      </c>
      <c r="J663" s="880" t="s">
        <v>796</v>
      </c>
      <c r="K663" s="1468" t="s">
        <v>797</v>
      </c>
      <c r="L663" s="1468"/>
      <c r="M663" s="1468"/>
      <c r="N663" s="1468"/>
      <c r="O663" s="1468"/>
      <c r="P663" s="881" t="s">
        <v>798</v>
      </c>
      <c r="Q663" s="882" t="s">
        <v>799</v>
      </c>
      <c r="R663" s="1469" t="s">
        <v>800</v>
      </c>
      <c r="S663" s="1469"/>
      <c r="T663" s="877" t="s">
        <v>801</v>
      </c>
      <c r="U663" s="879" t="s">
        <v>104</v>
      </c>
    </row>
    <row r="664" spans="1:21" ht="19.5" customHeight="1">
      <c r="A664" s="883"/>
      <c r="B664" s="884" t="str">
        <f>IF('BIS Doc'!AC307=130, "130 × 130", IF('BIS Doc'!AC307=160, "160 × 160", IF('BIS Doc'!AC307=110, "110 × 110", "Value not 130, 160, or 110")))</f>
        <v>Value not 130, 160, or 110</v>
      </c>
      <c r="C664" s="885">
        <f>'BIS Doc'!W307</f>
        <v>0</v>
      </c>
      <c r="D664" s="886"/>
      <c r="E664" s="887">
        <f>'BIS Doc'!AE307</f>
        <v>0</v>
      </c>
      <c r="F664" s="888">
        <f ca="1">'BIS Doc'!F307</f>
        <v>0</v>
      </c>
      <c r="G664" s="888">
        <f ca="1">'BIS Doc'!J307</f>
        <v>0</v>
      </c>
      <c r="H664" s="888">
        <f ca="1">'BIS Doc'!G307</f>
        <v>0.5955624377068075</v>
      </c>
      <c r="I664" s="889">
        <f ca="1">'BIS Doc'!H307</f>
        <v>0</v>
      </c>
      <c r="J664" s="889">
        <f ca="1">'BIS Doc'!I307</f>
        <v>0</v>
      </c>
      <c r="K664" s="1449" t="str">
        <f t="shared" ref="K664:K669" ca="1" si="19">IF(H664&lt;0.6, "IS 14650 CPS 10748/GR2", "IS 14650 CPS 10748/GR3")</f>
        <v>IS 14650 CPS 10748/GR2</v>
      </c>
      <c r="L664" s="1449"/>
      <c r="M664" s="1449"/>
      <c r="N664" s="1449"/>
      <c r="O664" s="1449"/>
      <c r="P664" s="890"/>
      <c r="Q664" s="891"/>
      <c r="R664" s="1449"/>
      <c r="S664" s="1449"/>
      <c r="T664" s="892"/>
      <c r="U664" s="1450" t="s">
        <v>802</v>
      </c>
    </row>
    <row r="665" spans="1:21" ht="19.5" customHeight="1">
      <c r="A665" s="893"/>
      <c r="B665" s="894" t="str">
        <f>IF('BIS Doc'!AC309=130, "130 × 130", IF('BIS Doc'!AC309=160, "160 × 160", IF('BIS Doc'!AC309=110, "110 × 110", "Value not 130, 160, or 110")))</f>
        <v>Value not 130, 160, or 110</v>
      </c>
      <c r="C665" s="895">
        <f>'BIS Doc'!W309</f>
        <v>0</v>
      </c>
      <c r="D665" s="896"/>
      <c r="E665" s="897">
        <f>'BIS Doc'!AE309</f>
        <v>0</v>
      </c>
      <c r="F665" s="898">
        <f ca="1">'BIS Doc'!F309</f>
        <v>0</v>
      </c>
      <c r="G665" s="899">
        <f ca="1">'BIS Doc'!J309</f>
        <v>0</v>
      </c>
      <c r="H665" s="900">
        <f ca="1">'BIS Doc'!G309</f>
        <v>0.56881380274478244</v>
      </c>
      <c r="I665" s="901">
        <f ca="1">'BIS Doc'!H309</f>
        <v>0</v>
      </c>
      <c r="J665" s="901">
        <f ca="1">'BIS Doc'!I309</f>
        <v>0</v>
      </c>
      <c r="K665" s="1451" t="str">
        <f t="shared" ca="1" si="19"/>
        <v>IS 14650 CPS 10748/GR2</v>
      </c>
      <c r="L665" s="1451"/>
      <c r="M665" s="1451"/>
      <c r="N665" s="1451"/>
      <c r="O665" s="1451"/>
      <c r="P665" s="902"/>
      <c r="Q665" s="903"/>
      <c r="R665" s="1451"/>
      <c r="S665" s="1451"/>
      <c r="T665" s="904"/>
      <c r="U665" s="1450"/>
    </row>
    <row r="666" spans="1:21" ht="19.5" customHeight="1">
      <c r="A666" s="864"/>
      <c r="B666" s="894" t="str">
        <f>IF('BIS Doc'!AC311=130, "130 × 130", IF('BIS Doc'!AC311=160, "160 × 160", IF('BIS Doc'!AC311=110, "110 × 110", "Value not 130, 160, or 110")))</f>
        <v>Value not 130, 160, or 110</v>
      </c>
      <c r="C666" s="895">
        <f>'BIS Doc'!W311</f>
        <v>0</v>
      </c>
      <c r="D666" s="896" t="s">
        <v>803</v>
      </c>
      <c r="E666" s="897">
        <f>'BIS Doc'!AE311</f>
        <v>0</v>
      </c>
      <c r="F666" s="898">
        <f ca="1">'BIS Doc'!F311</f>
        <v>0</v>
      </c>
      <c r="G666" s="899">
        <f ca="1">'BIS Doc'!J311</f>
        <v>0</v>
      </c>
      <c r="H666" s="900">
        <f ca="1">'BIS Doc'!G311</f>
        <v>0.53017209387104869</v>
      </c>
      <c r="I666" s="901">
        <f ca="1">'BIS Doc'!H311</f>
        <v>0</v>
      </c>
      <c r="J666" s="901">
        <f ca="1">'BIS Doc'!I311</f>
        <v>0</v>
      </c>
      <c r="K666" s="1451" t="str">
        <f t="shared" ca="1" si="19"/>
        <v>IS 14650 CPS 10748/GR2</v>
      </c>
      <c r="L666" s="1451"/>
      <c r="M666" s="1451"/>
      <c r="N666" s="1451"/>
      <c r="O666" s="1451"/>
      <c r="P666" s="902"/>
      <c r="Q666" s="905"/>
      <c r="R666" s="1451"/>
      <c r="S666" s="1451"/>
      <c r="T666" s="904"/>
      <c r="U666" s="1450"/>
    </row>
    <row r="667" spans="1:21" ht="19.5" customHeight="1">
      <c r="A667" s="864"/>
      <c r="B667" s="894" t="str">
        <f>IF('BIS Doc'!AC313=130, "130 × 130", IF('BIS Doc'!AC313=160, "160 × 160", IF('BIS Doc'!AC313=110, "110 × 110", "Value not 130, 160, or 110")))</f>
        <v>Value not 130, 160, or 110</v>
      </c>
      <c r="C667" s="895">
        <f>'BIS Doc'!W313</f>
        <v>0</v>
      </c>
      <c r="D667" s="896"/>
      <c r="E667" s="897">
        <f>'BIS Doc'!AE313</f>
        <v>0</v>
      </c>
      <c r="F667" s="898">
        <f ca="1">'BIS Doc'!F313</f>
        <v>0</v>
      </c>
      <c r="G667" s="899">
        <f ca="1">'BIS Doc'!J313</f>
        <v>0</v>
      </c>
      <c r="H667" s="900">
        <f ca="1">'BIS Doc'!G313</f>
        <v>0.58497181143456012</v>
      </c>
      <c r="I667" s="901">
        <f ca="1">'BIS Doc'!H313</f>
        <v>0</v>
      </c>
      <c r="J667" s="901">
        <f ca="1">'BIS Doc'!I313</f>
        <v>0</v>
      </c>
      <c r="K667" s="1451" t="str">
        <f t="shared" ca="1" si="19"/>
        <v>IS 14650 CPS 10748/GR2</v>
      </c>
      <c r="L667" s="1451"/>
      <c r="M667" s="1451"/>
      <c r="N667" s="1451"/>
      <c r="O667" s="1451"/>
      <c r="P667" s="902"/>
      <c r="Q667" s="905"/>
      <c r="R667" s="1451"/>
      <c r="S667" s="1451"/>
      <c r="T667" s="904"/>
      <c r="U667" s="1450"/>
    </row>
    <row r="668" spans="1:21" ht="19.5" customHeight="1">
      <c r="A668" s="864"/>
      <c r="B668" s="894" t="str">
        <f>IF('BIS Doc'!AC315=130, "130 × 130", IF('BIS Doc'!AC315=160, "160 × 160", IF('BIS Doc'!AC315=110, "110 × 110", "Value not 130, 160, or 110")))</f>
        <v>Value not 130, 160, or 110</v>
      </c>
      <c r="C668" s="895">
        <f>'BIS Doc'!W315</f>
        <v>0</v>
      </c>
      <c r="D668" s="896"/>
      <c r="E668" s="897">
        <f>'BIS Doc'!AE315</f>
        <v>0</v>
      </c>
      <c r="F668" s="898">
        <f ca="1">'BIS Doc'!F315</f>
        <v>0</v>
      </c>
      <c r="G668" s="899">
        <f ca="1">'BIS Doc'!J315</f>
        <v>0</v>
      </c>
      <c r="H668" s="900">
        <f ca="1">'BIS Doc'!G315</f>
        <v>0.52734488391239875</v>
      </c>
      <c r="I668" s="901">
        <f ca="1">'BIS Doc'!H315</f>
        <v>0</v>
      </c>
      <c r="J668" s="901">
        <f ca="1">'BIS Doc'!I315</f>
        <v>0</v>
      </c>
      <c r="K668" s="1451" t="str">
        <f t="shared" ca="1" si="19"/>
        <v>IS 14650 CPS 10748/GR2</v>
      </c>
      <c r="L668" s="1451"/>
      <c r="M668" s="1451"/>
      <c r="N668" s="1451"/>
      <c r="O668" s="1451"/>
      <c r="P668" s="902"/>
      <c r="Q668" s="905"/>
      <c r="R668" s="1451"/>
      <c r="S668" s="1451"/>
      <c r="T668" s="904"/>
      <c r="U668" s="1450"/>
    </row>
    <row r="669" spans="1:21" ht="19.5" customHeight="1">
      <c r="A669" s="864"/>
      <c r="B669" s="894" t="str">
        <f>IF('BIS Doc'!AC317=130, "130 × 130", IF('BIS Doc'!AC317=160, "160 × 160", IF('BIS Doc'!AC317=110, "110 × 110", "Value not 130, 160, or 110")))</f>
        <v>Value not 130, 160, or 110</v>
      </c>
      <c r="C669" s="895">
        <f>'BIS Doc'!W317</f>
        <v>0</v>
      </c>
      <c r="D669" s="896"/>
      <c r="E669" s="897">
        <f>'BIS Doc'!AE317</f>
        <v>0</v>
      </c>
      <c r="F669" s="898">
        <f ca="1">'BIS Doc'!F317</f>
        <v>0</v>
      </c>
      <c r="G669" s="899">
        <f ca="1">'BIS Doc'!J317</f>
        <v>0</v>
      </c>
      <c r="H669" s="900">
        <f ca="1">'BIS Doc'!G317</f>
        <v>0.52657240723880294</v>
      </c>
      <c r="I669" s="901">
        <f ca="1">'BIS Doc'!H317</f>
        <v>0</v>
      </c>
      <c r="J669" s="901">
        <f ca="1">'BIS Doc'!I317</f>
        <v>0</v>
      </c>
      <c r="K669" s="1451" t="str">
        <f t="shared" ca="1" si="19"/>
        <v>IS 14650 CPS 10748/GR2</v>
      </c>
      <c r="L669" s="1451"/>
      <c r="M669" s="1451"/>
      <c r="N669" s="1451"/>
      <c r="O669" s="1451"/>
      <c r="P669" s="902"/>
      <c r="Q669" s="903"/>
      <c r="R669" s="1451"/>
      <c r="S669" s="1451"/>
      <c r="T669" s="904"/>
      <c r="U669" s="1450"/>
    </row>
    <row r="670" spans="1:21" ht="19.5" customHeight="1">
      <c r="A670" s="864"/>
      <c r="B670" s="904"/>
      <c r="C670" s="895"/>
      <c r="D670" s="896"/>
      <c r="E670" s="897"/>
      <c r="F670" s="906"/>
      <c r="G670" s="907"/>
      <c r="H670" s="908"/>
      <c r="I670" s="909"/>
      <c r="J670" s="909"/>
      <c r="K670" s="1451"/>
      <c r="L670" s="1451"/>
      <c r="M670" s="1451"/>
      <c r="N670" s="1451"/>
      <c r="O670" s="1451"/>
      <c r="P670" s="902"/>
      <c r="Q670" s="903"/>
      <c r="R670" s="1451"/>
      <c r="S670" s="1451"/>
      <c r="T670" s="904"/>
      <c r="U670" s="1450"/>
    </row>
    <row r="671" spans="1:21" ht="19.5" customHeight="1">
      <c r="A671" s="864"/>
      <c r="B671" s="904"/>
      <c r="C671" s="895"/>
      <c r="D671" s="896"/>
      <c r="E671" s="897"/>
      <c r="F671" s="906"/>
      <c r="G671" s="907"/>
      <c r="H671" s="908"/>
      <c r="I671" s="909"/>
      <c r="J671" s="909"/>
      <c r="K671" s="1451"/>
      <c r="L671" s="1451"/>
      <c r="M671" s="1451"/>
      <c r="N671" s="1451"/>
      <c r="O671" s="1451"/>
      <c r="P671" s="902"/>
      <c r="Q671" s="905"/>
      <c r="R671" s="1451"/>
      <c r="S671" s="1451"/>
      <c r="T671" s="904"/>
      <c r="U671" s="1450"/>
    </row>
    <row r="672" spans="1:21" ht="19.5" customHeight="1">
      <c r="A672" s="864"/>
      <c r="B672" s="910"/>
      <c r="C672" s="911"/>
      <c r="D672" s="896"/>
      <c r="E672" s="897"/>
      <c r="F672" s="906"/>
      <c r="G672" s="907"/>
      <c r="H672" s="908"/>
      <c r="I672" s="909"/>
      <c r="J672" s="909"/>
      <c r="K672" s="1451"/>
      <c r="L672" s="1451"/>
      <c r="M672" s="1451"/>
      <c r="N672" s="1451"/>
      <c r="O672" s="1451"/>
      <c r="P672" s="912"/>
      <c r="Q672" s="913"/>
      <c r="R672" s="1452"/>
      <c r="S672" s="1452"/>
      <c r="T672" s="910"/>
      <c r="U672" s="1450"/>
    </row>
    <row r="673" spans="1:21" ht="19.5" customHeight="1">
      <c r="A673" s="914"/>
      <c r="B673" s="915"/>
      <c r="C673" s="916"/>
      <c r="D673" s="917"/>
      <c r="E673" s="918">
        <f>SUM(E664:E669)</f>
        <v>0</v>
      </c>
      <c r="F673" s="919"/>
      <c r="G673" s="920"/>
      <c r="H673" s="921"/>
      <c r="I673" s="922"/>
      <c r="J673" s="922"/>
      <c r="K673" s="1453"/>
      <c r="L673" s="1453"/>
      <c r="M673" s="1453"/>
      <c r="N673" s="1453"/>
      <c r="O673" s="1453"/>
      <c r="P673" s="923"/>
      <c r="Q673" s="924"/>
      <c r="R673" s="1454"/>
      <c r="S673" s="1454"/>
      <c r="T673" s="915"/>
      <c r="U673" s="1450"/>
    </row>
    <row r="674" spans="1:21" ht="15.75" customHeight="1">
      <c r="A674" s="864"/>
      <c r="B674" s="773"/>
      <c r="C674" s="773"/>
      <c r="D674" s="925"/>
      <c r="E674" s="926"/>
      <c r="F674" s="927"/>
      <c r="G674" s="928"/>
      <c r="H674" s="259"/>
      <c r="I674" s="259"/>
      <c r="J674" s="928"/>
      <c r="K674" s="929"/>
      <c r="L674" s="929"/>
      <c r="M674" s="929"/>
      <c r="N674" s="929"/>
      <c r="O674" s="928"/>
      <c r="P674" s="930"/>
      <c r="Q674" s="931"/>
      <c r="R674" s="931"/>
      <c r="U674" s="932"/>
    </row>
    <row r="675" spans="1:21" ht="18.75" customHeight="1">
      <c r="A675" s="864"/>
      <c r="B675" s="773"/>
      <c r="C675" s="773"/>
      <c r="D675" s="773"/>
      <c r="E675" s="773"/>
      <c r="F675" s="773"/>
      <c r="G675" s="773"/>
      <c r="H675" s="773"/>
      <c r="I675" s="773"/>
      <c r="J675" s="773"/>
      <c r="K675" s="773"/>
      <c r="P675" s="1446" t="s">
        <v>804</v>
      </c>
      <c r="Q675" s="1446"/>
      <c r="R675" s="1446"/>
      <c r="S675" s="1446"/>
      <c r="T675" s="1446"/>
      <c r="U675" s="1446"/>
    </row>
    <row r="676" spans="1:21" ht="18.75" customHeight="1">
      <c r="A676" s="1447" t="s">
        <v>805</v>
      </c>
      <c r="B676" s="1447"/>
      <c r="C676" s="933"/>
      <c r="D676" s="933"/>
      <c r="E676" s="933"/>
      <c r="F676" s="933"/>
      <c r="P676" s="855"/>
      <c r="Q676" s="855"/>
      <c r="R676" s="855"/>
      <c r="S676" s="855"/>
      <c r="T676" s="855"/>
      <c r="U676" s="934"/>
    </row>
    <row r="677" spans="1:21" ht="18.75" customHeight="1">
      <c r="A677" s="854"/>
      <c r="B677" s="855"/>
      <c r="P677" s="855"/>
      <c r="Q677" s="855"/>
      <c r="R677" s="855"/>
      <c r="S677" s="855"/>
      <c r="T677" s="855"/>
      <c r="U677" s="934"/>
    </row>
    <row r="678" spans="1:21" ht="18.75" customHeight="1">
      <c r="A678" s="854" t="s">
        <v>806</v>
      </c>
      <c r="B678" s="855"/>
      <c r="C678" s="867"/>
      <c r="D678" s="941"/>
      <c r="E678" s="933"/>
      <c r="F678" s="933"/>
      <c r="P678" s="855"/>
      <c r="Q678" s="855"/>
      <c r="R678" s="855"/>
      <c r="S678" s="855"/>
      <c r="T678" s="855"/>
      <c r="U678" s="934"/>
    </row>
    <row r="679" spans="1:21" ht="18.75" customHeight="1">
      <c r="A679" s="854"/>
      <c r="B679" s="855"/>
      <c r="C679" s="937"/>
      <c r="P679" s="855"/>
      <c r="Q679" s="855"/>
      <c r="R679" s="855"/>
      <c r="S679" s="855"/>
      <c r="T679" s="855"/>
      <c r="U679" s="934"/>
    </row>
    <row r="680" spans="1:21" ht="19.5" customHeight="1">
      <c r="A680" s="938"/>
      <c r="B680" s="939"/>
      <c r="C680" s="940"/>
      <c r="D680" s="453"/>
      <c r="E680" s="453"/>
      <c r="F680" s="453"/>
      <c r="G680" s="453"/>
      <c r="H680" s="453"/>
      <c r="I680" s="453"/>
      <c r="J680" s="453"/>
      <c r="K680" s="453"/>
      <c r="L680" s="453"/>
      <c r="M680" s="453"/>
      <c r="N680" s="453"/>
      <c r="O680" s="453"/>
      <c r="P680" s="1448" t="s">
        <v>807</v>
      </c>
      <c r="Q680" s="1448"/>
      <c r="R680" s="1448"/>
      <c r="S680" s="1448"/>
      <c r="T680" s="1448"/>
      <c r="U680" s="1448"/>
    </row>
    <row r="681" spans="1:21" ht="45.75" customHeight="1">
      <c r="A681" s="1455"/>
      <c r="B681" s="1455"/>
      <c r="C681" s="1455"/>
      <c r="D681" s="847"/>
      <c r="E681" s="1456" t="s">
        <v>774</v>
      </c>
      <c r="F681" s="1456"/>
      <c r="G681" s="1456"/>
      <c r="H681" s="1456"/>
      <c r="I681" s="1456"/>
      <c r="J681" s="1456"/>
      <c r="K681" s="1456"/>
      <c r="L681" s="1456"/>
      <c r="M681" s="1456"/>
      <c r="N681" s="1456"/>
      <c r="O681" s="1456"/>
      <c r="P681" s="1456"/>
      <c r="Q681" s="1456"/>
      <c r="R681" s="1456"/>
      <c r="S681" s="848"/>
      <c r="T681" s="1457" t="s">
        <v>775</v>
      </c>
      <c r="U681" s="1457"/>
    </row>
    <row r="682" spans="1:21" ht="18.75" customHeight="1">
      <c r="A682" s="849"/>
      <c r="E682" s="1458" t="s">
        <v>776</v>
      </c>
      <c r="F682" s="1458"/>
      <c r="G682" s="1458"/>
      <c r="H682" s="1458"/>
      <c r="I682" s="1458"/>
      <c r="J682" s="1458"/>
      <c r="K682" s="1458"/>
      <c r="L682" s="1458"/>
      <c r="M682" s="1458"/>
      <c r="N682" s="1458"/>
      <c r="O682" s="1458"/>
      <c r="P682" s="1458"/>
      <c r="Q682" s="1458"/>
      <c r="R682" s="1458"/>
      <c r="U682" s="456"/>
    </row>
    <row r="683" spans="1:21" ht="18.75" customHeight="1">
      <c r="A683" s="850"/>
      <c r="F683" s="587"/>
      <c r="G683" s="587"/>
      <c r="H683" s="587"/>
      <c r="I683" s="587"/>
      <c r="J683" s="587"/>
      <c r="K683" s="587"/>
      <c r="L683" s="587"/>
      <c r="M683" s="851"/>
      <c r="N683" s="852"/>
      <c r="O683" s="851"/>
      <c r="P683" s="1459" t="s">
        <v>777</v>
      </c>
      <c r="Q683" s="1459"/>
      <c r="R683" s="1459"/>
      <c r="S683" s="1459"/>
      <c r="T683" s="1459"/>
      <c r="U683" s="1459"/>
    </row>
    <row r="684" spans="1:21" ht="15" customHeight="1">
      <c r="A684" s="849"/>
      <c r="E684" s="1287" t="s">
        <v>778</v>
      </c>
      <c r="F684" s="1287"/>
      <c r="G684" s="1287"/>
      <c r="H684" s="1287"/>
      <c r="I684" s="1287"/>
      <c r="J684" s="1287"/>
      <c r="K684" s="1287"/>
      <c r="L684" s="1287"/>
      <c r="M684" s="1287"/>
      <c r="N684" s="1287"/>
      <c r="O684" s="1287"/>
      <c r="P684" s="1287"/>
      <c r="Q684" s="1287"/>
      <c r="R684" s="1287"/>
      <c r="U684" s="456"/>
    </row>
    <row r="685" spans="1:21" ht="18.75" customHeight="1">
      <c r="A685" s="849"/>
      <c r="E685" s="1286" t="s">
        <v>779</v>
      </c>
      <c r="F685" s="1286"/>
      <c r="G685" s="1286"/>
      <c r="H685" s="1286"/>
      <c r="I685" s="1286"/>
      <c r="J685" s="1286"/>
      <c r="K685" s="1286"/>
      <c r="L685" s="1286"/>
      <c r="M685" s="1286"/>
      <c r="N685" s="1286"/>
      <c r="O685" s="1286"/>
      <c r="P685" s="1286"/>
      <c r="Q685" s="1286"/>
      <c r="R685" s="1286"/>
      <c r="U685" s="853"/>
    </row>
    <row r="686" spans="1:21" ht="23.25" customHeight="1">
      <c r="A686" s="854" t="s">
        <v>780</v>
      </c>
      <c r="B686" s="855"/>
      <c r="C686" s="855"/>
      <c r="D686" s="856" t="s">
        <v>844</v>
      </c>
      <c r="E686" s="857"/>
      <c r="F686" s="858"/>
      <c r="G686" s="859"/>
      <c r="H686" s="859"/>
      <c r="I686" s="859"/>
      <c r="J686" s="859"/>
      <c r="K686" s="859"/>
      <c r="L686" s="860"/>
      <c r="M686" s="1460"/>
      <c r="N686" s="1460"/>
      <c r="O686" s="1460"/>
      <c r="P686" s="1461" t="s">
        <v>781</v>
      </c>
      <c r="Q686" s="1461"/>
      <c r="R686" s="1461"/>
      <c r="S686" s="855"/>
      <c r="T686" s="861">
        <v>46306</v>
      </c>
      <c r="U686" s="456"/>
    </row>
    <row r="687" spans="1:21" ht="23.25" customHeight="1">
      <c r="A687" s="854"/>
      <c r="B687" s="862"/>
      <c r="C687" s="862"/>
      <c r="D687" s="862"/>
      <c r="E687" s="163"/>
      <c r="F687" s="863"/>
      <c r="G687" s="863"/>
      <c r="H687" s="863"/>
      <c r="I687" s="863"/>
      <c r="J687" s="863"/>
      <c r="K687" s="863"/>
      <c r="U687" s="456"/>
    </row>
    <row r="688" spans="1:21" ht="21" customHeight="1">
      <c r="A688" s="864" t="s">
        <v>782</v>
      </c>
      <c r="B688" s="865"/>
      <c r="C688" s="866"/>
      <c r="D688" s="867"/>
      <c r="E688" s="868"/>
      <c r="F688" s="869"/>
      <c r="G688" s="869"/>
      <c r="H688" s="869"/>
      <c r="I688" s="870"/>
      <c r="J688" s="870"/>
      <c r="P688" s="1462"/>
      <c r="Q688" s="1462"/>
      <c r="R688" s="1462"/>
      <c r="S688" s="1462"/>
      <c r="T688" s="871"/>
      <c r="U688" s="456"/>
    </row>
    <row r="689" spans="1:21" ht="21" customHeight="1">
      <c r="A689" s="872"/>
      <c r="B689" s="873"/>
      <c r="C689" s="869"/>
      <c r="D689" s="869"/>
      <c r="E689" s="869"/>
      <c r="F689" s="869"/>
      <c r="G689" s="869"/>
      <c r="H689" s="869"/>
      <c r="I689" s="870"/>
      <c r="J689" s="870"/>
      <c r="U689" s="456"/>
    </row>
    <row r="690" spans="1:21" ht="15" customHeight="1">
      <c r="A690" s="1463" t="s">
        <v>783</v>
      </c>
      <c r="B690" s="1463"/>
      <c r="C690" s="1463"/>
      <c r="D690" s="1463"/>
      <c r="E690" s="1463"/>
      <c r="F690" s="1463"/>
      <c r="G690" s="1463"/>
      <c r="H690" s="1463"/>
      <c r="I690" s="1463"/>
      <c r="J690" s="1463"/>
      <c r="K690" s="1463"/>
      <c r="L690" s="1463"/>
      <c r="M690" s="1463"/>
      <c r="N690" s="1463"/>
      <c r="O690" s="1463"/>
      <c r="P690" s="1463"/>
      <c r="Q690" s="1463"/>
      <c r="R690" s="1463"/>
      <c r="S690" s="1463"/>
      <c r="T690" s="1463"/>
      <c r="U690" s="1463"/>
    </row>
    <row r="691" spans="1:21" ht="15" customHeight="1">
      <c r="A691" s="1463"/>
      <c r="B691" s="1463"/>
      <c r="C691" s="1463"/>
      <c r="D691" s="1463"/>
      <c r="E691" s="1463"/>
      <c r="F691" s="1463"/>
      <c r="G691" s="1463"/>
      <c r="H691" s="1463"/>
      <c r="I691" s="1463"/>
      <c r="J691" s="1463"/>
      <c r="K691" s="1463"/>
      <c r="L691" s="1463"/>
      <c r="M691" s="1463"/>
      <c r="N691" s="1463"/>
      <c r="O691" s="1463"/>
      <c r="P691" s="1463"/>
      <c r="Q691" s="1463"/>
      <c r="R691" s="1463"/>
      <c r="S691" s="1463"/>
      <c r="T691" s="1463"/>
      <c r="U691" s="1463"/>
    </row>
    <row r="692" spans="1:21" ht="18" customHeight="1">
      <c r="A692" s="1464" t="s">
        <v>784</v>
      </c>
      <c r="B692" s="1464"/>
      <c r="C692" s="1464"/>
      <c r="D692" s="1464"/>
      <c r="E692" s="1464"/>
      <c r="F692" s="1464"/>
      <c r="G692" s="1464"/>
      <c r="H692" s="1464"/>
      <c r="I692" s="1464"/>
      <c r="J692" s="1464"/>
      <c r="K692" s="1464"/>
      <c r="L692" s="1464"/>
      <c r="M692" s="1464"/>
      <c r="N692" s="1464"/>
      <c r="O692" s="1464"/>
      <c r="P692" s="1464"/>
      <c r="Q692" s="1464"/>
      <c r="R692" s="1464"/>
      <c r="S692" s="1464"/>
      <c r="T692" s="1464"/>
      <c r="U692" s="1464"/>
    </row>
    <row r="693" spans="1:21" ht="23.25" customHeight="1">
      <c r="A693" s="1465" t="s">
        <v>785</v>
      </c>
      <c r="B693" s="1465"/>
      <c r="C693" s="1465"/>
      <c r="D693" s="1465"/>
      <c r="E693" s="1465"/>
      <c r="F693" s="1465"/>
      <c r="G693" s="1465"/>
      <c r="H693" s="1465"/>
      <c r="I693" s="1465"/>
      <c r="J693" s="1465"/>
      <c r="K693" s="1465"/>
      <c r="L693" s="1465"/>
      <c r="M693" s="1465"/>
      <c r="N693" s="1465"/>
      <c r="O693" s="1465"/>
      <c r="P693" s="1465"/>
      <c r="Q693" s="1465"/>
      <c r="R693" s="1465"/>
      <c r="S693" s="1465"/>
      <c r="T693" s="1465"/>
      <c r="U693" s="1465"/>
    </row>
    <row r="694" spans="1:21" ht="21.75" customHeight="1">
      <c r="A694" s="874"/>
      <c r="B694" s="875"/>
      <c r="C694" s="875"/>
      <c r="D694" s="875"/>
      <c r="E694" s="875"/>
      <c r="F694" s="875"/>
      <c r="G694" s="875"/>
      <c r="H694" s="875"/>
      <c r="I694" s="875"/>
      <c r="J694" s="875"/>
      <c r="K694" s="875"/>
      <c r="L694" s="875"/>
      <c r="M694" s="875"/>
      <c r="N694" s="875"/>
      <c r="O694" s="875"/>
      <c r="P694" s="875"/>
      <c r="Q694" s="875"/>
      <c r="R694" s="875"/>
      <c r="S694" s="875"/>
      <c r="T694" s="875"/>
      <c r="U694" s="876"/>
    </row>
    <row r="695" spans="1:21" ht="15" customHeight="1">
      <c r="A695" s="1466" t="s">
        <v>786</v>
      </c>
      <c r="B695" s="1467" t="s">
        <v>787</v>
      </c>
      <c r="C695" s="1468" t="s">
        <v>788</v>
      </c>
      <c r="D695" s="1468" t="s">
        <v>789</v>
      </c>
      <c r="E695" s="1469" t="s">
        <v>790</v>
      </c>
      <c r="F695" s="1468" t="s">
        <v>791</v>
      </c>
      <c r="G695" s="1468"/>
      <c r="H695" s="1468"/>
      <c r="I695" s="1468"/>
      <c r="J695" s="1468"/>
      <c r="K695" s="1468"/>
      <c r="L695" s="1468"/>
      <c r="M695" s="1468"/>
      <c r="N695" s="1468"/>
      <c r="O695" s="1468"/>
      <c r="P695" s="1470"/>
      <c r="Q695" s="1470"/>
      <c r="R695" s="1470"/>
      <c r="S695" s="1470"/>
      <c r="T695" s="1470"/>
      <c r="U695" s="1470"/>
    </row>
    <row r="696" spans="1:21" ht="15.75" customHeight="1">
      <c r="A696" s="1466"/>
      <c r="B696" s="1467"/>
      <c r="C696" s="1468"/>
      <c r="D696" s="1468"/>
      <c r="E696" s="1469"/>
      <c r="F696" s="1468"/>
      <c r="G696" s="1468"/>
      <c r="H696" s="1468"/>
      <c r="I696" s="1468"/>
      <c r="J696" s="1468"/>
      <c r="K696" s="1468"/>
      <c r="L696" s="1468"/>
      <c r="M696" s="1468"/>
      <c r="N696" s="1468"/>
      <c r="O696" s="1468"/>
      <c r="P696" s="1470"/>
      <c r="Q696" s="1470"/>
      <c r="R696" s="1470"/>
      <c r="S696" s="1470"/>
      <c r="T696" s="1470"/>
      <c r="U696" s="1470"/>
    </row>
    <row r="697" spans="1:21" ht="48" customHeight="1">
      <c r="A697" s="1466"/>
      <c r="B697" s="1467"/>
      <c r="C697" s="1468"/>
      <c r="D697" s="1468"/>
      <c r="E697" s="1469"/>
      <c r="F697" s="878" t="s">
        <v>792</v>
      </c>
      <c r="G697" s="877" t="s">
        <v>793</v>
      </c>
      <c r="H697" s="878" t="s">
        <v>794</v>
      </c>
      <c r="I697" s="879" t="s">
        <v>795</v>
      </c>
      <c r="J697" s="880" t="s">
        <v>796</v>
      </c>
      <c r="K697" s="1468" t="s">
        <v>797</v>
      </c>
      <c r="L697" s="1468"/>
      <c r="M697" s="1468"/>
      <c r="N697" s="1468"/>
      <c r="O697" s="1468"/>
      <c r="P697" s="881" t="s">
        <v>798</v>
      </c>
      <c r="Q697" s="882" t="s">
        <v>799</v>
      </c>
      <c r="R697" s="1469" t="s">
        <v>800</v>
      </c>
      <c r="S697" s="1469"/>
      <c r="T697" s="877" t="s">
        <v>801</v>
      </c>
      <c r="U697" s="879" t="s">
        <v>104</v>
      </c>
    </row>
    <row r="698" spans="1:21" ht="19.5" customHeight="1">
      <c r="A698" s="883"/>
      <c r="B698" s="884" t="str">
        <f>IF('BIS Doc'!AC327=130, "130 × 130", IF('BIS Doc'!AC327=160, "160 × 160", IF('BIS Doc'!AC327=110, "110 × 110", "Value not 130, 160, or 110")))</f>
        <v>Value not 130, 160, or 110</v>
      </c>
      <c r="C698" s="885">
        <f>'BIS Doc'!W327</f>
        <v>0</v>
      </c>
      <c r="D698" s="886"/>
      <c r="E698" s="887">
        <f>'BIS Doc'!AE327</f>
        <v>0</v>
      </c>
      <c r="F698" s="888">
        <f ca="1">'BIS Doc'!F327</f>
        <v>0</v>
      </c>
      <c r="G698" s="888">
        <f ca="1">'BIS Doc'!J327</f>
        <v>0</v>
      </c>
      <c r="H698" s="888">
        <f ca="1">'BIS Doc'!G327</f>
        <v>0.54920983944753321</v>
      </c>
      <c r="I698" s="889">
        <f ca="1">'BIS Doc'!H327</f>
        <v>0</v>
      </c>
      <c r="J698" s="889">
        <f ca="1">'BIS Doc'!I327</f>
        <v>0</v>
      </c>
      <c r="K698" s="1449" t="str">
        <f t="shared" ref="K698:K703" ca="1" si="20">IF(H698&lt;0.6, "IS 14650 CPS 10748/GR2", "IS 14650 CPS 10748/GR3")</f>
        <v>IS 14650 CPS 10748/GR2</v>
      </c>
      <c r="L698" s="1449"/>
      <c r="M698" s="1449"/>
      <c r="N698" s="1449"/>
      <c r="O698" s="1449"/>
      <c r="P698" s="890"/>
      <c r="Q698" s="891"/>
      <c r="R698" s="1449"/>
      <c r="S698" s="1449"/>
      <c r="T698" s="892"/>
      <c r="U698" s="1450" t="s">
        <v>802</v>
      </c>
    </row>
    <row r="699" spans="1:21" ht="19.5" customHeight="1">
      <c r="A699" s="893"/>
      <c r="B699" s="894" t="str">
        <f>IF('BIS Doc'!AC329=130, "130 × 130", IF('BIS Doc'!AC329=160, "160 × 160", IF('BIS Doc'!AC329=110, "110 × 110", "Value not 130, 160, or 110")))</f>
        <v>Value not 130, 160, or 110</v>
      </c>
      <c r="C699" s="895">
        <f>'BIS Doc'!W329</f>
        <v>0</v>
      </c>
      <c r="D699" s="896"/>
      <c r="E699" s="897">
        <f>'BIS Doc'!AE329</f>
        <v>0</v>
      </c>
      <c r="F699" s="898">
        <f ca="1">'BIS Doc'!F329</f>
        <v>0</v>
      </c>
      <c r="G699" s="899">
        <f ca="1">'BIS Doc'!J329</f>
        <v>0</v>
      </c>
      <c r="H699" s="900">
        <f ca="1">'BIS Doc'!G329</f>
        <v>0.52121070898839872</v>
      </c>
      <c r="I699" s="901">
        <f ca="1">'BIS Doc'!H329</f>
        <v>0</v>
      </c>
      <c r="J699" s="901">
        <f ca="1">'BIS Doc'!I329</f>
        <v>0</v>
      </c>
      <c r="K699" s="1451" t="str">
        <f t="shared" ca="1" si="20"/>
        <v>IS 14650 CPS 10748/GR2</v>
      </c>
      <c r="L699" s="1451"/>
      <c r="M699" s="1451"/>
      <c r="N699" s="1451"/>
      <c r="O699" s="1451"/>
      <c r="P699" s="902"/>
      <c r="Q699" s="903"/>
      <c r="R699" s="1451"/>
      <c r="S699" s="1451"/>
      <c r="T699" s="904"/>
      <c r="U699" s="1450"/>
    </row>
    <row r="700" spans="1:21" ht="19.5" customHeight="1">
      <c r="A700" s="864"/>
      <c r="B700" s="894" t="str">
        <f>IF('BIS Doc'!AC331=130, "130 × 130", IF('BIS Doc'!AC331=160, "160 × 160", IF('BIS Doc'!AC331=110, "110 × 110", "Value not 130, 160, or 110")))</f>
        <v>Value not 130, 160, or 110</v>
      </c>
      <c r="C700" s="895">
        <f>'BIS Doc'!W331</f>
        <v>0</v>
      </c>
      <c r="D700" s="896" t="s">
        <v>803</v>
      </c>
      <c r="E700" s="897">
        <f>'BIS Doc'!AE331</f>
        <v>0</v>
      </c>
      <c r="F700" s="898">
        <f ca="1">'BIS Doc'!F331</f>
        <v>0</v>
      </c>
      <c r="G700" s="899">
        <f ca="1">'BIS Doc'!J331</f>
        <v>0</v>
      </c>
      <c r="H700" s="900">
        <f ca="1">'BIS Doc'!G331</f>
        <v>0.52239601452584206</v>
      </c>
      <c r="I700" s="901">
        <f ca="1">'BIS Doc'!H331</f>
        <v>0</v>
      </c>
      <c r="J700" s="901">
        <f ca="1">'BIS Doc'!I331</f>
        <v>0</v>
      </c>
      <c r="K700" s="1451" t="str">
        <f t="shared" ca="1" si="20"/>
        <v>IS 14650 CPS 10748/GR2</v>
      </c>
      <c r="L700" s="1451"/>
      <c r="M700" s="1451"/>
      <c r="N700" s="1451"/>
      <c r="O700" s="1451"/>
      <c r="P700" s="902"/>
      <c r="Q700" s="905"/>
      <c r="R700" s="1451"/>
      <c r="S700" s="1451"/>
      <c r="T700" s="904"/>
      <c r="U700" s="1450"/>
    </row>
    <row r="701" spans="1:21" ht="19.5" customHeight="1">
      <c r="A701" s="864"/>
      <c r="B701" s="894" t="str">
        <f>IF('BIS Doc'!AC333=130, "130 × 130", IF('BIS Doc'!AC333=160, "160 × 160", IF('BIS Doc'!AC333=110, "110 × 110", "Value not 130, 160, or 110")))</f>
        <v>Value not 130, 160, or 110</v>
      </c>
      <c r="C701" s="895">
        <f>'BIS Doc'!W333</f>
        <v>0</v>
      </c>
      <c r="D701" s="896"/>
      <c r="E701" s="897">
        <f>'BIS Doc'!AE333</f>
        <v>0</v>
      </c>
      <c r="F701" s="898">
        <f ca="1">'BIS Doc'!F333</f>
        <v>0</v>
      </c>
      <c r="G701" s="899">
        <f ca="1">'BIS Doc'!J333</f>
        <v>0</v>
      </c>
      <c r="H701" s="900">
        <f ca="1">'BIS Doc'!G333</f>
        <v>0.55192161322367339</v>
      </c>
      <c r="I701" s="901">
        <f ca="1">'BIS Doc'!H333</f>
        <v>0</v>
      </c>
      <c r="J701" s="901">
        <f ca="1">'BIS Doc'!I333</f>
        <v>0</v>
      </c>
      <c r="K701" s="1451" t="str">
        <f t="shared" ca="1" si="20"/>
        <v>IS 14650 CPS 10748/GR2</v>
      </c>
      <c r="L701" s="1451"/>
      <c r="M701" s="1451"/>
      <c r="N701" s="1451"/>
      <c r="O701" s="1451"/>
      <c r="P701" s="902"/>
      <c r="Q701" s="905"/>
      <c r="R701" s="1451"/>
      <c r="S701" s="1451"/>
      <c r="T701" s="904"/>
      <c r="U701" s="1450"/>
    </row>
    <row r="702" spans="1:21" ht="19.5" customHeight="1">
      <c r="A702" s="864"/>
      <c r="B702" s="894" t="str">
        <f>IF('BIS Doc'!AC335=130, "130 × 130", IF('BIS Doc'!AC335=160, "160 × 160", IF('BIS Doc'!AC335=110, "110 × 110", "Value not 130, 160, or 110")))</f>
        <v>Value not 130, 160, or 110</v>
      </c>
      <c r="C702" s="895">
        <f>'BIS Doc'!W335</f>
        <v>0</v>
      </c>
      <c r="D702" s="896"/>
      <c r="E702" s="897">
        <f>'BIS Doc'!AE335</f>
        <v>0</v>
      </c>
      <c r="F702" s="898">
        <f ca="1">'BIS Doc'!F335</f>
        <v>0</v>
      </c>
      <c r="G702" s="899">
        <f ca="1">'BIS Doc'!J335</f>
        <v>0</v>
      </c>
      <c r="H702" s="900">
        <f ca="1">'BIS Doc'!G335</f>
        <v>0.52854179628031872</v>
      </c>
      <c r="I702" s="901">
        <f ca="1">'BIS Doc'!H335</f>
        <v>0</v>
      </c>
      <c r="J702" s="901">
        <f ca="1">'BIS Doc'!I335</f>
        <v>0</v>
      </c>
      <c r="K702" s="1451" t="str">
        <f t="shared" ca="1" si="20"/>
        <v>IS 14650 CPS 10748/GR2</v>
      </c>
      <c r="L702" s="1451"/>
      <c r="M702" s="1451"/>
      <c r="N702" s="1451"/>
      <c r="O702" s="1451"/>
      <c r="P702" s="902"/>
      <c r="Q702" s="905"/>
      <c r="R702" s="1451"/>
      <c r="S702" s="1451"/>
      <c r="T702" s="904"/>
      <c r="U702" s="1450"/>
    </row>
    <row r="703" spans="1:21" ht="19.5" customHeight="1">
      <c r="A703" s="864"/>
      <c r="B703" s="894" t="str">
        <f>IF('BIS Doc'!AC337=130, "130 × 130", IF('BIS Doc'!AC337=160, "160 × 160", IF('BIS Doc'!AC337=110, "110 × 110", "Value not 130, 160, or 110")))</f>
        <v>Value not 130, 160, or 110</v>
      </c>
      <c r="C703" s="895">
        <f>'BIS Doc'!W337</f>
        <v>0</v>
      </c>
      <c r="D703" s="896"/>
      <c r="E703" s="897">
        <f>'BIS Doc'!AE337</f>
        <v>0</v>
      </c>
      <c r="F703" s="898">
        <f ca="1">'BIS Doc'!F337</f>
        <v>0</v>
      </c>
      <c r="G703" s="899">
        <f ca="1">'BIS Doc'!J337</f>
        <v>0</v>
      </c>
      <c r="H703" s="900">
        <f ca="1">'BIS Doc'!G337</f>
        <v>0.50404133005669605</v>
      </c>
      <c r="I703" s="901">
        <f ca="1">'BIS Doc'!H337</f>
        <v>0</v>
      </c>
      <c r="J703" s="901">
        <f ca="1">'BIS Doc'!I337</f>
        <v>0</v>
      </c>
      <c r="K703" s="1451" t="str">
        <f t="shared" ca="1" si="20"/>
        <v>IS 14650 CPS 10748/GR2</v>
      </c>
      <c r="L703" s="1451"/>
      <c r="M703" s="1451"/>
      <c r="N703" s="1451"/>
      <c r="O703" s="1451"/>
      <c r="P703" s="902"/>
      <c r="Q703" s="903"/>
      <c r="R703" s="1451"/>
      <c r="S703" s="1451"/>
      <c r="T703" s="904"/>
      <c r="U703" s="1450"/>
    </row>
    <row r="704" spans="1:21" ht="19.5" customHeight="1">
      <c r="A704" s="864"/>
      <c r="B704" s="904"/>
      <c r="C704" s="895"/>
      <c r="D704" s="896"/>
      <c r="E704" s="897"/>
      <c r="F704" s="906"/>
      <c r="G704" s="907"/>
      <c r="H704" s="908"/>
      <c r="I704" s="909"/>
      <c r="J704" s="909"/>
      <c r="K704" s="1451"/>
      <c r="L704" s="1451"/>
      <c r="M704" s="1451"/>
      <c r="N704" s="1451"/>
      <c r="O704" s="1451"/>
      <c r="P704" s="902"/>
      <c r="Q704" s="903"/>
      <c r="R704" s="1451"/>
      <c r="S704" s="1451"/>
      <c r="T704" s="904"/>
      <c r="U704" s="1450"/>
    </row>
    <row r="705" spans="1:21" ht="19.5" customHeight="1">
      <c r="A705" s="864"/>
      <c r="B705" s="904"/>
      <c r="C705" s="895"/>
      <c r="D705" s="896"/>
      <c r="E705" s="897"/>
      <c r="F705" s="906"/>
      <c r="G705" s="907"/>
      <c r="H705" s="908"/>
      <c r="I705" s="909"/>
      <c r="J705" s="909"/>
      <c r="K705" s="1451"/>
      <c r="L705" s="1451"/>
      <c r="M705" s="1451"/>
      <c r="N705" s="1451"/>
      <c r="O705" s="1451"/>
      <c r="P705" s="902"/>
      <c r="Q705" s="905"/>
      <c r="R705" s="1451"/>
      <c r="S705" s="1451"/>
      <c r="T705" s="904"/>
      <c r="U705" s="1450"/>
    </row>
    <row r="706" spans="1:21" ht="19.5" customHeight="1">
      <c r="A706" s="864"/>
      <c r="B706" s="910"/>
      <c r="C706" s="911"/>
      <c r="D706" s="896"/>
      <c r="E706" s="897"/>
      <c r="F706" s="906"/>
      <c r="G706" s="907"/>
      <c r="H706" s="908"/>
      <c r="I706" s="909"/>
      <c r="J706" s="909"/>
      <c r="K706" s="1451"/>
      <c r="L706" s="1451"/>
      <c r="M706" s="1451"/>
      <c r="N706" s="1451"/>
      <c r="O706" s="1451"/>
      <c r="P706" s="912"/>
      <c r="Q706" s="913"/>
      <c r="R706" s="1452"/>
      <c r="S706" s="1452"/>
      <c r="T706" s="910"/>
      <c r="U706" s="1450"/>
    </row>
    <row r="707" spans="1:21" ht="19.5" customHeight="1">
      <c r="A707" s="914"/>
      <c r="B707" s="915"/>
      <c r="C707" s="916"/>
      <c r="D707" s="917"/>
      <c r="E707" s="918">
        <f>SUM(E698:E703)</f>
        <v>0</v>
      </c>
      <c r="F707" s="919"/>
      <c r="G707" s="920"/>
      <c r="H707" s="921"/>
      <c r="I707" s="922"/>
      <c r="J707" s="922"/>
      <c r="K707" s="1453"/>
      <c r="L707" s="1453"/>
      <c r="M707" s="1453"/>
      <c r="N707" s="1453"/>
      <c r="O707" s="1453"/>
      <c r="P707" s="923"/>
      <c r="Q707" s="924"/>
      <c r="R707" s="1454"/>
      <c r="S707" s="1454"/>
      <c r="T707" s="915"/>
      <c r="U707" s="1450"/>
    </row>
    <row r="708" spans="1:21" ht="15.75" customHeight="1">
      <c r="A708" s="864"/>
      <c r="B708" s="773"/>
      <c r="C708" s="773"/>
      <c r="D708" s="925"/>
      <c r="E708" s="926"/>
      <c r="F708" s="927"/>
      <c r="G708" s="928"/>
      <c r="H708" s="259"/>
      <c r="I708" s="259"/>
      <c r="J708" s="928"/>
      <c r="K708" s="929"/>
      <c r="L708" s="929"/>
      <c r="M708" s="929"/>
      <c r="N708" s="929"/>
      <c r="O708" s="928"/>
      <c r="P708" s="930"/>
      <c r="Q708" s="931"/>
      <c r="R708" s="931"/>
      <c r="U708" s="932"/>
    </row>
    <row r="709" spans="1:21" ht="18.75" customHeight="1">
      <c r="A709" s="864"/>
      <c r="B709" s="773"/>
      <c r="C709" s="773"/>
      <c r="D709" s="773"/>
      <c r="E709" s="773"/>
      <c r="F709" s="773"/>
      <c r="G709" s="773"/>
      <c r="H709" s="773"/>
      <c r="I709" s="773"/>
      <c r="J709" s="773"/>
      <c r="K709" s="773"/>
      <c r="P709" s="1446" t="s">
        <v>804</v>
      </c>
      <c r="Q709" s="1446"/>
      <c r="R709" s="1446"/>
      <c r="S709" s="1446"/>
      <c r="T709" s="1446"/>
      <c r="U709" s="1446"/>
    </row>
    <row r="710" spans="1:21" ht="18.75" customHeight="1">
      <c r="A710" s="1447" t="s">
        <v>805</v>
      </c>
      <c r="B710" s="1447"/>
      <c r="C710" s="933"/>
      <c r="D710" s="933"/>
      <c r="E710" s="933"/>
      <c r="F710" s="933"/>
      <c r="P710" s="855"/>
      <c r="Q710" s="855"/>
      <c r="R710" s="855"/>
      <c r="S710" s="855"/>
      <c r="T710" s="855"/>
      <c r="U710" s="934"/>
    </row>
    <row r="711" spans="1:21" ht="18.75" customHeight="1">
      <c r="A711" s="854"/>
      <c r="B711" s="855"/>
      <c r="P711" s="855"/>
      <c r="Q711" s="855"/>
      <c r="R711" s="855"/>
      <c r="S711" s="855"/>
      <c r="T711" s="855"/>
      <c r="U711" s="934"/>
    </row>
    <row r="712" spans="1:21" ht="18.75" customHeight="1">
      <c r="A712" s="854" t="s">
        <v>806</v>
      </c>
      <c r="B712" s="855"/>
      <c r="C712" s="867"/>
      <c r="D712" s="941"/>
      <c r="E712" s="933"/>
      <c r="F712" s="933"/>
      <c r="P712" s="855"/>
      <c r="Q712" s="855"/>
      <c r="R712" s="855"/>
      <c r="S712" s="855"/>
      <c r="T712" s="855"/>
      <c r="U712" s="934"/>
    </row>
    <row r="713" spans="1:21" ht="18.75" customHeight="1">
      <c r="A713" s="854"/>
      <c r="B713" s="855"/>
      <c r="C713" s="937"/>
      <c r="P713" s="855"/>
      <c r="Q713" s="855"/>
      <c r="R713" s="855"/>
      <c r="S713" s="855"/>
      <c r="T713" s="855"/>
      <c r="U713" s="934"/>
    </row>
    <row r="714" spans="1:21" ht="19.5" customHeight="1">
      <c r="A714" s="938"/>
      <c r="B714" s="939"/>
      <c r="C714" s="940"/>
      <c r="D714" s="453"/>
      <c r="E714" s="453"/>
      <c r="F714" s="453"/>
      <c r="G714" s="453"/>
      <c r="H714" s="453"/>
      <c r="I714" s="453"/>
      <c r="J714" s="453"/>
      <c r="K714" s="453"/>
      <c r="L714" s="453"/>
      <c r="M714" s="453"/>
      <c r="N714" s="453"/>
      <c r="O714" s="453"/>
      <c r="P714" s="1448" t="s">
        <v>807</v>
      </c>
      <c r="Q714" s="1448"/>
      <c r="R714" s="1448"/>
      <c r="S714" s="1448"/>
      <c r="T714" s="1448"/>
      <c r="U714" s="1448"/>
    </row>
    <row r="715" spans="1:21" ht="45.75" customHeight="1">
      <c r="A715" s="1455"/>
      <c r="B715" s="1455"/>
      <c r="C715" s="1455"/>
      <c r="D715" s="847"/>
      <c r="E715" s="1456" t="s">
        <v>774</v>
      </c>
      <c r="F715" s="1456"/>
      <c r="G715" s="1456"/>
      <c r="H715" s="1456"/>
      <c r="I715" s="1456"/>
      <c r="J715" s="1456"/>
      <c r="K715" s="1456"/>
      <c r="L715" s="1456"/>
      <c r="M715" s="1456"/>
      <c r="N715" s="1456"/>
      <c r="O715" s="1456"/>
      <c r="P715" s="1456"/>
      <c r="Q715" s="1456"/>
      <c r="R715" s="1456"/>
      <c r="S715" s="848"/>
      <c r="T715" s="1457" t="s">
        <v>775</v>
      </c>
      <c r="U715" s="1457"/>
    </row>
    <row r="716" spans="1:21" ht="18.75" customHeight="1">
      <c r="A716" s="849"/>
      <c r="E716" s="1458" t="s">
        <v>776</v>
      </c>
      <c r="F716" s="1458"/>
      <c r="G716" s="1458"/>
      <c r="H716" s="1458"/>
      <c r="I716" s="1458"/>
      <c r="J716" s="1458"/>
      <c r="K716" s="1458"/>
      <c r="L716" s="1458"/>
      <c r="M716" s="1458"/>
      <c r="N716" s="1458"/>
      <c r="O716" s="1458"/>
      <c r="P716" s="1458"/>
      <c r="Q716" s="1458"/>
      <c r="R716" s="1458"/>
      <c r="U716" s="456"/>
    </row>
    <row r="717" spans="1:21" ht="18.75" customHeight="1">
      <c r="A717" s="850"/>
      <c r="F717" s="587"/>
      <c r="G717" s="587"/>
      <c r="H717" s="587"/>
      <c r="I717" s="587"/>
      <c r="J717" s="587"/>
      <c r="K717" s="587"/>
      <c r="L717" s="587"/>
      <c r="M717" s="851"/>
      <c r="N717" s="852"/>
      <c r="O717" s="851"/>
      <c r="P717" s="1459" t="s">
        <v>777</v>
      </c>
      <c r="Q717" s="1459"/>
      <c r="R717" s="1459"/>
      <c r="S717" s="1459"/>
      <c r="T717" s="1459"/>
      <c r="U717" s="1459"/>
    </row>
    <row r="718" spans="1:21" ht="15" customHeight="1">
      <c r="A718" s="849"/>
      <c r="E718" s="1287" t="s">
        <v>778</v>
      </c>
      <c r="F718" s="1287"/>
      <c r="G718" s="1287"/>
      <c r="H718" s="1287"/>
      <c r="I718" s="1287"/>
      <c r="J718" s="1287"/>
      <c r="K718" s="1287"/>
      <c r="L718" s="1287"/>
      <c r="M718" s="1287"/>
      <c r="N718" s="1287"/>
      <c r="O718" s="1287"/>
      <c r="P718" s="1287"/>
      <c r="Q718" s="1287"/>
      <c r="R718" s="1287"/>
      <c r="U718" s="456"/>
    </row>
    <row r="719" spans="1:21" ht="18.75" customHeight="1">
      <c r="A719" s="849"/>
      <c r="E719" s="1286" t="s">
        <v>779</v>
      </c>
      <c r="F719" s="1286"/>
      <c r="G719" s="1286"/>
      <c r="H719" s="1286"/>
      <c r="I719" s="1286"/>
      <c r="J719" s="1286"/>
      <c r="K719" s="1286"/>
      <c r="L719" s="1286"/>
      <c r="M719" s="1286"/>
      <c r="N719" s="1286"/>
      <c r="O719" s="1286"/>
      <c r="P719" s="1286"/>
      <c r="Q719" s="1286"/>
      <c r="R719" s="1286"/>
      <c r="U719" s="853"/>
    </row>
    <row r="720" spans="1:21" ht="23.25" customHeight="1">
      <c r="A720" s="854" t="s">
        <v>780</v>
      </c>
      <c r="B720" s="855"/>
      <c r="C720" s="855"/>
      <c r="D720" s="856" t="s">
        <v>845</v>
      </c>
      <c r="E720" s="857"/>
      <c r="F720" s="858"/>
      <c r="G720" s="859"/>
      <c r="H720" s="859"/>
      <c r="I720" s="859"/>
      <c r="J720" s="859"/>
      <c r="K720" s="859"/>
      <c r="L720" s="860"/>
      <c r="M720" s="1460"/>
      <c r="N720" s="1460"/>
      <c r="O720" s="1460"/>
      <c r="P720" s="1461" t="s">
        <v>781</v>
      </c>
      <c r="Q720" s="1461"/>
      <c r="R720" s="1461"/>
      <c r="S720" s="855"/>
      <c r="T720" s="861">
        <v>46306</v>
      </c>
      <c r="U720" s="456"/>
    </row>
    <row r="721" spans="1:21" ht="23.25" customHeight="1">
      <c r="A721" s="854"/>
      <c r="B721" s="862"/>
      <c r="C721" s="862"/>
      <c r="D721" s="862"/>
      <c r="E721" s="163"/>
      <c r="F721" s="863"/>
      <c r="G721" s="863"/>
      <c r="H721" s="863"/>
      <c r="I721" s="863"/>
      <c r="J721" s="863"/>
      <c r="K721" s="863"/>
      <c r="U721" s="456"/>
    </row>
    <row r="722" spans="1:21" ht="21" customHeight="1">
      <c r="A722" s="864" t="s">
        <v>782</v>
      </c>
      <c r="B722" s="865"/>
      <c r="C722" s="866"/>
      <c r="D722" s="867"/>
      <c r="E722" s="868"/>
      <c r="F722" s="869"/>
      <c r="G722" s="869"/>
      <c r="H722" s="869"/>
      <c r="I722" s="870"/>
      <c r="J722" s="870"/>
      <c r="P722" s="1462"/>
      <c r="Q722" s="1462"/>
      <c r="R722" s="1462"/>
      <c r="S722" s="1462"/>
      <c r="T722" s="871"/>
      <c r="U722" s="456"/>
    </row>
    <row r="723" spans="1:21" ht="21" customHeight="1">
      <c r="A723" s="872"/>
      <c r="B723" s="873"/>
      <c r="C723" s="869"/>
      <c r="D723" s="869"/>
      <c r="E723" s="869"/>
      <c r="F723" s="869"/>
      <c r="G723" s="869"/>
      <c r="H723" s="869"/>
      <c r="I723" s="870"/>
      <c r="J723" s="870"/>
      <c r="U723" s="456"/>
    </row>
    <row r="724" spans="1:21" ht="15" customHeight="1">
      <c r="A724" s="1463" t="s">
        <v>783</v>
      </c>
      <c r="B724" s="1463"/>
      <c r="C724" s="1463"/>
      <c r="D724" s="1463"/>
      <c r="E724" s="1463"/>
      <c r="F724" s="1463"/>
      <c r="G724" s="1463"/>
      <c r="H724" s="1463"/>
      <c r="I724" s="1463"/>
      <c r="J724" s="1463"/>
      <c r="K724" s="1463"/>
      <c r="L724" s="1463"/>
      <c r="M724" s="1463"/>
      <c r="N724" s="1463"/>
      <c r="O724" s="1463"/>
      <c r="P724" s="1463"/>
      <c r="Q724" s="1463"/>
      <c r="R724" s="1463"/>
      <c r="S724" s="1463"/>
      <c r="T724" s="1463"/>
      <c r="U724" s="1463"/>
    </row>
    <row r="725" spans="1:21" ht="15" customHeight="1">
      <c r="A725" s="1463"/>
      <c r="B725" s="1463"/>
      <c r="C725" s="1463"/>
      <c r="D725" s="1463"/>
      <c r="E725" s="1463"/>
      <c r="F725" s="1463"/>
      <c r="G725" s="1463"/>
      <c r="H725" s="1463"/>
      <c r="I725" s="1463"/>
      <c r="J725" s="1463"/>
      <c r="K725" s="1463"/>
      <c r="L725" s="1463"/>
      <c r="M725" s="1463"/>
      <c r="N725" s="1463"/>
      <c r="O725" s="1463"/>
      <c r="P725" s="1463"/>
      <c r="Q725" s="1463"/>
      <c r="R725" s="1463"/>
      <c r="S725" s="1463"/>
      <c r="T725" s="1463"/>
      <c r="U725" s="1463"/>
    </row>
    <row r="726" spans="1:21" ht="18" customHeight="1">
      <c r="A726" s="1464" t="s">
        <v>784</v>
      </c>
      <c r="B726" s="1464"/>
      <c r="C726" s="1464"/>
      <c r="D726" s="1464"/>
      <c r="E726" s="1464"/>
      <c r="F726" s="1464"/>
      <c r="G726" s="1464"/>
      <c r="H726" s="1464"/>
      <c r="I726" s="1464"/>
      <c r="J726" s="1464"/>
      <c r="K726" s="1464"/>
      <c r="L726" s="1464"/>
      <c r="M726" s="1464"/>
      <c r="N726" s="1464"/>
      <c r="O726" s="1464"/>
      <c r="P726" s="1464"/>
      <c r="Q726" s="1464"/>
      <c r="R726" s="1464"/>
      <c r="S726" s="1464"/>
      <c r="T726" s="1464"/>
      <c r="U726" s="1464"/>
    </row>
    <row r="727" spans="1:21" ht="23.25" customHeight="1">
      <c r="A727" s="1465" t="s">
        <v>785</v>
      </c>
      <c r="B727" s="1465"/>
      <c r="C727" s="1465"/>
      <c r="D727" s="1465"/>
      <c r="E727" s="1465"/>
      <c r="F727" s="1465"/>
      <c r="G727" s="1465"/>
      <c r="H727" s="1465"/>
      <c r="I727" s="1465"/>
      <c r="J727" s="1465"/>
      <c r="K727" s="1465"/>
      <c r="L727" s="1465"/>
      <c r="M727" s="1465"/>
      <c r="N727" s="1465"/>
      <c r="O727" s="1465"/>
      <c r="P727" s="1465"/>
      <c r="Q727" s="1465"/>
      <c r="R727" s="1465"/>
      <c r="S727" s="1465"/>
      <c r="T727" s="1465"/>
      <c r="U727" s="1465"/>
    </row>
    <row r="728" spans="1:21" ht="21.75" customHeight="1">
      <c r="A728" s="874"/>
      <c r="B728" s="875"/>
      <c r="C728" s="875"/>
      <c r="D728" s="875"/>
      <c r="E728" s="875"/>
      <c r="F728" s="875"/>
      <c r="G728" s="875"/>
      <c r="H728" s="875"/>
      <c r="I728" s="875"/>
      <c r="J728" s="875"/>
      <c r="K728" s="875"/>
      <c r="L728" s="875"/>
      <c r="M728" s="875"/>
      <c r="N728" s="875"/>
      <c r="O728" s="875"/>
      <c r="P728" s="875"/>
      <c r="Q728" s="875"/>
      <c r="R728" s="875"/>
      <c r="S728" s="875"/>
      <c r="T728" s="875"/>
      <c r="U728" s="876"/>
    </row>
    <row r="729" spans="1:21" ht="15" customHeight="1">
      <c r="A729" s="1466" t="s">
        <v>786</v>
      </c>
      <c r="B729" s="1467" t="s">
        <v>787</v>
      </c>
      <c r="C729" s="1468" t="s">
        <v>788</v>
      </c>
      <c r="D729" s="1468" t="s">
        <v>789</v>
      </c>
      <c r="E729" s="1469" t="s">
        <v>790</v>
      </c>
      <c r="F729" s="1468" t="s">
        <v>791</v>
      </c>
      <c r="G729" s="1468"/>
      <c r="H729" s="1468"/>
      <c r="I729" s="1468"/>
      <c r="J729" s="1468"/>
      <c r="K729" s="1468"/>
      <c r="L729" s="1468"/>
      <c r="M729" s="1468"/>
      <c r="N729" s="1468"/>
      <c r="O729" s="1468"/>
      <c r="P729" s="1470"/>
      <c r="Q729" s="1470"/>
      <c r="R729" s="1470"/>
      <c r="S729" s="1470"/>
      <c r="T729" s="1470"/>
      <c r="U729" s="1470"/>
    </row>
    <row r="730" spans="1:21" ht="15.75" customHeight="1">
      <c r="A730" s="1466"/>
      <c r="B730" s="1467"/>
      <c r="C730" s="1468"/>
      <c r="D730" s="1468"/>
      <c r="E730" s="1469"/>
      <c r="F730" s="1468"/>
      <c r="G730" s="1468"/>
      <c r="H730" s="1468"/>
      <c r="I730" s="1468"/>
      <c r="J730" s="1468"/>
      <c r="K730" s="1468"/>
      <c r="L730" s="1468"/>
      <c r="M730" s="1468"/>
      <c r="N730" s="1468"/>
      <c r="O730" s="1468"/>
      <c r="P730" s="1470"/>
      <c r="Q730" s="1470"/>
      <c r="R730" s="1470"/>
      <c r="S730" s="1470"/>
      <c r="T730" s="1470"/>
      <c r="U730" s="1470"/>
    </row>
    <row r="731" spans="1:21" ht="48" customHeight="1">
      <c r="A731" s="1466"/>
      <c r="B731" s="1467"/>
      <c r="C731" s="1468"/>
      <c r="D731" s="1468"/>
      <c r="E731" s="1469"/>
      <c r="F731" s="878" t="s">
        <v>792</v>
      </c>
      <c r="G731" s="877" t="s">
        <v>793</v>
      </c>
      <c r="H731" s="878" t="s">
        <v>794</v>
      </c>
      <c r="I731" s="879" t="s">
        <v>795</v>
      </c>
      <c r="J731" s="880" t="s">
        <v>796</v>
      </c>
      <c r="K731" s="1468" t="s">
        <v>797</v>
      </c>
      <c r="L731" s="1468"/>
      <c r="M731" s="1468"/>
      <c r="N731" s="1468"/>
      <c r="O731" s="1468"/>
      <c r="P731" s="881" t="s">
        <v>798</v>
      </c>
      <c r="Q731" s="882" t="s">
        <v>799</v>
      </c>
      <c r="R731" s="1469" t="s">
        <v>800</v>
      </c>
      <c r="S731" s="1469"/>
      <c r="T731" s="877" t="s">
        <v>801</v>
      </c>
      <c r="U731" s="879" t="s">
        <v>104</v>
      </c>
    </row>
    <row r="732" spans="1:21" ht="19.5" customHeight="1">
      <c r="A732" s="883"/>
      <c r="B732" s="884" t="str">
        <f>IF('BIS Doc'!AC339=130, "130 × 130", IF('BIS Doc'!AC339=160, "160 × 160", IF('BIS Doc'!AC339=110, "110 × 110", "Value not 130, 160, or 110")))</f>
        <v>Value not 130, 160, or 110</v>
      </c>
      <c r="C732" s="885">
        <f>'BIS Doc'!W339</f>
        <v>0</v>
      </c>
      <c r="D732" s="886"/>
      <c r="E732" s="887">
        <f>'BIS Doc'!AE339</f>
        <v>0</v>
      </c>
      <c r="F732" s="888">
        <f ca="1">'BIS Doc'!F339</f>
        <v>0</v>
      </c>
      <c r="G732" s="888">
        <f ca="1">'BIS Doc'!J339</f>
        <v>0</v>
      </c>
      <c r="H732" s="888">
        <f ca="1">'BIS Doc'!G339</f>
        <v>0.56018502511268431</v>
      </c>
      <c r="I732" s="889">
        <f ca="1">'BIS Doc'!H339</f>
        <v>0</v>
      </c>
      <c r="J732" s="889">
        <f ca="1">'BIS Doc'!I339</f>
        <v>0</v>
      </c>
      <c r="K732" s="1449" t="str">
        <f t="shared" ref="K732:K737" ca="1" si="21">IF(H732&lt;0.6, "IS 14650 CPS 10748/GR2", "IS 14650 CPS 10748/GR3")</f>
        <v>IS 14650 CPS 10748/GR2</v>
      </c>
      <c r="L732" s="1449"/>
      <c r="M732" s="1449"/>
      <c r="N732" s="1449"/>
      <c r="O732" s="1449"/>
      <c r="P732" s="890"/>
      <c r="Q732" s="891"/>
      <c r="R732" s="1449"/>
      <c r="S732" s="1449"/>
      <c r="T732" s="892"/>
      <c r="U732" s="1450" t="s">
        <v>802</v>
      </c>
    </row>
    <row r="733" spans="1:21" ht="19.5" customHeight="1">
      <c r="A733" s="893"/>
      <c r="B733" s="894" t="str">
        <f>IF('BIS Doc'!AC341=130, "130 × 130", IF('BIS Doc'!AC341=160, "160 × 160", IF('BIS Doc'!AC341=110, "110 × 110", "Value not 130, 160, or 110")))</f>
        <v>Value not 130, 160, or 110</v>
      </c>
      <c r="C733" s="895">
        <f>'BIS Doc'!W341</f>
        <v>0</v>
      </c>
      <c r="D733" s="896"/>
      <c r="E733" s="897">
        <f>'BIS Doc'!AE341</f>
        <v>0</v>
      </c>
      <c r="F733" s="898">
        <f ca="1">'BIS Doc'!F341</f>
        <v>0</v>
      </c>
      <c r="G733" s="899">
        <f ca="1">'BIS Doc'!J341</f>
        <v>0</v>
      </c>
      <c r="H733" s="900">
        <f ca="1">'BIS Doc'!G341</f>
        <v>0.57016122512855771</v>
      </c>
      <c r="I733" s="901">
        <f ca="1">'BIS Doc'!H341</f>
        <v>0</v>
      </c>
      <c r="J733" s="901">
        <f ca="1">'BIS Doc'!I341</f>
        <v>0</v>
      </c>
      <c r="K733" s="1451" t="str">
        <f t="shared" ca="1" si="21"/>
        <v>IS 14650 CPS 10748/GR2</v>
      </c>
      <c r="L733" s="1451"/>
      <c r="M733" s="1451"/>
      <c r="N733" s="1451"/>
      <c r="O733" s="1451"/>
      <c r="P733" s="902"/>
      <c r="Q733" s="903"/>
      <c r="R733" s="1451"/>
      <c r="S733" s="1451"/>
      <c r="T733" s="904"/>
      <c r="U733" s="1450"/>
    </row>
    <row r="734" spans="1:21" ht="19.5" customHeight="1">
      <c r="A734" s="864"/>
      <c r="B734" s="894" t="str">
        <f>IF('BIS Doc'!AC343=130, "130 × 130", IF('BIS Doc'!AC343=160, "160 × 160", IF('BIS Doc'!AC343=110, "110 × 110", "Value not 130, 160, or 110")))</f>
        <v>Value not 130, 160, or 110</v>
      </c>
      <c r="C734" s="895">
        <f>'BIS Doc'!W343</f>
        <v>0</v>
      </c>
      <c r="D734" s="896" t="s">
        <v>803</v>
      </c>
      <c r="E734" s="897">
        <f>'BIS Doc'!AE343</f>
        <v>0</v>
      </c>
      <c r="F734" s="898">
        <f ca="1">'BIS Doc'!F343</f>
        <v>0</v>
      </c>
      <c r="G734" s="899">
        <f ca="1">'BIS Doc'!J343</f>
        <v>0</v>
      </c>
      <c r="H734" s="900">
        <f ca="1">'BIS Doc'!G343</f>
        <v>0.54700038630419667</v>
      </c>
      <c r="I734" s="901">
        <f ca="1">'BIS Doc'!H343</f>
        <v>0</v>
      </c>
      <c r="J734" s="901">
        <f ca="1">'BIS Doc'!I343</f>
        <v>0</v>
      </c>
      <c r="K734" s="1451" t="str">
        <f t="shared" ca="1" si="21"/>
        <v>IS 14650 CPS 10748/GR2</v>
      </c>
      <c r="L734" s="1451"/>
      <c r="M734" s="1451"/>
      <c r="N734" s="1451"/>
      <c r="O734" s="1451"/>
      <c r="P734" s="902"/>
      <c r="Q734" s="905"/>
      <c r="R734" s="1451"/>
      <c r="S734" s="1451"/>
      <c r="T734" s="904"/>
      <c r="U734" s="1450"/>
    </row>
    <row r="735" spans="1:21" ht="19.5" customHeight="1">
      <c r="A735" s="864"/>
      <c r="B735" s="894" t="str">
        <f>IF('BIS Doc'!AC345=130, "130 × 130", IF('BIS Doc'!AC345=160, "160 × 160", IF('BIS Doc'!AC345=110, "110 × 110", "Value not 130, 160, or 110")))</f>
        <v>Value not 130, 160, or 110</v>
      </c>
      <c r="C735" s="895">
        <f>'BIS Doc'!W345</f>
        <v>0</v>
      </c>
      <c r="D735" s="896"/>
      <c r="E735" s="897">
        <f>'BIS Doc'!AE345</f>
        <v>0</v>
      </c>
      <c r="F735" s="898">
        <f ca="1">'BIS Doc'!F345</f>
        <v>0</v>
      </c>
      <c r="G735" s="899">
        <f ca="1">'BIS Doc'!J345</f>
        <v>0</v>
      </c>
      <c r="H735" s="900">
        <f ca="1">'BIS Doc'!G345</f>
        <v>0.52697431758536251</v>
      </c>
      <c r="I735" s="901">
        <f ca="1">'BIS Doc'!H345</f>
        <v>0</v>
      </c>
      <c r="J735" s="901">
        <f ca="1">'BIS Doc'!I345</f>
        <v>0</v>
      </c>
      <c r="K735" s="1451" t="str">
        <f t="shared" ca="1" si="21"/>
        <v>IS 14650 CPS 10748/GR2</v>
      </c>
      <c r="L735" s="1451"/>
      <c r="M735" s="1451"/>
      <c r="N735" s="1451"/>
      <c r="O735" s="1451"/>
      <c r="P735" s="902"/>
      <c r="Q735" s="905"/>
      <c r="R735" s="1451"/>
      <c r="S735" s="1451"/>
      <c r="T735" s="904"/>
      <c r="U735" s="1450"/>
    </row>
    <row r="736" spans="1:21" ht="19.5" customHeight="1">
      <c r="A736" s="864"/>
      <c r="B736" s="894" t="str">
        <f>IF('BIS Doc'!AC347=130, "130 × 130", IF('BIS Doc'!AC347=160, "160 × 160", IF('BIS Doc'!AC347=110, "110 × 110", "Value not 130, 160, or 110")))</f>
        <v>Value not 130, 160, or 110</v>
      </c>
      <c r="C736" s="895">
        <f>'BIS Doc'!W347</f>
        <v>0</v>
      </c>
      <c r="D736" s="896"/>
      <c r="E736" s="897">
        <f>'BIS Doc'!AE347</f>
        <v>0</v>
      </c>
      <c r="F736" s="898">
        <f ca="1">'BIS Doc'!F347</f>
        <v>0</v>
      </c>
      <c r="G736" s="899">
        <f ca="1">'BIS Doc'!J347</f>
        <v>0</v>
      </c>
      <c r="H736" s="900">
        <f ca="1">'BIS Doc'!G347</f>
        <v>0.54527025311814581</v>
      </c>
      <c r="I736" s="901">
        <f ca="1">'BIS Doc'!H347</f>
        <v>0</v>
      </c>
      <c r="J736" s="901">
        <f ca="1">'BIS Doc'!I347</f>
        <v>0</v>
      </c>
      <c r="K736" s="1451" t="str">
        <f t="shared" ca="1" si="21"/>
        <v>IS 14650 CPS 10748/GR2</v>
      </c>
      <c r="L736" s="1451"/>
      <c r="M736" s="1451"/>
      <c r="N736" s="1451"/>
      <c r="O736" s="1451"/>
      <c r="P736" s="902"/>
      <c r="Q736" s="905"/>
      <c r="R736" s="1451"/>
      <c r="S736" s="1451"/>
      <c r="T736" s="904"/>
      <c r="U736" s="1450"/>
    </row>
    <row r="737" spans="1:21" ht="19.5" customHeight="1">
      <c r="A737" s="864"/>
      <c r="B737" s="894" t="str">
        <f>IF('BIS Doc'!AC349=130, "130 × 130", IF('BIS Doc'!AC349=160, "160 × 160", IF('BIS Doc'!AC349=110, "110 × 110", "Value not 130, 160, or 110")))</f>
        <v>Value not 130, 160, or 110</v>
      </c>
      <c r="C737" s="895">
        <f>'BIS Doc'!W349</f>
        <v>0</v>
      </c>
      <c r="D737" s="896"/>
      <c r="E737" s="897">
        <f>'BIS Doc'!AE349</f>
        <v>0</v>
      </c>
      <c r="F737" s="898">
        <f ca="1">'BIS Doc'!F349</f>
        <v>0</v>
      </c>
      <c r="G737" s="899">
        <f ca="1">'BIS Doc'!J349</f>
        <v>0</v>
      </c>
      <c r="H737" s="900">
        <f ca="1">'BIS Doc'!G349</f>
        <v>0.55899192232488171</v>
      </c>
      <c r="I737" s="901">
        <f ca="1">'BIS Doc'!H349</f>
        <v>0</v>
      </c>
      <c r="J737" s="901">
        <f ca="1">'BIS Doc'!I349</f>
        <v>0</v>
      </c>
      <c r="K737" s="1451" t="str">
        <f t="shared" ca="1" si="21"/>
        <v>IS 14650 CPS 10748/GR2</v>
      </c>
      <c r="L737" s="1451"/>
      <c r="M737" s="1451"/>
      <c r="N737" s="1451"/>
      <c r="O737" s="1451"/>
      <c r="P737" s="902"/>
      <c r="Q737" s="903"/>
      <c r="R737" s="1451"/>
      <c r="S737" s="1451"/>
      <c r="T737" s="904"/>
      <c r="U737" s="1450"/>
    </row>
    <row r="738" spans="1:21" ht="19.5" customHeight="1">
      <c r="A738" s="864"/>
      <c r="B738" s="904"/>
      <c r="C738" s="895"/>
      <c r="D738" s="896"/>
      <c r="E738" s="897"/>
      <c r="F738" s="906"/>
      <c r="G738" s="907"/>
      <c r="H738" s="908"/>
      <c r="I738" s="909"/>
      <c r="J738" s="909"/>
      <c r="K738" s="1451"/>
      <c r="L738" s="1451"/>
      <c r="M738" s="1451"/>
      <c r="N738" s="1451"/>
      <c r="O738" s="1451"/>
      <c r="P738" s="902"/>
      <c r="Q738" s="903"/>
      <c r="R738" s="1451"/>
      <c r="S738" s="1451"/>
      <c r="T738" s="904"/>
      <c r="U738" s="1450"/>
    </row>
    <row r="739" spans="1:21" ht="19.5" customHeight="1">
      <c r="A739" s="864"/>
      <c r="B739" s="904"/>
      <c r="C739" s="895"/>
      <c r="D739" s="896"/>
      <c r="E739" s="897"/>
      <c r="F739" s="906"/>
      <c r="G739" s="907"/>
      <c r="H739" s="908"/>
      <c r="I739" s="909"/>
      <c r="J739" s="909"/>
      <c r="K739" s="1451"/>
      <c r="L739" s="1451"/>
      <c r="M739" s="1451"/>
      <c r="N739" s="1451"/>
      <c r="O739" s="1451"/>
      <c r="P739" s="902"/>
      <c r="Q739" s="905"/>
      <c r="R739" s="1451"/>
      <c r="S739" s="1451"/>
      <c r="T739" s="904"/>
      <c r="U739" s="1450"/>
    </row>
    <row r="740" spans="1:21" ht="19.5" customHeight="1">
      <c r="A740" s="864"/>
      <c r="B740" s="910"/>
      <c r="C740" s="911"/>
      <c r="D740" s="896"/>
      <c r="E740" s="897"/>
      <c r="F740" s="906"/>
      <c r="G740" s="907"/>
      <c r="H740" s="908"/>
      <c r="I740" s="909"/>
      <c r="J740" s="909"/>
      <c r="K740" s="1451"/>
      <c r="L740" s="1451"/>
      <c r="M740" s="1451"/>
      <c r="N740" s="1451"/>
      <c r="O740" s="1451"/>
      <c r="P740" s="912"/>
      <c r="Q740" s="913"/>
      <c r="R740" s="1452"/>
      <c r="S740" s="1452"/>
      <c r="T740" s="910"/>
      <c r="U740" s="1450"/>
    </row>
    <row r="741" spans="1:21" ht="19.5" customHeight="1">
      <c r="A741" s="914"/>
      <c r="B741" s="915"/>
      <c r="C741" s="916"/>
      <c r="D741" s="917"/>
      <c r="E741" s="918">
        <f>SUM(E732:E737)</f>
        <v>0</v>
      </c>
      <c r="F741" s="919"/>
      <c r="G741" s="920"/>
      <c r="H741" s="921"/>
      <c r="I741" s="922"/>
      <c r="J741" s="922"/>
      <c r="K741" s="1453"/>
      <c r="L741" s="1453"/>
      <c r="M741" s="1453"/>
      <c r="N741" s="1453"/>
      <c r="O741" s="1453"/>
      <c r="P741" s="923"/>
      <c r="Q741" s="924"/>
      <c r="R741" s="1454"/>
      <c r="S741" s="1454"/>
      <c r="T741" s="915"/>
      <c r="U741" s="1450"/>
    </row>
    <row r="742" spans="1:21" ht="15.75" customHeight="1">
      <c r="A742" s="864"/>
      <c r="B742" s="773"/>
      <c r="C742" s="773"/>
      <c r="D742" s="925"/>
      <c r="E742" s="926"/>
      <c r="F742" s="927"/>
      <c r="G742" s="928"/>
      <c r="H742" s="259"/>
      <c r="I742" s="259"/>
      <c r="J742" s="928"/>
      <c r="K742" s="929"/>
      <c r="L742" s="929"/>
      <c r="M742" s="929"/>
      <c r="N742" s="929"/>
      <c r="O742" s="928"/>
      <c r="P742" s="930"/>
      <c r="Q742" s="931"/>
      <c r="R742" s="931"/>
      <c r="U742" s="932"/>
    </row>
    <row r="743" spans="1:21" ht="18.75" customHeight="1">
      <c r="A743" s="864"/>
      <c r="B743" s="773"/>
      <c r="C743" s="773"/>
      <c r="D743" s="773"/>
      <c r="E743" s="773"/>
      <c r="F743" s="773"/>
      <c r="G743" s="773"/>
      <c r="H743" s="773"/>
      <c r="I743" s="773"/>
      <c r="J743" s="773"/>
      <c r="K743" s="773"/>
      <c r="P743" s="1446" t="s">
        <v>804</v>
      </c>
      <c r="Q743" s="1446"/>
      <c r="R743" s="1446"/>
      <c r="S743" s="1446"/>
      <c r="T743" s="1446"/>
      <c r="U743" s="1446"/>
    </row>
    <row r="744" spans="1:21" ht="18.75" customHeight="1">
      <c r="A744" s="1447" t="s">
        <v>805</v>
      </c>
      <c r="B744" s="1447"/>
      <c r="C744" s="933"/>
      <c r="D744" s="933"/>
      <c r="E744" s="933"/>
      <c r="F744" s="933"/>
      <c r="P744" s="855"/>
      <c r="Q744" s="855"/>
      <c r="R744" s="855"/>
      <c r="S744" s="855"/>
      <c r="T744" s="855"/>
      <c r="U744" s="934"/>
    </row>
    <row r="745" spans="1:21" ht="18.75" customHeight="1">
      <c r="A745" s="854"/>
      <c r="B745" s="855"/>
      <c r="P745" s="855"/>
      <c r="Q745" s="855"/>
      <c r="R745" s="855"/>
      <c r="S745" s="855"/>
      <c r="T745" s="855"/>
      <c r="U745" s="934"/>
    </row>
    <row r="746" spans="1:21" ht="18.75" customHeight="1">
      <c r="A746" s="854" t="s">
        <v>806</v>
      </c>
      <c r="B746" s="855"/>
      <c r="C746" s="867"/>
      <c r="D746" s="941"/>
      <c r="E746" s="933"/>
      <c r="F746" s="933"/>
      <c r="P746" s="855"/>
      <c r="Q746" s="855"/>
      <c r="R746" s="855"/>
      <c r="S746" s="855"/>
      <c r="T746" s="855"/>
      <c r="U746" s="934"/>
    </row>
    <row r="747" spans="1:21" ht="18.75" customHeight="1">
      <c r="A747" s="854"/>
      <c r="B747" s="855"/>
      <c r="C747" s="937"/>
      <c r="P747" s="855"/>
      <c r="Q747" s="855"/>
      <c r="R747" s="855"/>
      <c r="S747" s="855"/>
      <c r="T747" s="855"/>
      <c r="U747" s="934"/>
    </row>
    <row r="748" spans="1:21" ht="19.5" customHeight="1">
      <c r="A748" s="938"/>
      <c r="B748" s="939"/>
      <c r="C748" s="940"/>
      <c r="D748" s="453"/>
      <c r="E748" s="453"/>
      <c r="F748" s="453"/>
      <c r="G748" s="453"/>
      <c r="H748" s="453"/>
      <c r="I748" s="453"/>
      <c r="J748" s="453"/>
      <c r="K748" s="453"/>
      <c r="L748" s="453"/>
      <c r="M748" s="453"/>
      <c r="N748" s="453"/>
      <c r="O748" s="453"/>
      <c r="P748" s="1448" t="s">
        <v>807</v>
      </c>
      <c r="Q748" s="1448"/>
      <c r="R748" s="1448"/>
      <c r="S748" s="1448"/>
      <c r="T748" s="1448"/>
      <c r="U748" s="1448"/>
    </row>
    <row r="749" spans="1:21" ht="45.75" customHeight="1">
      <c r="A749" s="1455"/>
      <c r="B749" s="1455"/>
      <c r="C749" s="1455"/>
      <c r="D749" s="847"/>
      <c r="E749" s="1456" t="s">
        <v>774</v>
      </c>
      <c r="F749" s="1456"/>
      <c r="G749" s="1456"/>
      <c r="H749" s="1456"/>
      <c r="I749" s="1456"/>
      <c r="J749" s="1456"/>
      <c r="K749" s="1456"/>
      <c r="L749" s="1456"/>
      <c r="M749" s="1456"/>
      <c r="N749" s="1456"/>
      <c r="O749" s="1456"/>
      <c r="P749" s="1456"/>
      <c r="Q749" s="1456"/>
      <c r="R749" s="1456"/>
      <c r="S749" s="848"/>
      <c r="T749" s="1457" t="s">
        <v>775</v>
      </c>
      <c r="U749" s="1457"/>
    </row>
    <row r="750" spans="1:21" ht="18.75" customHeight="1">
      <c r="A750" s="849"/>
      <c r="E750" s="1458" t="s">
        <v>776</v>
      </c>
      <c r="F750" s="1458"/>
      <c r="G750" s="1458"/>
      <c r="H750" s="1458"/>
      <c r="I750" s="1458"/>
      <c r="J750" s="1458"/>
      <c r="K750" s="1458"/>
      <c r="L750" s="1458"/>
      <c r="M750" s="1458"/>
      <c r="N750" s="1458"/>
      <c r="O750" s="1458"/>
      <c r="P750" s="1458"/>
      <c r="Q750" s="1458"/>
      <c r="R750" s="1458"/>
      <c r="U750" s="456"/>
    </row>
    <row r="751" spans="1:21" ht="18.75" customHeight="1">
      <c r="A751" s="850"/>
      <c r="F751" s="587"/>
      <c r="G751" s="587"/>
      <c r="H751" s="587"/>
      <c r="I751" s="587"/>
      <c r="J751" s="587"/>
      <c r="K751" s="587"/>
      <c r="L751" s="587"/>
      <c r="M751" s="851"/>
      <c r="N751" s="852"/>
      <c r="O751" s="851"/>
      <c r="P751" s="1459" t="s">
        <v>777</v>
      </c>
      <c r="Q751" s="1459"/>
      <c r="R751" s="1459"/>
      <c r="S751" s="1459"/>
      <c r="T751" s="1459"/>
      <c r="U751" s="1459"/>
    </row>
    <row r="752" spans="1:21" ht="15" customHeight="1">
      <c r="A752" s="849"/>
      <c r="E752" s="1287" t="s">
        <v>778</v>
      </c>
      <c r="F752" s="1287"/>
      <c r="G752" s="1287"/>
      <c r="H752" s="1287"/>
      <c r="I752" s="1287"/>
      <c r="J752" s="1287"/>
      <c r="K752" s="1287"/>
      <c r="L752" s="1287"/>
      <c r="M752" s="1287"/>
      <c r="N752" s="1287"/>
      <c r="O752" s="1287"/>
      <c r="P752" s="1287"/>
      <c r="Q752" s="1287"/>
      <c r="R752" s="1287"/>
      <c r="U752" s="456"/>
    </row>
    <row r="753" spans="1:21" ht="18.75" customHeight="1">
      <c r="A753" s="849"/>
      <c r="E753" s="1286" t="s">
        <v>779</v>
      </c>
      <c r="F753" s="1286"/>
      <c r="G753" s="1286"/>
      <c r="H753" s="1286"/>
      <c r="I753" s="1286"/>
      <c r="J753" s="1286"/>
      <c r="K753" s="1286"/>
      <c r="L753" s="1286"/>
      <c r="M753" s="1286"/>
      <c r="N753" s="1286"/>
      <c r="O753" s="1286"/>
      <c r="P753" s="1286"/>
      <c r="Q753" s="1286"/>
      <c r="R753" s="1286"/>
      <c r="U753" s="853"/>
    </row>
    <row r="754" spans="1:21" ht="23.25" customHeight="1">
      <c r="A754" s="854" t="s">
        <v>780</v>
      </c>
      <c r="B754" s="855"/>
      <c r="C754" s="855"/>
      <c r="D754" s="856" t="s">
        <v>846</v>
      </c>
      <c r="E754" s="857"/>
      <c r="F754" s="858"/>
      <c r="G754" s="859"/>
      <c r="H754" s="859"/>
      <c r="I754" s="859"/>
      <c r="J754" s="859"/>
      <c r="K754" s="859"/>
      <c r="L754" s="860"/>
      <c r="M754" s="1460"/>
      <c r="N754" s="1460"/>
      <c r="O754" s="1460"/>
      <c r="P754" s="1461" t="s">
        <v>781</v>
      </c>
      <c r="Q754" s="1461"/>
      <c r="R754" s="1461"/>
      <c r="S754" s="855"/>
      <c r="T754" s="861">
        <v>46307</v>
      </c>
      <c r="U754" s="456"/>
    </row>
    <row r="755" spans="1:21" ht="23.25" customHeight="1">
      <c r="A755" s="854"/>
      <c r="B755" s="862"/>
      <c r="C755" s="862"/>
      <c r="D755" s="862"/>
      <c r="E755" s="163"/>
      <c r="F755" s="863"/>
      <c r="G755" s="863"/>
      <c r="H755" s="863"/>
      <c r="I755" s="863"/>
      <c r="J755" s="863"/>
      <c r="K755" s="863"/>
      <c r="U755" s="456"/>
    </row>
    <row r="756" spans="1:21" ht="21" customHeight="1">
      <c r="A756" s="864" t="s">
        <v>782</v>
      </c>
      <c r="B756" s="865"/>
      <c r="C756" s="866"/>
      <c r="D756" s="867"/>
      <c r="E756" s="868"/>
      <c r="F756" s="869"/>
      <c r="G756" s="869"/>
      <c r="H756" s="869"/>
      <c r="I756" s="870"/>
      <c r="J756" s="870"/>
      <c r="P756" s="1462"/>
      <c r="Q756" s="1462"/>
      <c r="R756" s="1462"/>
      <c r="S756" s="1462"/>
      <c r="T756" s="871"/>
      <c r="U756" s="456"/>
    </row>
    <row r="757" spans="1:21" ht="21" customHeight="1">
      <c r="A757" s="872"/>
      <c r="B757" s="873"/>
      <c r="C757" s="869"/>
      <c r="D757" s="869"/>
      <c r="E757" s="869"/>
      <c r="F757" s="869"/>
      <c r="G757" s="869"/>
      <c r="H757" s="869"/>
      <c r="I757" s="870"/>
      <c r="J757" s="870"/>
      <c r="U757" s="456"/>
    </row>
    <row r="758" spans="1:21" ht="15" customHeight="1">
      <c r="A758" s="1463" t="s">
        <v>783</v>
      </c>
      <c r="B758" s="1463"/>
      <c r="C758" s="1463"/>
      <c r="D758" s="1463"/>
      <c r="E758" s="1463"/>
      <c r="F758" s="1463"/>
      <c r="G758" s="1463"/>
      <c r="H758" s="1463"/>
      <c r="I758" s="1463"/>
      <c r="J758" s="1463"/>
      <c r="K758" s="1463"/>
      <c r="L758" s="1463"/>
      <c r="M758" s="1463"/>
      <c r="N758" s="1463"/>
      <c r="O758" s="1463"/>
      <c r="P758" s="1463"/>
      <c r="Q758" s="1463"/>
      <c r="R758" s="1463"/>
      <c r="S758" s="1463"/>
      <c r="T758" s="1463"/>
      <c r="U758" s="1463"/>
    </row>
    <row r="759" spans="1:21" ht="15" customHeight="1">
      <c r="A759" s="1463"/>
      <c r="B759" s="1463"/>
      <c r="C759" s="1463"/>
      <c r="D759" s="1463"/>
      <c r="E759" s="1463"/>
      <c r="F759" s="1463"/>
      <c r="G759" s="1463"/>
      <c r="H759" s="1463"/>
      <c r="I759" s="1463"/>
      <c r="J759" s="1463"/>
      <c r="K759" s="1463"/>
      <c r="L759" s="1463"/>
      <c r="M759" s="1463"/>
      <c r="N759" s="1463"/>
      <c r="O759" s="1463"/>
      <c r="P759" s="1463"/>
      <c r="Q759" s="1463"/>
      <c r="R759" s="1463"/>
      <c r="S759" s="1463"/>
      <c r="T759" s="1463"/>
      <c r="U759" s="1463"/>
    </row>
    <row r="760" spans="1:21" ht="18" customHeight="1">
      <c r="A760" s="1464" t="s">
        <v>784</v>
      </c>
      <c r="B760" s="1464"/>
      <c r="C760" s="1464"/>
      <c r="D760" s="1464"/>
      <c r="E760" s="1464"/>
      <c r="F760" s="1464"/>
      <c r="G760" s="1464"/>
      <c r="H760" s="1464"/>
      <c r="I760" s="1464"/>
      <c r="J760" s="1464"/>
      <c r="K760" s="1464"/>
      <c r="L760" s="1464"/>
      <c r="M760" s="1464"/>
      <c r="N760" s="1464"/>
      <c r="O760" s="1464"/>
      <c r="P760" s="1464"/>
      <c r="Q760" s="1464"/>
      <c r="R760" s="1464"/>
      <c r="S760" s="1464"/>
      <c r="T760" s="1464"/>
      <c r="U760" s="1464"/>
    </row>
    <row r="761" spans="1:21" ht="23.25" customHeight="1">
      <c r="A761" s="1465" t="s">
        <v>785</v>
      </c>
      <c r="B761" s="1465"/>
      <c r="C761" s="1465"/>
      <c r="D761" s="1465"/>
      <c r="E761" s="1465"/>
      <c r="F761" s="1465"/>
      <c r="G761" s="1465"/>
      <c r="H761" s="1465"/>
      <c r="I761" s="1465"/>
      <c r="J761" s="1465"/>
      <c r="K761" s="1465"/>
      <c r="L761" s="1465"/>
      <c r="M761" s="1465"/>
      <c r="N761" s="1465"/>
      <c r="O761" s="1465"/>
      <c r="P761" s="1465"/>
      <c r="Q761" s="1465"/>
      <c r="R761" s="1465"/>
      <c r="S761" s="1465"/>
      <c r="T761" s="1465"/>
      <c r="U761" s="1465"/>
    </row>
    <row r="762" spans="1:21" ht="21.75" customHeight="1">
      <c r="A762" s="874"/>
      <c r="B762" s="875"/>
      <c r="C762" s="875"/>
      <c r="D762" s="875"/>
      <c r="E762" s="875"/>
      <c r="F762" s="875"/>
      <c r="G762" s="875"/>
      <c r="H762" s="875"/>
      <c r="I762" s="875"/>
      <c r="J762" s="875"/>
      <c r="K762" s="875"/>
      <c r="L762" s="875"/>
      <c r="M762" s="875"/>
      <c r="N762" s="875"/>
      <c r="O762" s="875"/>
      <c r="P762" s="875"/>
      <c r="Q762" s="875"/>
      <c r="R762" s="875"/>
      <c r="S762" s="875"/>
      <c r="T762" s="875"/>
      <c r="U762" s="876"/>
    </row>
    <row r="763" spans="1:21" ht="15" customHeight="1">
      <c r="A763" s="1466" t="s">
        <v>786</v>
      </c>
      <c r="B763" s="1467" t="s">
        <v>787</v>
      </c>
      <c r="C763" s="1468" t="s">
        <v>788</v>
      </c>
      <c r="D763" s="1468" t="s">
        <v>789</v>
      </c>
      <c r="E763" s="1469" t="s">
        <v>790</v>
      </c>
      <c r="F763" s="1468" t="s">
        <v>791</v>
      </c>
      <c r="G763" s="1468"/>
      <c r="H763" s="1468"/>
      <c r="I763" s="1468"/>
      <c r="J763" s="1468"/>
      <c r="K763" s="1468"/>
      <c r="L763" s="1468"/>
      <c r="M763" s="1468"/>
      <c r="N763" s="1468"/>
      <c r="O763" s="1468"/>
      <c r="P763" s="1470"/>
      <c r="Q763" s="1470"/>
      <c r="R763" s="1470"/>
      <c r="S763" s="1470"/>
      <c r="T763" s="1470"/>
      <c r="U763" s="1470"/>
    </row>
    <row r="764" spans="1:21" ht="15.75" customHeight="1">
      <c r="A764" s="1466"/>
      <c r="B764" s="1467"/>
      <c r="C764" s="1468"/>
      <c r="D764" s="1468"/>
      <c r="E764" s="1469"/>
      <c r="F764" s="1468"/>
      <c r="G764" s="1468"/>
      <c r="H764" s="1468"/>
      <c r="I764" s="1468"/>
      <c r="J764" s="1468"/>
      <c r="K764" s="1468"/>
      <c r="L764" s="1468"/>
      <c r="M764" s="1468"/>
      <c r="N764" s="1468"/>
      <c r="O764" s="1468"/>
      <c r="P764" s="1470"/>
      <c r="Q764" s="1470"/>
      <c r="R764" s="1470"/>
      <c r="S764" s="1470"/>
      <c r="T764" s="1470"/>
      <c r="U764" s="1470"/>
    </row>
    <row r="765" spans="1:21" ht="48" customHeight="1">
      <c r="A765" s="1466"/>
      <c r="B765" s="1467"/>
      <c r="C765" s="1468"/>
      <c r="D765" s="1468"/>
      <c r="E765" s="1469"/>
      <c r="F765" s="878" t="s">
        <v>792</v>
      </c>
      <c r="G765" s="877" t="s">
        <v>793</v>
      </c>
      <c r="H765" s="878" t="s">
        <v>794</v>
      </c>
      <c r="I765" s="879" t="s">
        <v>795</v>
      </c>
      <c r="J765" s="880" t="s">
        <v>796</v>
      </c>
      <c r="K765" s="1468" t="s">
        <v>797</v>
      </c>
      <c r="L765" s="1468"/>
      <c r="M765" s="1468"/>
      <c r="N765" s="1468"/>
      <c r="O765" s="1468"/>
      <c r="P765" s="881" t="s">
        <v>798</v>
      </c>
      <c r="Q765" s="882" t="s">
        <v>799</v>
      </c>
      <c r="R765" s="1469" t="s">
        <v>800</v>
      </c>
      <c r="S765" s="1469"/>
      <c r="T765" s="877" t="s">
        <v>801</v>
      </c>
      <c r="U765" s="879" t="s">
        <v>104</v>
      </c>
    </row>
    <row r="766" spans="1:21" ht="19.5" customHeight="1">
      <c r="A766" s="883"/>
      <c r="B766" s="884" t="str">
        <f>IF('BIS Doc'!AC359=130, "130 × 130", IF('BIS Doc'!AC359=160, "160 × 160", IF('BIS Doc'!AC359=110, "110 × 110", "Value not 130, 160, or 110")))</f>
        <v>Value not 130, 160, or 110</v>
      </c>
      <c r="C766" s="885">
        <f>'BIS Doc'!W359</f>
        <v>0</v>
      </c>
      <c r="D766" s="886"/>
      <c r="E766" s="887">
        <f>'BIS Doc'!AE359</f>
        <v>0</v>
      </c>
      <c r="F766" s="888">
        <f ca="1">'BIS Doc'!F359</f>
        <v>0</v>
      </c>
      <c r="G766" s="888">
        <f ca="1">'BIS Doc'!J359</f>
        <v>0</v>
      </c>
      <c r="H766" s="888">
        <f ca="1">'BIS Doc'!G359</f>
        <v>0.51817639295256401</v>
      </c>
      <c r="I766" s="889">
        <f ca="1">'BIS Doc'!H359</f>
        <v>0</v>
      </c>
      <c r="J766" s="889">
        <f ca="1">'BIS Doc'!I359</f>
        <v>0</v>
      </c>
      <c r="K766" s="1449" t="str">
        <f t="shared" ref="K766:K771" ca="1" si="22">IF(H766&lt;0.6, "IS 14650 CPS 10748/GR2", "IS 14650 CPS 10748/GR3")</f>
        <v>IS 14650 CPS 10748/GR2</v>
      </c>
      <c r="L766" s="1449"/>
      <c r="M766" s="1449"/>
      <c r="N766" s="1449"/>
      <c r="O766" s="1449"/>
      <c r="P766" s="890"/>
      <c r="Q766" s="891"/>
      <c r="R766" s="1449"/>
      <c r="S766" s="1449"/>
      <c r="T766" s="892"/>
      <c r="U766" s="1450" t="s">
        <v>802</v>
      </c>
    </row>
    <row r="767" spans="1:21" ht="19.5" customHeight="1">
      <c r="A767" s="893"/>
      <c r="B767" s="894" t="str">
        <f>IF('BIS Doc'!AC361=130, "130 × 130", IF('BIS Doc'!AC361=160, "160 × 160", IF('BIS Doc'!AC361=110, "110 × 110", "Value not 130, 160, or 110")))</f>
        <v>Value not 130, 160, or 110</v>
      </c>
      <c r="C767" s="895">
        <f>'BIS Doc'!W361</f>
        <v>0</v>
      </c>
      <c r="D767" s="896"/>
      <c r="E767" s="897">
        <f>'BIS Doc'!AE361</f>
        <v>0</v>
      </c>
      <c r="F767" s="898">
        <f ca="1">'BIS Doc'!F361</f>
        <v>0</v>
      </c>
      <c r="G767" s="899">
        <f ca="1">'BIS Doc'!J361</f>
        <v>0</v>
      </c>
      <c r="H767" s="900">
        <f ca="1">'BIS Doc'!G361</f>
        <v>0.52994633026855642</v>
      </c>
      <c r="I767" s="901">
        <f ca="1">'BIS Doc'!H361</f>
        <v>0</v>
      </c>
      <c r="J767" s="901">
        <f ca="1">'BIS Doc'!I361</f>
        <v>0</v>
      </c>
      <c r="K767" s="1451" t="str">
        <f t="shared" ca="1" si="22"/>
        <v>IS 14650 CPS 10748/GR2</v>
      </c>
      <c r="L767" s="1451"/>
      <c r="M767" s="1451"/>
      <c r="N767" s="1451"/>
      <c r="O767" s="1451"/>
      <c r="P767" s="902"/>
      <c r="Q767" s="903"/>
      <c r="R767" s="1451"/>
      <c r="S767" s="1451"/>
      <c r="T767" s="904"/>
      <c r="U767" s="1450"/>
    </row>
    <row r="768" spans="1:21" ht="19.5" customHeight="1">
      <c r="A768" s="864"/>
      <c r="B768" s="894" t="str">
        <f>IF('BIS Doc'!AC363=130, "130 × 130", IF('BIS Doc'!AC363=160, "160 × 160", IF('BIS Doc'!AC363=110, "110 × 110", "Value not 130, 160, or 110")))</f>
        <v>Value not 130, 160, or 110</v>
      </c>
      <c r="C768" s="895">
        <f>'BIS Doc'!W363</f>
        <v>0</v>
      </c>
      <c r="D768" s="896" t="s">
        <v>803</v>
      </c>
      <c r="E768" s="897">
        <f>'BIS Doc'!AE363</f>
        <v>0</v>
      </c>
      <c r="F768" s="898">
        <f ca="1">'BIS Doc'!F363</f>
        <v>0</v>
      </c>
      <c r="G768" s="899">
        <f ca="1">'BIS Doc'!J363</f>
        <v>0</v>
      </c>
      <c r="H768" s="900">
        <f ca="1">'BIS Doc'!G363</f>
        <v>0.56206996486221494</v>
      </c>
      <c r="I768" s="901">
        <f ca="1">'BIS Doc'!H363</f>
        <v>0</v>
      </c>
      <c r="J768" s="901">
        <f ca="1">'BIS Doc'!I363</f>
        <v>0</v>
      </c>
      <c r="K768" s="1451" t="str">
        <f t="shared" ca="1" si="22"/>
        <v>IS 14650 CPS 10748/GR2</v>
      </c>
      <c r="L768" s="1451"/>
      <c r="M768" s="1451"/>
      <c r="N768" s="1451"/>
      <c r="O768" s="1451"/>
      <c r="P768" s="902"/>
      <c r="Q768" s="905"/>
      <c r="R768" s="1451"/>
      <c r="S768" s="1451"/>
      <c r="T768" s="904"/>
      <c r="U768" s="1450"/>
    </row>
    <row r="769" spans="1:21" ht="19.5" customHeight="1">
      <c r="A769" s="864"/>
      <c r="B769" s="894" t="str">
        <f>IF('BIS Doc'!AC365=130, "130 × 130", IF('BIS Doc'!AC365=160, "160 × 160", IF('BIS Doc'!AC365=110, "110 × 110", "Value not 130, 160, or 110")))</f>
        <v>Value not 130, 160, or 110</v>
      </c>
      <c r="C769" s="895">
        <f>'BIS Doc'!W365</f>
        <v>0</v>
      </c>
      <c r="D769" s="896"/>
      <c r="E769" s="897">
        <f>'BIS Doc'!AE365</f>
        <v>0</v>
      </c>
      <c r="F769" s="898">
        <f ca="1">'BIS Doc'!F365</f>
        <v>0</v>
      </c>
      <c r="G769" s="899">
        <f ca="1">'BIS Doc'!J365</f>
        <v>0</v>
      </c>
      <c r="H769" s="900">
        <f ca="1">'BIS Doc'!G365</f>
        <v>0.52303754874228581</v>
      </c>
      <c r="I769" s="901">
        <f ca="1">'BIS Doc'!H365</f>
        <v>0</v>
      </c>
      <c r="J769" s="901">
        <f ca="1">'BIS Doc'!I365</f>
        <v>0</v>
      </c>
      <c r="K769" s="1451" t="str">
        <f t="shared" ca="1" si="22"/>
        <v>IS 14650 CPS 10748/GR2</v>
      </c>
      <c r="L769" s="1451"/>
      <c r="M769" s="1451"/>
      <c r="N769" s="1451"/>
      <c r="O769" s="1451"/>
      <c r="P769" s="902"/>
      <c r="Q769" s="905"/>
      <c r="R769" s="1451"/>
      <c r="S769" s="1451"/>
      <c r="T769" s="904"/>
      <c r="U769" s="1450"/>
    </row>
    <row r="770" spans="1:21" ht="19.5" customHeight="1">
      <c r="A770" s="864"/>
      <c r="B770" s="894" t="str">
        <f>IF('BIS Doc'!AC367=130, "130 × 130", IF('BIS Doc'!AC367=160, "160 × 160", IF('BIS Doc'!AC367=110, "110 × 110", "Value not 130, 160, or 110")))</f>
        <v>Value not 130, 160, or 110</v>
      </c>
      <c r="C770" s="895">
        <f>'BIS Doc'!W367</f>
        <v>0</v>
      </c>
      <c r="D770" s="896"/>
      <c r="E770" s="897">
        <f>'BIS Doc'!AE367</f>
        <v>0</v>
      </c>
      <c r="F770" s="898">
        <f ca="1">'BIS Doc'!F367</f>
        <v>0</v>
      </c>
      <c r="G770" s="899">
        <f ca="1">'BIS Doc'!J367</f>
        <v>0</v>
      </c>
      <c r="H770" s="900">
        <f ca="1">'BIS Doc'!G367</f>
        <v>0.52694768749968002</v>
      </c>
      <c r="I770" s="901">
        <f ca="1">'BIS Doc'!H367</f>
        <v>0</v>
      </c>
      <c r="J770" s="901">
        <f ca="1">'BIS Doc'!I367</f>
        <v>0</v>
      </c>
      <c r="K770" s="1451" t="str">
        <f t="shared" ca="1" si="22"/>
        <v>IS 14650 CPS 10748/GR2</v>
      </c>
      <c r="L770" s="1451"/>
      <c r="M770" s="1451"/>
      <c r="N770" s="1451"/>
      <c r="O770" s="1451"/>
      <c r="P770" s="902"/>
      <c r="Q770" s="905"/>
      <c r="R770" s="1451"/>
      <c r="S770" s="1451"/>
      <c r="T770" s="904"/>
      <c r="U770" s="1450"/>
    </row>
    <row r="771" spans="1:21" ht="19.5" customHeight="1">
      <c r="A771" s="864"/>
      <c r="B771" s="894" t="str">
        <f>IF('BIS Doc'!AC369=130, "130 × 130", IF('BIS Doc'!AC369=160, "160 × 160", IF('BIS Doc'!AC369=110, "110 × 110", "Value not 130, 160, or 110")))</f>
        <v>Value not 130, 160, or 110</v>
      </c>
      <c r="C771" s="895">
        <f>'BIS Doc'!W369</f>
        <v>0</v>
      </c>
      <c r="D771" s="896"/>
      <c r="E771" s="897">
        <f>'BIS Doc'!AE369</f>
        <v>0</v>
      </c>
      <c r="F771" s="898">
        <f ca="1">'BIS Doc'!F369</f>
        <v>0</v>
      </c>
      <c r="G771" s="899">
        <f ca="1">'BIS Doc'!J369</f>
        <v>0</v>
      </c>
      <c r="H771" s="900">
        <f ca="1">'BIS Doc'!G369</f>
        <v>0.53989249491131808</v>
      </c>
      <c r="I771" s="901">
        <f ca="1">'BIS Doc'!H369</f>
        <v>0</v>
      </c>
      <c r="J771" s="901">
        <f ca="1">'BIS Doc'!I369</f>
        <v>0</v>
      </c>
      <c r="K771" s="1451" t="str">
        <f t="shared" ca="1" si="22"/>
        <v>IS 14650 CPS 10748/GR2</v>
      </c>
      <c r="L771" s="1451"/>
      <c r="M771" s="1451"/>
      <c r="N771" s="1451"/>
      <c r="O771" s="1451"/>
      <c r="P771" s="902"/>
      <c r="Q771" s="903"/>
      <c r="R771" s="1451"/>
      <c r="S771" s="1451"/>
      <c r="T771" s="904"/>
      <c r="U771" s="1450"/>
    </row>
    <row r="772" spans="1:21" ht="19.5" customHeight="1">
      <c r="A772" s="864"/>
      <c r="B772" s="904"/>
      <c r="C772" s="895"/>
      <c r="D772" s="896"/>
      <c r="E772" s="897"/>
      <c r="F772" s="906"/>
      <c r="G772" s="907"/>
      <c r="H772" s="908"/>
      <c r="I772" s="909"/>
      <c r="J772" s="909"/>
      <c r="K772" s="1451"/>
      <c r="L772" s="1451"/>
      <c r="M772" s="1451"/>
      <c r="N772" s="1451"/>
      <c r="O772" s="1451"/>
      <c r="P772" s="902"/>
      <c r="Q772" s="903"/>
      <c r="R772" s="1451"/>
      <c r="S772" s="1451"/>
      <c r="T772" s="904"/>
      <c r="U772" s="1450"/>
    </row>
    <row r="773" spans="1:21" ht="19.5" customHeight="1">
      <c r="A773" s="864"/>
      <c r="B773" s="904"/>
      <c r="C773" s="895"/>
      <c r="D773" s="896"/>
      <c r="E773" s="897"/>
      <c r="F773" s="906"/>
      <c r="G773" s="907"/>
      <c r="H773" s="908"/>
      <c r="I773" s="909"/>
      <c r="J773" s="909"/>
      <c r="K773" s="1451"/>
      <c r="L773" s="1451"/>
      <c r="M773" s="1451"/>
      <c r="N773" s="1451"/>
      <c r="O773" s="1451"/>
      <c r="P773" s="902"/>
      <c r="Q773" s="905"/>
      <c r="R773" s="1451"/>
      <c r="S773" s="1451"/>
      <c r="T773" s="904"/>
      <c r="U773" s="1450"/>
    </row>
    <row r="774" spans="1:21" ht="19.5" customHeight="1">
      <c r="A774" s="864"/>
      <c r="B774" s="910"/>
      <c r="C774" s="911"/>
      <c r="D774" s="896"/>
      <c r="E774" s="897"/>
      <c r="F774" s="906"/>
      <c r="G774" s="907"/>
      <c r="H774" s="908"/>
      <c r="I774" s="909"/>
      <c r="J774" s="909"/>
      <c r="K774" s="1451"/>
      <c r="L774" s="1451"/>
      <c r="M774" s="1451"/>
      <c r="N774" s="1451"/>
      <c r="O774" s="1451"/>
      <c r="P774" s="912"/>
      <c r="Q774" s="913"/>
      <c r="R774" s="1452"/>
      <c r="S774" s="1452"/>
      <c r="T774" s="910"/>
      <c r="U774" s="1450"/>
    </row>
    <row r="775" spans="1:21" ht="19.5" customHeight="1">
      <c r="A775" s="914"/>
      <c r="B775" s="915"/>
      <c r="C775" s="916"/>
      <c r="D775" s="917"/>
      <c r="E775" s="918">
        <f>SUM(E766:E771)</f>
        <v>0</v>
      </c>
      <c r="F775" s="919"/>
      <c r="G775" s="920"/>
      <c r="H775" s="921"/>
      <c r="I775" s="922"/>
      <c r="J775" s="922"/>
      <c r="K775" s="1453"/>
      <c r="L775" s="1453"/>
      <c r="M775" s="1453"/>
      <c r="N775" s="1453"/>
      <c r="O775" s="1453"/>
      <c r="P775" s="923"/>
      <c r="Q775" s="924"/>
      <c r="R775" s="1454"/>
      <c r="S775" s="1454"/>
      <c r="T775" s="915"/>
      <c r="U775" s="1450"/>
    </row>
    <row r="776" spans="1:21" ht="15.75" customHeight="1">
      <c r="A776" s="864"/>
      <c r="B776" s="773"/>
      <c r="C776" s="773"/>
      <c r="D776" s="925"/>
      <c r="E776" s="926"/>
      <c r="F776" s="927"/>
      <c r="G776" s="928"/>
      <c r="H776" s="259"/>
      <c r="I776" s="259"/>
      <c r="J776" s="928"/>
      <c r="K776" s="929"/>
      <c r="L776" s="929"/>
      <c r="M776" s="929"/>
      <c r="N776" s="929"/>
      <c r="O776" s="928"/>
      <c r="P776" s="930"/>
      <c r="Q776" s="931"/>
      <c r="R776" s="931"/>
      <c r="U776" s="932"/>
    </row>
    <row r="777" spans="1:21" ht="18.75" customHeight="1">
      <c r="A777" s="864"/>
      <c r="B777" s="773"/>
      <c r="C777" s="773"/>
      <c r="D777" s="773"/>
      <c r="E777" s="773"/>
      <c r="F777" s="773"/>
      <c r="G777" s="773"/>
      <c r="H777" s="773"/>
      <c r="I777" s="773"/>
      <c r="J777" s="773"/>
      <c r="K777" s="773"/>
      <c r="P777" s="1446" t="s">
        <v>804</v>
      </c>
      <c r="Q777" s="1446"/>
      <c r="R777" s="1446"/>
      <c r="S777" s="1446"/>
      <c r="T777" s="1446"/>
      <c r="U777" s="1446"/>
    </row>
    <row r="778" spans="1:21" ht="18.75" customHeight="1">
      <c r="A778" s="1447" t="s">
        <v>805</v>
      </c>
      <c r="B778" s="1447"/>
      <c r="C778" s="933"/>
      <c r="D778" s="933"/>
      <c r="E778" s="933"/>
      <c r="F778" s="933"/>
      <c r="P778" s="855"/>
      <c r="Q778" s="855"/>
      <c r="R778" s="855"/>
      <c r="S778" s="855"/>
      <c r="T778" s="855"/>
      <c r="U778" s="934"/>
    </row>
    <row r="779" spans="1:21" ht="18.75" customHeight="1">
      <c r="A779" s="854"/>
      <c r="B779" s="855"/>
      <c r="P779" s="855"/>
      <c r="Q779" s="855"/>
      <c r="R779" s="855"/>
      <c r="S779" s="855"/>
      <c r="T779" s="855"/>
      <c r="U779" s="934"/>
    </row>
    <row r="780" spans="1:21" ht="18.75" customHeight="1">
      <c r="A780" s="854" t="s">
        <v>806</v>
      </c>
      <c r="B780" s="855"/>
      <c r="C780" s="867"/>
      <c r="D780" s="941"/>
      <c r="E780" s="933"/>
      <c r="F780" s="933"/>
      <c r="P780" s="855"/>
      <c r="Q780" s="855"/>
      <c r="R780" s="855"/>
      <c r="S780" s="855"/>
      <c r="T780" s="855"/>
      <c r="U780" s="934"/>
    </row>
    <row r="781" spans="1:21" ht="18.75" customHeight="1">
      <c r="A781" s="854"/>
      <c r="B781" s="855"/>
      <c r="C781" s="937"/>
      <c r="P781" s="855"/>
      <c r="Q781" s="855"/>
      <c r="R781" s="855"/>
      <c r="S781" s="855"/>
      <c r="T781" s="855"/>
      <c r="U781" s="934"/>
    </row>
    <row r="782" spans="1:21" ht="19.5" customHeight="1">
      <c r="A782" s="938"/>
      <c r="B782" s="939"/>
      <c r="C782" s="940"/>
      <c r="D782" s="453"/>
      <c r="E782" s="453"/>
      <c r="F782" s="453"/>
      <c r="G782" s="453"/>
      <c r="H782" s="453"/>
      <c r="I782" s="453"/>
      <c r="J782" s="453"/>
      <c r="K782" s="453"/>
      <c r="L782" s="453"/>
      <c r="M782" s="453"/>
      <c r="N782" s="453"/>
      <c r="O782" s="453"/>
      <c r="P782" s="1448" t="s">
        <v>807</v>
      </c>
      <c r="Q782" s="1448"/>
      <c r="R782" s="1448"/>
      <c r="S782" s="1448"/>
      <c r="T782" s="1448"/>
      <c r="U782" s="1448"/>
    </row>
    <row r="783" spans="1:21" ht="45.75" customHeight="1">
      <c r="A783" s="1455"/>
      <c r="B783" s="1455"/>
      <c r="C783" s="1455"/>
      <c r="D783" s="847"/>
      <c r="E783" s="1456" t="s">
        <v>774</v>
      </c>
      <c r="F783" s="1456"/>
      <c r="G783" s="1456"/>
      <c r="H783" s="1456"/>
      <c r="I783" s="1456"/>
      <c r="J783" s="1456"/>
      <c r="K783" s="1456"/>
      <c r="L783" s="1456"/>
      <c r="M783" s="1456"/>
      <c r="N783" s="1456"/>
      <c r="O783" s="1456"/>
      <c r="P783" s="1456"/>
      <c r="Q783" s="1456"/>
      <c r="R783" s="1456"/>
      <c r="S783" s="848"/>
      <c r="T783" s="1457" t="s">
        <v>775</v>
      </c>
      <c r="U783" s="1457"/>
    </row>
    <row r="784" spans="1:21" ht="18.75" customHeight="1">
      <c r="A784" s="849"/>
      <c r="E784" s="1458" t="s">
        <v>776</v>
      </c>
      <c r="F784" s="1458"/>
      <c r="G784" s="1458"/>
      <c r="H784" s="1458"/>
      <c r="I784" s="1458"/>
      <c r="J784" s="1458"/>
      <c r="K784" s="1458"/>
      <c r="L784" s="1458"/>
      <c r="M784" s="1458"/>
      <c r="N784" s="1458"/>
      <c r="O784" s="1458"/>
      <c r="P784" s="1458"/>
      <c r="Q784" s="1458"/>
      <c r="R784" s="1458"/>
      <c r="U784" s="456"/>
    </row>
    <row r="785" spans="1:21" ht="18.75" customHeight="1">
      <c r="A785" s="850"/>
      <c r="F785" s="587"/>
      <c r="G785" s="587"/>
      <c r="H785" s="587"/>
      <c r="I785" s="587"/>
      <c r="J785" s="587"/>
      <c r="K785" s="587"/>
      <c r="L785" s="587"/>
      <c r="M785" s="851"/>
      <c r="N785" s="852"/>
      <c r="O785" s="851"/>
      <c r="P785" s="1459" t="s">
        <v>777</v>
      </c>
      <c r="Q785" s="1459"/>
      <c r="R785" s="1459"/>
      <c r="S785" s="1459"/>
      <c r="T785" s="1459"/>
      <c r="U785" s="1459"/>
    </row>
    <row r="786" spans="1:21" ht="15" customHeight="1">
      <c r="A786" s="849"/>
      <c r="E786" s="1287" t="s">
        <v>778</v>
      </c>
      <c r="F786" s="1287"/>
      <c r="G786" s="1287"/>
      <c r="H786" s="1287"/>
      <c r="I786" s="1287"/>
      <c r="J786" s="1287"/>
      <c r="K786" s="1287"/>
      <c r="L786" s="1287"/>
      <c r="M786" s="1287"/>
      <c r="N786" s="1287"/>
      <c r="O786" s="1287"/>
      <c r="P786" s="1287"/>
      <c r="Q786" s="1287"/>
      <c r="R786" s="1287"/>
      <c r="U786" s="456"/>
    </row>
    <row r="787" spans="1:21" ht="18.75" customHeight="1">
      <c r="A787" s="849"/>
      <c r="E787" s="1286" t="s">
        <v>779</v>
      </c>
      <c r="F787" s="1286"/>
      <c r="G787" s="1286"/>
      <c r="H787" s="1286"/>
      <c r="I787" s="1286"/>
      <c r="J787" s="1286"/>
      <c r="K787" s="1286"/>
      <c r="L787" s="1286"/>
      <c r="M787" s="1286"/>
      <c r="N787" s="1286"/>
      <c r="O787" s="1286"/>
      <c r="P787" s="1286"/>
      <c r="Q787" s="1286"/>
      <c r="R787" s="1286"/>
      <c r="U787" s="853"/>
    </row>
    <row r="788" spans="1:21" ht="23.25" customHeight="1">
      <c r="A788" s="854" t="s">
        <v>780</v>
      </c>
      <c r="B788" s="855"/>
      <c r="C788" s="855"/>
      <c r="D788" s="856" t="s">
        <v>847</v>
      </c>
      <c r="E788" s="857"/>
      <c r="F788" s="858"/>
      <c r="G788" s="859"/>
      <c r="H788" s="859"/>
      <c r="I788" s="859"/>
      <c r="J788" s="859"/>
      <c r="K788" s="859"/>
      <c r="L788" s="860"/>
      <c r="M788" s="1460"/>
      <c r="N788" s="1460"/>
      <c r="O788" s="1460"/>
      <c r="P788" s="1461" t="s">
        <v>781</v>
      </c>
      <c r="Q788" s="1461"/>
      <c r="R788" s="1461"/>
      <c r="S788" s="855"/>
      <c r="T788" s="861">
        <v>46307</v>
      </c>
      <c r="U788" s="456"/>
    </row>
    <row r="789" spans="1:21" ht="23.25" customHeight="1">
      <c r="A789" s="854"/>
      <c r="B789" s="862"/>
      <c r="C789" s="862"/>
      <c r="D789" s="862"/>
      <c r="E789" s="163"/>
      <c r="F789" s="863"/>
      <c r="G789" s="863"/>
      <c r="H789" s="863"/>
      <c r="I789" s="863"/>
      <c r="J789" s="863"/>
      <c r="K789" s="863"/>
      <c r="U789" s="456"/>
    </row>
    <row r="790" spans="1:21" ht="21" customHeight="1">
      <c r="A790" s="864" t="s">
        <v>782</v>
      </c>
      <c r="B790" s="865"/>
      <c r="C790" s="866"/>
      <c r="D790" s="867"/>
      <c r="E790" s="868"/>
      <c r="F790" s="869"/>
      <c r="G790" s="869"/>
      <c r="H790" s="869"/>
      <c r="I790" s="870"/>
      <c r="J790" s="870"/>
      <c r="P790" s="1462"/>
      <c r="Q790" s="1462"/>
      <c r="R790" s="1462"/>
      <c r="S790" s="1462"/>
      <c r="T790" s="871"/>
      <c r="U790" s="456"/>
    </row>
    <row r="791" spans="1:21" ht="21" customHeight="1">
      <c r="A791" s="872"/>
      <c r="B791" s="873"/>
      <c r="C791" s="869"/>
      <c r="D791" s="869"/>
      <c r="E791" s="869"/>
      <c r="F791" s="869"/>
      <c r="G791" s="869"/>
      <c r="H791" s="869"/>
      <c r="I791" s="870"/>
      <c r="J791" s="870"/>
      <c r="U791" s="456"/>
    </row>
    <row r="792" spans="1:21" ht="15" customHeight="1">
      <c r="A792" s="1463" t="s">
        <v>783</v>
      </c>
      <c r="B792" s="1463"/>
      <c r="C792" s="1463"/>
      <c r="D792" s="1463"/>
      <c r="E792" s="1463"/>
      <c r="F792" s="1463"/>
      <c r="G792" s="1463"/>
      <c r="H792" s="1463"/>
      <c r="I792" s="1463"/>
      <c r="J792" s="1463"/>
      <c r="K792" s="1463"/>
      <c r="L792" s="1463"/>
      <c r="M792" s="1463"/>
      <c r="N792" s="1463"/>
      <c r="O792" s="1463"/>
      <c r="P792" s="1463"/>
      <c r="Q792" s="1463"/>
      <c r="R792" s="1463"/>
      <c r="S792" s="1463"/>
      <c r="T792" s="1463"/>
      <c r="U792" s="1463"/>
    </row>
    <row r="793" spans="1:21" ht="15" customHeight="1">
      <c r="A793" s="1463"/>
      <c r="B793" s="1463"/>
      <c r="C793" s="1463"/>
      <c r="D793" s="1463"/>
      <c r="E793" s="1463"/>
      <c r="F793" s="1463"/>
      <c r="G793" s="1463"/>
      <c r="H793" s="1463"/>
      <c r="I793" s="1463"/>
      <c r="J793" s="1463"/>
      <c r="K793" s="1463"/>
      <c r="L793" s="1463"/>
      <c r="M793" s="1463"/>
      <c r="N793" s="1463"/>
      <c r="O793" s="1463"/>
      <c r="P793" s="1463"/>
      <c r="Q793" s="1463"/>
      <c r="R793" s="1463"/>
      <c r="S793" s="1463"/>
      <c r="T793" s="1463"/>
      <c r="U793" s="1463"/>
    </row>
    <row r="794" spans="1:21" ht="18" customHeight="1">
      <c r="A794" s="1464" t="s">
        <v>784</v>
      </c>
      <c r="B794" s="1464"/>
      <c r="C794" s="1464"/>
      <c r="D794" s="1464"/>
      <c r="E794" s="1464"/>
      <c r="F794" s="1464"/>
      <c r="G794" s="1464"/>
      <c r="H794" s="1464"/>
      <c r="I794" s="1464"/>
      <c r="J794" s="1464"/>
      <c r="K794" s="1464"/>
      <c r="L794" s="1464"/>
      <c r="M794" s="1464"/>
      <c r="N794" s="1464"/>
      <c r="O794" s="1464"/>
      <c r="P794" s="1464"/>
      <c r="Q794" s="1464"/>
      <c r="R794" s="1464"/>
      <c r="S794" s="1464"/>
      <c r="T794" s="1464"/>
      <c r="U794" s="1464"/>
    </row>
    <row r="795" spans="1:21" ht="23.25" customHeight="1">
      <c r="A795" s="1465" t="s">
        <v>785</v>
      </c>
      <c r="B795" s="1465"/>
      <c r="C795" s="1465"/>
      <c r="D795" s="1465"/>
      <c r="E795" s="1465"/>
      <c r="F795" s="1465"/>
      <c r="G795" s="1465"/>
      <c r="H795" s="1465"/>
      <c r="I795" s="1465"/>
      <c r="J795" s="1465"/>
      <c r="K795" s="1465"/>
      <c r="L795" s="1465"/>
      <c r="M795" s="1465"/>
      <c r="N795" s="1465"/>
      <c r="O795" s="1465"/>
      <c r="P795" s="1465"/>
      <c r="Q795" s="1465"/>
      <c r="R795" s="1465"/>
      <c r="S795" s="1465"/>
      <c r="T795" s="1465"/>
      <c r="U795" s="1465"/>
    </row>
    <row r="796" spans="1:21" ht="21.75" customHeight="1">
      <c r="A796" s="874"/>
      <c r="B796" s="875"/>
      <c r="C796" s="875"/>
      <c r="D796" s="875"/>
      <c r="E796" s="875"/>
      <c r="F796" s="875"/>
      <c r="G796" s="875"/>
      <c r="H796" s="875"/>
      <c r="I796" s="875"/>
      <c r="J796" s="875"/>
      <c r="K796" s="875"/>
      <c r="L796" s="875"/>
      <c r="M796" s="875"/>
      <c r="N796" s="875"/>
      <c r="O796" s="875"/>
      <c r="P796" s="875"/>
      <c r="Q796" s="875"/>
      <c r="R796" s="875"/>
      <c r="S796" s="875"/>
      <c r="T796" s="875"/>
      <c r="U796" s="876"/>
    </row>
    <row r="797" spans="1:21" ht="15" customHeight="1">
      <c r="A797" s="1466" t="s">
        <v>786</v>
      </c>
      <c r="B797" s="1467" t="s">
        <v>787</v>
      </c>
      <c r="C797" s="1468" t="s">
        <v>788</v>
      </c>
      <c r="D797" s="1468" t="s">
        <v>789</v>
      </c>
      <c r="E797" s="1469" t="s">
        <v>790</v>
      </c>
      <c r="F797" s="1468" t="s">
        <v>791</v>
      </c>
      <c r="G797" s="1468"/>
      <c r="H797" s="1468"/>
      <c r="I797" s="1468"/>
      <c r="J797" s="1468"/>
      <c r="K797" s="1468"/>
      <c r="L797" s="1468"/>
      <c r="M797" s="1468"/>
      <c r="N797" s="1468"/>
      <c r="O797" s="1468"/>
      <c r="P797" s="1470"/>
      <c r="Q797" s="1470"/>
      <c r="R797" s="1470"/>
      <c r="S797" s="1470"/>
      <c r="T797" s="1470"/>
      <c r="U797" s="1470"/>
    </row>
    <row r="798" spans="1:21" ht="15.75" customHeight="1">
      <c r="A798" s="1466"/>
      <c r="B798" s="1467"/>
      <c r="C798" s="1468"/>
      <c r="D798" s="1468"/>
      <c r="E798" s="1469"/>
      <c r="F798" s="1468"/>
      <c r="G798" s="1468"/>
      <c r="H798" s="1468"/>
      <c r="I798" s="1468"/>
      <c r="J798" s="1468"/>
      <c r="K798" s="1468"/>
      <c r="L798" s="1468"/>
      <c r="M798" s="1468"/>
      <c r="N798" s="1468"/>
      <c r="O798" s="1468"/>
      <c r="P798" s="1470"/>
      <c r="Q798" s="1470"/>
      <c r="R798" s="1470"/>
      <c r="S798" s="1470"/>
      <c r="T798" s="1470"/>
      <c r="U798" s="1470"/>
    </row>
    <row r="799" spans="1:21" ht="48" customHeight="1">
      <c r="A799" s="1466"/>
      <c r="B799" s="1467"/>
      <c r="C799" s="1468"/>
      <c r="D799" s="1468"/>
      <c r="E799" s="1469"/>
      <c r="F799" s="878" t="s">
        <v>792</v>
      </c>
      <c r="G799" s="877" t="s">
        <v>793</v>
      </c>
      <c r="H799" s="878" t="s">
        <v>794</v>
      </c>
      <c r="I799" s="879" t="s">
        <v>795</v>
      </c>
      <c r="J799" s="880" t="s">
        <v>796</v>
      </c>
      <c r="K799" s="1468" t="s">
        <v>797</v>
      </c>
      <c r="L799" s="1468"/>
      <c r="M799" s="1468"/>
      <c r="N799" s="1468"/>
      <c r="O799" s="1468"/>
      <c r="P799" s="881" t="s">
        <v>798</v>
      </c>
      <c r="Q799" s="882" t="s">
        <v>799</v>
      </c>
      <c r="R799" s="1469" t="s">
        <v>800</v>
      </c>
      <c r="S799" s="1469"/>
      <c r="T799" s="877" t="s">
        <v>801</v>
      </c>
      <c r="U799" s="879" t="s">
        <v>104</v>
      </c>
    </row>
    <row r="800" spans="1:21" ht="19.5" customHeight="1">
      <c r="A800" s="883"/>
      <c r="B800" s="884" t="str">
        <f>IF('BIS Doc'!AC371=130, "130 × 130", IF('BIS Doc'!AC371=160, "160 × 160", IF('BIS Doc'!AC371=110, "110 × 110", "Value not 130, 160, or 110")))</f>
        <v>Value not 130, 160, or 110</v>
      </c>
      <c r="C800" s="885">
        <f>'BIS Doc'!W371</f>
        <v>0</v>
      </c>
      <c r="D800" s="886"/>
      <c r="E800" s="887">
        <f>'BIS Doc'!AE371</f>
        <v>0</v>
      </c>
      <c r="F800" s="888">
        <f ca="1">'BIS Doc'!F371</f>
        <v>0</v>
      </c>
      <c r="G800" s="888">
        <f ca="1">'BIS Doc'!J371</f>
        <v>0</v>
      </c>
      <c r="H800" s="888">
        <f ca="1">'BIS Doc'!G371</f>
        <v>0.50701004600144972</v>
      </c>
      <c r="I800" s="889">
        <f ca="1">'BIS Doc'!H371</f>
        <v>0</v>
      </c>
      <c r="J800" s="889">
        <f ca="1">'BIS Doc'!I371</f>
        <v>0</v>
      </c>
      <c r="K800" s="1449" t="str">
        <f t="shared" ref="K800:K805" ca="1" si="23">IF(H800&lt;0.6, "IS 14650 CPS 10748/GR2", "IS 14650 CPS 10748/GR3")</f>
        <v>IS 14650 CPS 10748/GR2</v>
      </c>
      <c r="L800" s="1449"/>
      <c r="M800" s="1449"/>
      <c r="N800" s="1449"/>
      <c r="O800" s="1449"/>
      <c r="P800" s="890"/>
      <c r="Q800" s="891"/>
      <c r="R800" s="1449"/>
      <c r="S800" s="1449"/>
      <c r="T800" s="892"/>
      <c r="U800" s="1450" t="s">
        <v>802</v>
      </c>
    </row>
    <row r="801" spans="1:21" ht="19.5" customHeight="1">
      <c r="A801" s="893"/>
      <c r="B801" s="894" t="str">
        <f>IF('BIS Doc'!AC373=130, "130 × 130", IF('BIS Doc'!AC373=160, "160 × 160", IF('BIS Doc'!AC373=110, "110 × 110", "Value not 130, 160, or 110")))</f>
        <v>Value not 130, 160, or 110</v>
      </c>
      <c r="C801" s="895">
        <f>'BIS Doc'!W373</f>
        <v>0</v>
      </c>
      <c r="D801" s="896"/>
      <c r="E801" s="897">
        <f>'BIS Doc'!AE373</f>
        <v>0</v>
      </c>
      <c r="F801" s="898">
        <f ca="1">'BIS Doc'!F373</f>
        <v>0</v>
      </c>
      <c r="G801" s="899">
        <f ca="1">'BIS Doc'!J373</f>
        <v>0</v>
      </c>
      <c r="H801" s="900">
        <f ca="1">'BIS Doc'!G373</f>
        <v>0.54359933208931854</v>
      </c>
      <c r="I801" s="901">
        <f ca="1">'BIS Doc'!H373</f>
        <v>0</v>
      </c>
      <c r="J801" s="901">
        <f ca="1">'BIS Doc'!I373</f>
        <v>0</v>
      </c>
      <c r="K801" s="1451" t="str">
        <f t="shared" ca="1" si="23"/>
        <v>IS 14650 CPS 10748/GR2</v>
      </c>
      <c r="L801" s="1451"/>
      <c r="M801" s="1451"/>
      <c r="N801" s="1451"/>
      <c r="O801" s="1451"/>
      <c r="P801" s="902"/>
      <c r="Q801" s="903"/>
      <c r="R801" s="1451"/>
      <c r="S801" s="1451"/>
      <c r="T801" s="904"/>
      <c r="U801" s="1450"/>
    </row>
    <row r="802" spans="1:21" ht="19.5" customHeight="1">
      <c r="A802" s="864"/>
      <c r="B802" s="894" t="str">
        <f>IF('BIS Doc'!AC375=130, "130 × 130", IF('BIS Doc'!AC375=160, "160 × 160", IF('BIS Doc'!AC375=110, "110 × 110", "Value not 130, 160, or 110")))</f>
        <v>Value not 130, 160, or 110</v>
      </c>
      <c r="C802" s="895">
        <f>'BIS Doc'!W375</f>
        <v>0</v>
      </c>
      <c r="D802" s="896" t="s">
        <v>803</v>
      </c>
      <c r="E802" s="897">
        <f>'BIS Doc'!AE375</f>
        <v>0</v>
      </c>
      <c r="F802" s="898">
        <f ca="1">'BIS Doc'!F375</f>
        <v>0</v>
      </c>
      <c r="G802" s="899">
        <f ca="1">'BIS Doc'!J375</f>
        <v>0</v>
      </c>
      <c r="H802" s="900">
        <f ca="1">'BIS Doc'!G375</f>
        <v>0.59048588778017463</v>
      </c>
      <c r="I802" s="901">
        <f ca="1">'BIS Doc'!H375</f>
        <v>0</v>
      </c>
      <c r="J802" s="901">
        <f ca="1">'BIS Doc'!I375</f>
        <v>0</v>
      </c>
      <c r="K802" s="1451" t="str">
        <f t="shared" ca="1" si="23"/>
        <v>IS 14650 CPS 10748/GR2</v>
      </c>
      <c r="L802" s="1451"/>
      <c r="M802" s="1451"/>
      <c r="N802" s="1451"/>
      <c r="O802" s="1451"/>
      <c r="P802" s="902"/>
      <c r="Q802" s="905"/>
      <c r="R802" s="1451"/>
      <c r="S802" s="1451"/>
      <c r="T802" s="904"/>
      <c r="U802" s="1450"/>
    </row>
    <row r="803" spans="1:21" ht="19.5" customHeight="1">
      <c r="A803" s="864"/>
      <c r="B803" s="894" t="str">
        <f>IF('BIS Doc'!AC377=130, "130 × 130", IF('BIS Doc'!AC377=160, "160 × 160", IF('BIS Doc'!AC377=110, "110 × 110", "Value not 130, 160, or 110")))</f>
        <v>Value not 130, 160, or 110</v>
      </c>
      <c r="C803" s="895">
        <f>'BIS Doc'!W377</f>
        <v>0</v>
      </c>
      <c r="D803" s="896"/>
      <c r="E803" s="897">
        <f>'BIS Doc'!AE377</f>
        <v>0</v>
      </c>
      <c r="F803" s="898">
        <f ca="1">'BIS Doc'!F377</f>
        <v>0</v>
      </c>
      <c r="G803" s="899">
        <f ca="1">'BIS Doc'!J377</f>
        <v>0</v>
      </c>
      <c r="H803" s="900">
        <f ca="1">'BIS Doc'!G377</f>
        <v>0.56554723280082075</v>
      </c>
      <c r="I803" s="901">
        <f ca="1">'BIS Doc'!H377</f>
        <v>0</v>
      </c>
      <c r="J803" s="901">
        <f ca="1">'BIS Doc'!I377</f>
        <v>0</v>
      </c>
      <c r="K803" s="1451" t="str">
        <f t="shared" ca="1" si="23"/>
        <v>IS 14650 CPS 10748/GR2</v>
      </c>
      <c r="L803" s="1451"/>
      <c r="M803" s="1451"/>
      <c r="N803" s="1451"/>
      <c r="O803" s="1451"/>
      <c r="P803" s="902"/>
      <c r="Q803" s="905"/>
      <c r="R803" s="1451"/>
      <c r="S803" s="1451"/>
      <c r="T803" s="904"/>
      <c r="U803" s="1450"/>
    </row>
    <row r="804" spans="1:21" ht="19.5" customHeight="1">
      <c r="A804" s="864"/>
      <c r="B804" s="894" t="str">
        <f>IF('BIS Doc'!AC379=130, "130 × 130", IF('BIS Doc'!AC379=160, "160 × 160", IF('BIS Doc'!AC379=110, "110 × 110", "Value not 130, 160, or 110")))</f>
        <v>Value not 130, 160, or 110</v>
      </c>
      <c r="C804" s="895">
        <f>'BIS Doc'!W379</f>
        <v>0</v>
      </c>
      <c r="D804" s="896"/>
      <c r="E804" s="897">
        <f>'BIS Doc'!AE379</f>
        <v>0</v>
      </c>
      <c r="F804" s="898">
        <f ca="1">'BIS Doc'!F379</f>
        <v>0</v>
      </c>
      <c r="G804" s="899">
        <f ca="1">'BIS Doc'!J379</f>
        <v>0</v>
      </c>
      <c r="H804" s="900">
        <f ca="1">'BIS Doc'!G379</f>
        <v>0.55983936410504676</v>
      </c>
      <c r="I804" s="901">
        <f ca="1">'BIS Doc'!H379</f>
        <v>0</v>
      </c>
      <c r="J804" s="901">
        <f ca="1">'BIS Doc'!I379</f>
        <v>0</v>
      </c>
      <c r="K804" s="1451" t="str">
        <f t="shared" ca="1" si="23"/>
        <v>IS 14650 CPS 10748/GR2</v>
      </c>
      <c r="L804" s="1451"/>
      <c r="M804" s="1451"/>
      <c r="N804" s="1451"/>
      <c r="O804" s="1451"/>
      <c r="P804" s="902"/>
      <c r="Q804" s="905"/>
      <c r="R804" s="1451"/>
      <c r="S804" s="1451"/>
      <c r="T804" s="904"/>
      <c r="U804" s="1450"/>
    </row>
    <row r="805" spans="1:21" ht="19.5" customHeight="1">
      <c r="A805" s="864"/>
      <c r="B805" s="894" t="str">
        <f>IF('BIS Doc'!AC381=130, "130 × 130", IF('BIS Doc'!AC381=160, "160 × 160", IF('BIS Doc'!AC381=110, "110 × 110", "Value not 130, 160, or 110")))</f>
        <v>Value not 130, 160, or 110</v>
      </c>
      <c r="C805" s="895">
        <f>'BIS Doc'!W381</f>
        <v>0</v>
      </c>
      <c r="D805" s="896"/>
      <c r="E805" s="897">
        <f>'BIS Doc'!AE381</f>
        <v>0</v>
      </c>
      <c r="F805" s="898">
        <f ca="1">'BIS Doc'!F381</f>
        <v>0</v>
      </c>
      <c r="G805" s="899">
        <f ca="1">'BIS Doc'!J381</f>
        <v>0</v>
      </c>
      <c r="H805" s="900">
        <f ca="1">'BIS Doc'!G381</f>
        <v>0.57112361629204522</v>
      </c>
      <c r="I805" s="901">
        <f ca="1">'BIS Doc'!H381</f>
        <v>0</v>
      </c>
      <c r="J805" s="901">
        <f ca="1">'BIS Doc'!I381</f>
        <v>0</v>
      </c>
      <c r="K805" s="1451" t="str">
        <f t="shared" ca="1" si="23"/>
        <v>IS 14650 CPS 10748/GR2</v>
      </c>
      <c r="L805" s="1451"/>
      <c r="M805" s="1451"/>
      <c r="N805" s="1451"/>
      <c r="O805" s="1451"/>
      <c r="P805" s="902"/>
      <c r="Q805" s="903"/>
      <c r="R805" s="1451"/>
      <c r="S805" s="1451"/>
      <c r="T805" s="904"/>
      <c r="U805" s="1450"/>
    </row>
    <row r="806" spans="1:21" ht="19.5" customHeight="1">
      <c r="A806" s="864"/>
      <c r="B806" s="904"/>
      <c r="C806" s="895"/>
      <c r="D806" s="896"/>
      <c r="E806" s="897"/>
      <c r="F806" s="906"/>
      <c r="G806" s="907"/>
      <c r="H806" s="908"/>
      <c r="I806" s="909"/>
      <c r="J806" s="909"/>
      <c r="K806" s="1451"/>
      <c r="L806" s="1451"/>
      <c r="M806" s="1451"/>
      <c r="N806" s="1451"/>
      <c r="O806" s="1451"/>
      <c r="P806" s="902"/>
      <c r="Q806" s="903"/>
      <c r="R806" s="1451"/>
      <c r="S806" s="1451"/>
      <c r="T806" s="904"/>
      <c r="U806" s="1450"/>
    </row>
    <row r="807" spans="1:21" ht="19.5" customHeight="1">
      <c r="A807" s="864"/>
      <c r="B807" s="904"/>
      <c r="C807" s="895"/>
      <c r="D807" s="896"/>
      <c r="E807" s="897"/>
      <c r="F807" s="906"/>
      <c r="G807" s="907"/>
      <c r="H807" s="908"/>
      <c r="I807" s="909"/>
      <c r="J807" s="909"/>
      <c r="K807" s="1451"/>
      <c r="L807" s="1451"/>
      <c r="M807" s="1451"/>
      <c r="N807" s="1451"/>
      <c r="O807" s="1451"/>
      <c r="P807" s="902"/>
      <c r="Q807" s="905"/>
      <c r="R807" s="1451"/>
      <c r="S807" s="1451"/>
      <c r="T807" s="904"/>
      <c r="U807" s="1450"/>
    </row>
    <row r="808" spans="1:21" ht="19.5" customHeight="1">
      <c r="A808" s="864"/>
      <c r="B808" s="910"/>
      <c r="C808" s="911"/>
      <c r="D808" s="896"/>
      <c r="E808" s="897"/>
      <c r="F808" s="906"/>
      <c r="G808" s="907"/>
      <c r="H808" s="908"/>
      <c r="I808" s="909"/>
      <c r="J808" s="909"/>
      <c r="K808" s="1451"/>
      <c r="L808" s="1451"/>
      <c r="M808" s="1451"/>
      <c r="N808" s="1451"/>
      <c r="O808" s="1451"/>
      <c r="P808" s="912"/>
      <c r="Q808" s="913"/>
      <c r="R808" s="1452"/>
      <c r="S808" s="1452"/>
      <c r="T808" s="910"/>
      <c r="U808" s="1450"/>
    </row>
    <row r="809" spans="1:21" ht="19.5" customHeight="1">
      <c r="A809" s="914"/>
      <c r="B809" s="915"/>
      <c r="C809" s="916"/>
      <c r="D809" s="917"/>
      <c r="E809" s="918">
        <f>SUM(E800:E805)</f>
        <v>0</v>
      </c>
      <c r="F809" s="919"/>
      <c r="G809" s="920"/>
      <c r="H809" s="921"/>
      <c r="I809" s="922"/>
      <c r="J809" s="922"/>
      <c r="K809" s="1453"/>
      <c r="L809" s="1453"/>
      <c r="M809" s="1453"/>
      <c r="N809" s="1453"/>
      <c r="O809" s="1453"/>
      <c r="P809" s="923"/>
      <c r="Q809" s="924"/>
      <c r="R809" s="1454"/>
      <c r="S809" s="1454"/>
      <c r="T809" s="915"/>
      <c r="U809" s="1450"/>
    </row>
    <row r="810" spans="1:21" ht="15.75" customHeight="1">
      <c r="A810" s="864"/>
      <c r="B810" s="773"/>
      <c r="C810" s="773"/>
      <c r="D810" s="925"/>
      <c r="E810" s="926"/>
      <c r="F810" s="927"/>
      <c r="G810" s="928"/>
      <c r="H810" s="259"/>
      <c r="I810" s="259"/>
      <c r="J810" s="928"/>
      <c r="K810" s="929"/>
      <c r="L810" s="929"/>
      <c r="M810" s="929"/>
      <c r="N810" s="929"/>
      <c r="O810" s="928"/>
      <c r="P810" s="930"/>
      <c r="Q810" s="931"/>
      <c r="R810" s="931"/>
      <c r="U810" s="932"/>
    </row>
    <row r="811" spans="1:21" ht="18.75" customHeight="1">
      <c r="A811" s="864"/>
      <c r="B811" s="773"/>
      <c r="C811" s="773"/>
      <c r="D811" s="773"/>
      <c r="E811" s="773"/>
      <c r="F811" s="773"/>
      <c r="G811" s="773"/>
      <c r="H811" s="773"/>
      <c r="I811" s="773"/>
      <c r="J811" s="773"/>
      <c r="K811" s="773"/>
      <c r="P811" s="1446" t="s">
        <v>804</v>
      </c>
      <c r="Q811" s="1446"/>
      <c r="R811" s="1446"/>
      <c r="S811" s="1446"/>
      <c r="T811" s="1446"/>
      <c r="U811" s="1446"/>
    </row>
    <row r="812" spans="1:21" ht="18.75" customHeight="1">
      <c r="A812" s="1447" t="s">
        <v>805</v>
      </c>
      <c r="B812" s="1447"/>
      <c r="C812" s="933"/>
      <c r="D812" s="933"/>
      <c r="E812" s="933"/>
      <c r="F812" s="933"/>
      <c r="P812" s="855"/>
      <c r="Q812" s="855"/>
      <c r="R812" s="855"/>
      <c r="S812" s="855"/>
      <c r="T812" s="855"/>
      <c r="U812" s="934"/>
    </row>
    <row r="813" spans="1:21" ht="18.75" customHeight="1">
      <c r="A813" s="854"/>
      <c r="B813" s="855"/>
      <c r="P813" s="855"/>
      <c r="Q813" s="855"/>
      <c r="R813" s="855"/>
      <c r="S813" s="855"/>
      <c r="T813" s="855"/>
      <c r="U813" s="934"/>
    </row>
    <row r="814" spans="1:21" ht="18.75" customHeight="1">
      <c r="A814" s="854" t="s">
        <v>806</v>
      </c>
      <c r="B814" s="855"/>
      <c r="C814" s="867"/>
      <c r="D814" s="941"/>
      <c r="E814" s="933"/>
      <c r="F814" s="933"/>
      <c r="P814" s="855"/>
      <c r="Q814" s="855"/>
      <c r="R814" s="855"/>
      <c r="S814" s="855"/>
      <c r="T814" s="855"/>
      <c r="U814" s="934"/>
    </row>
    <row r="815" spans="1:21" ht="18.75" customHeight="1">
      <c r="A815" s="854"/>
      <c r="B815" s="855"/>
      <c r="C815" s="937"/>
      <c r="P815" s="855"/>
      <c r="Q815" s="855"/>
      <c r="R815" s="855"/>
      <c r="S815" s="855"/>
      <c r="T815" s="855"/>
      <c r="U815" s="934"/>
    </row>
    <row r="816" spans="1:21" ht="19.5" customHeight="1">
      <c r="A816" s="938"/>
      <c r="B816" s="939"/>
      <c r="C816" s="940"/>
      <c r="D816" s="453"/>
      <c r="E816" s="453"/>
      <c r="F816" s="453"/>
      <c r="G816" s="453"/>
      <c r="H816" s="453"/>
      <c r="I816" s="453"/>
      <c r="J816" s="453"/>
      <c r="K816" s="453"/>
      <c r="L816" s="453"/>
      <c r="M816" s="453"/>
      <c r="N816" s="453"/>
      <c r="O816" s="453"/>
      <c r="P816" s="1448" t="s">
        <v>807</v>
      </c>
      <c r="Q816" s="1448"/>
      <c r="R816" s="1448"/>
      <c r="S816" s="1448"/>
      <c r="T816" s="1448"/>
      <c r="U816" s="1448"/>
    </row>
    <row r="817" spans="1:21" ht="45.75" customHeight="1">
      <c r="A817" s="1455"/>
      <c r="B817" s="1455"/>
      <c r="C817" s="1455"/>
      <c r="D817" s="847"/>
      <c r="E817" s="1456" t="s">
        <v>774</v>
      </c>
      <c r="F817" s="1456"/>
      <c r="G817" s="1456"/>
      <c r="H817" s="1456"/>
      <c r="I817" s="1456"/>
      <c r="J817" s="1456"/>
      <c r="K817" s="1456"/>
      <c r="L817" s="1456"/>
      <c r="M817" s="1456"/>
      <c r="N817" s="1456"/>
      <c r="O817" s="1456"/>
      <c r="P817" s="1456"/>
      <c r="Q817" s="1456"/>
      <c r="R817" s="1456"/>
      <c r="S817" s="848"/>
      <c r="T817" s="1457" t="s">
        <v>775</v>
      </c>
      <c r="U817" s="1457"/>
    </row>
    <row r="818" spans="1:21" ht="18.75" customHeight="1">
      <c r="A818" s="849"/>
      <c r="E818" s="1458" t="s">
        <v>776</v>
      </c>
      <c r="F818" s="1458"/>
      <c r="G818" s="1458"/>
      <c r="H818" s="1458"/>
      <c r="I818" s="1458"/>
      <c r="J818" s="1458"/>
      <c r="K818" s="1458"/>
      <c r="L818" s="1458"/>
      <c r="M818" s="1458"/>
      <c r="N818" s="1458"/>
      <c r="O818" s="1458"/>
      <c r="P818" s="1458"/>
      <c r="Q818" s="1458"/>
      <c r="R818" s="1458"/>
      <c r="U818" s="456"/>
    </row>
    <row r="819" spans="1:21" ht="18.75" customHeight="1">
      <c r="A819" s="850"/>
      <c r="F819" s="587"/>
      <c r="G819" s="587"/>
      <c r="H819" s="587"/>
      <c r="I819" s="587"/>
      <c r="J819" s="587"/>
      <c r="K819" s="587"/>
      <c r="L819" s="587"/>
      <c r="M819" s="851"/>
      <c r="N819" s="852"/>
      <c r="O819" s="851"/>
      <c r="P819" s="1459" t="s">
        <v>777</v>
      </c>
      <c r="Q819" s="1459"/>
      <c r="R819" s="1459"/>
      <c r="S819" s="1459"/>
      <c r="T819" s="1459"/>
      <c r="U819" s="1459"/>
    </row>
    <row r="820" spans="1:21" ht="15" customHeight="1">
      <c r="A820" s="849"/>
      <c r="E820" s="1287" t="s">
        <v>778</v>
      </c>
      <c r="F820" s="1287"/>
      <c r="G820" s="1287"/>
      <c r="H820" s="1287"/>
      <c r="I820" s="1287"/>
      <c r="J820" s="1287"/>
      <c r="K820" s="1287"/>
      <c r="L820" s="1287"/>
      <c r="M820" s="1287"/>
      <c r="N820" s="1287"/>
      <c r="O820" s="1287"/>
      <c r="P820" s="1287"/>
      <c r="Q820" s="1287"/>
      <c r="R820" s="1287"/>
      <c r="U820" s="456"/>
    </row>
    <row r="821" spans="1:21" ht="18.75" customHeight="1">
      <c r="A821" s="849"/>
      <c r="E821" s="1286" t="s">
        <v>779</v>
      </c>
      <c r="F821" s="1286"/>
      <c r="G821" s="1286"/>
      <c r="H821" s="1286"/>
      <c r="I821" s="1286"/>
      <c r="J821" s="1286"/>
      <c r="K821" s="1286"/>
      <c r="L821" s="1286"/>
      <c r="M821" s="1286"/>
      <c r="N821" s="1286"/>
      <c r="O821" s="1286"/>
      <c r="P821" s="1286"/>
      <c r="Q821" s="1286"/>
      <c r="R821" s="1286"/>
      <c r="U821" s="853"/>
    </row>
    <row r="822" spans="1:21" ht="23.25" customHeight="1">
      <c r="A822" s="854" t="s">
        <v>780</v>
      </c>
      <c r="B822" s="855"/>
      <c r="C822" s="855"/>
      <c r="D822" s="856" t="s">
        <v>848</v>
      </c>
      <c r="E822" s="857"/>
      <c r="F822" s="858"/>
      <c r="G822" s="859"/>
      <c r="H822" s="859"/>
      <c r="I822" s="859"/>
      <c r="J822" s="859"/>
      <c r="K822" s="859"/>
      <c r="L822" s="860"/>
      <c r="M822" s="1460"/>
      <c r="N822" s="1460"/>
      <c r="O822" s="1460"/>
      <c r="P822" s="1461" t="s">
        <v>781</v>
      </c>
      <c r="Q822" s="1461"/>
      <c r="R822" s="1461"/>
      <c r="S822" s="855"/>
      <c r="T822" s="861">
        <v>46308</v>
      </c>
      <c r="U822" s="456"/>
    </row>
    <row r="823" spans="1:21" ht="23.25" customHeight="1">
      <c r="A823" s="854"/>
      <c r="B823" s="862"/>
      <c r="C823" s="862"/>
      <c r="D823" s="862"/>
      <c r="E823" s="163"/>
      <c r="F823" s="863"/>
      <c r="G823" s="863"/>
      <c r="H823" s="863"/>
      <c r="I823" s="863"/>
      <c r="J823" s="863"/>
      <c r="K823" s="863"/>
      <c r="U823" s="456"/>
    </row>
    <row r="824" spans="1:21" ht="21" customHeight="1">
      <c r="A824" s="864" t="s">
        <v>782</v>
      </c>
      <c r="B824" s="865"/>
      <c r="C824" s="866"/>
      <c r="D824" s="867"/>
      <c r="E824" s="868"/>
      <c r="F824" s="869"/>
      <c r="G824" s="869"/>
      <c r="H824" s="869"/>
      <c r="I824" s="870"/>
      <c r="J824" s="870"/>
      <c r="P824" s="1462"/>
      <c r="Q824" s="1462"/>
      <c r="R824" s="1462"/>
      <c r="S824" s="1462"/>
      <c r="T824" s="871"/>
      <c r="U824" s="456"/>
    </row>
    <row r="825" spans="1:21" ht="21" customHeight="1">
      <c r="A825" s="872"/>
      <c r="B825" s="873"/>
      <c r="C825" s="869"/>
      <c r="D825" s="869"/>
      <c r="E825" s="869"/>
      <c r="F825" s="869"/>
      <c r="G825" s="869"/>
      <c r="H825" s="869"/>
      <c r="I825" s="870"/>
      <c r="J825" s="870"/>
      <c r="U825" s="456"/>
    </row>
    <row r="826" spans="1:21" ht="15" customHeight="1">
      <c r="A826" s="1463" t="s">
        <v>783</v>
      </c>
      <c r="B826" s="1463"/>
      <c r="C826" s="1463"/>
      <c r="D826" s="1463"/>
      <c r="E826" s="1463"/>
      <c r="F826" s="1463"/>
      <c r="G826" s="1463"/>
      <c r="H826" s="1463"/>
      <c r="I826" s="1463"/>
      <c r="J826" s="1463"/>
      <c r="K826" s="1463"/>
      <c r="L826" s="1463"/>
      <c r="M826" s="1463"/>
      <c r="N826" s="1463"/>
      <c r="O826" s="1463"/>
      <c r="P826" s="1463"/>
      <c r="Q826" s="1463"/>
      <c r="R826" s="1463"/>
      <c r="S826" s="1463"/>
      <c r="T826" s="1463"/>
      <c r="U826" s="1463"/>
    </row>
    <row r="827" spans="1:21" ht="15" customHeight="1">
      <c r="A827" s="1463"/>
      <c r="B827" s="1463"/>
      <c r="C827" s="1463"/>
      <c r="D827" s="1463"/>
      <c r="E827" s="1463"/>
      <c r="F827" s="1463"/>
      <c r="G827" s="1463"/>
      <c r="H827" s="1463"/>
      <c r="I827" s="1463"/>
      <c r="J827" s="1463"/>
      <c r="K827" s="1463"/>
      <c r="L827" s="1463"/>
      <c r="M827" s="1463"/>
      <c r="N827" s="1463"/>
      <c r="O827" s="1463"/>
      <c r="P827" s="1463"/>
      <c r="Q827" s="1463"/>
      <c r="R827" s="1463"/>
      <c r="S827" s="1463"/>
      <c r="T827" s="1463"/>
      <c r="U827" s="1463"/>
    </row>
    <row r="828" spans="1:21" ht="18" customHeight="1">
      <c r="A828" s="1464" t="s">
        <v>784</v>
      </c>
      <c r="B828" s="1464"/>
      <c r="C828" s="1464"/>
      <c r="D828" s="1464"/>
      <c r="E828" s="1464"/>
      <c r="F828" s="1464"/>
      <c r="G828" s="1464"/>
      <c r="H828" s="1464"/>
      <c r="I828" s="1464"/>
      <c r="J828" s="1464"/>
      <c r="K828" s="1464"/>
      <c r="L828" s="1464"/>
      <c r="M828" s="1464"/>
      <c r="N828" s="1464"/>
      <c r="O828" s="1464"/>
      <c r="P828" s="1464"/>
      <c r="Q828" s="1464"/>
      <c r="R828" s="1464"/>
      <c r="S828" s="1464"/>
      <c r="T828" s="1464"/>
      <c r="U828" s="1464"/>
    </row>
    <row r="829" spans="1:21" ht="23.25" customHeight="1">
      <c r="A829" s="1465" t="s">
        <v>785</v>
      </c>
      <c r="B829" s="1465"/>
      <c r="C829" s="1465"/>
      <c r="D829" s="1465"/>
      <c r="E829" s="1465"/>
      <c r="F829" s="1465"/>
      <c r="G829" s="1465"/>
      <c r="H829" s="1465"/>
      <c r="I829" s="1465"/>
      <c r="J829" s="1465"/>
      <c r="K829" s="1465"/>
      <c r="L829" s="1465"/>
      <c r="M829" s="1465"/>
      <c r="N829" s="1465"/>
      <c r="O829" s="1465"/>
      <c r="P829" s="1465"/>
      <c r="Q829" s="1465"/>
      <c r="R829" s="1465"/>
      <c r="S829" s="1465"/>
      <c r="T829" s="1465"/>
      <c r="U829" s="1465"/>
    </row>
    <row r="830" spans="1:21" ht="21.75" customHeight="1">
      <c r="A830" s="874"/>
      <c r="B830" s="875"/>
      <c r="C830" s="875"/>
      <c r="D830" s="875"/>
      <c r="E830" s="875"/>
      <c r="F830" s="875"/>
      <c r="G830" s="875"/>
      <c r="H830" s="875"/>
      <c r="I830" s="875"/>
      <c r="J830" s="875"/>
      <c r="K830" s="875"/>
      <c r="L830" s="875"/>
      <c r="M830" s="875"/>
      <c r="N830" s="875"/>
      <c r="O830" s="875"/>
      <c r="P830" s="875"/>
      <c r="Q830" s="875"/>
      <c r="R830" s="875"/>
      <c r="S830" s="875"/>
      <c r="T830" s="875"/>
      <c r="U830" s="876"/>
    </row>
    <row r="831" spans="1:21" ht="15" customHeight="1">
      <c r="A831" s="1466" t="s">
        <v>786</v>
      </c>
      <c r="B831" s="1467" t="s">
        <v>787</v>
      </c>
      <c r="C831" s="1468" t="s">
        <v>788</v>
      </c>
      <c r="D831" s="1468" t="s">
        <v>789</v>
      </c>
      <c r="E831" s="1469" t="s">
        <v>790</v>
      </c>
      <c r="F831" s="1468" t="s">
        <v>791</v>
      </c>
      <c r="G831" s="1468"/>
      <c r="H831" s="1468"/>
      <c r="I831" s="1468"/>
      <c r="J831" s="1468"/>
      <c r="K831" s="1468"/>
      <c r="L831" s="1468"/>
      <c r="M831" s="1468"/>
      <c r="N831" s="1468"/>
      <c r="O831" s="1468"/>
      <c r="P831" s="1470"/>
      <c r="Q831" s="1470"/>
      <c r="R831" s="1470"/>
      <c r="S831" s="1470"/>
      <c r="T831" s="1470"/>
      <c r="U831" s="1470"/>
    </row>
    <row r="832" spans="1:21" ht="15.75" customHeight="1">
      <c r="A832" s="1466"/>
      <c r="B832" s="1467"/>
      <c r="C832" s="1468"/>
      <c r="D832" s="1468"/>
      <c r="E832" s="1469"/>
      <c r="F832" s="1468"/>
      <c r="G832" s="1468"/>
      <c r="H832" s="1468"/>
      <c r="I832" s="1468"/>
      <c r="J832" s="1468"/>
      <c r="K832" s="1468"/>
      <c r="L832" s="1468"/>
      <c r="M832" s="1468"/>
      <c r="N832" s="1468"/>
      <c r="O832" s="1468"/>
      <c r="P832" s="1470"/>
      <c r="Q832" s="1470"/>
      <c r="R832" s="1470"/>
      <c r="S832" s="1470"/>
      <c r="T832" s="1470"/>
      <c r="U832" s="1470"/>
    </row>
    <row r="833" spans="1:21" ht="48" customHeight="1">
      <c r="A833" s="1466"/>
      <c r="B833" s="1467"/>
      <c r="C833" s="1468"/>
      <c r="D833" s="1468"/>
      <c r="E833" s="1469"/>
      <c r="F833" s="878" t="s">
        <v>792</v>
      </c>
      <c r="G833" s="877" t="s">
        <v>793</v>
      </c>
      <c r="H833" s="878" t="s">
        <v>794</v>
      </c>
      <c r="I833" s="879" t="s">
        <v>795</v>
      </c>
      <c r="J833" s="880" t="s">
        <v>796</v>
      </c>
      <c r="K833" s="1468" t="s">
        <v>797</v>
      </c>
      <c r="L833" s="1468"/>
      <c r="M833" s="1468"/>
      <c r="N833" s="1468"/>
      <c r="O833" s="1468"/>
      <c r="P833" s="881" t="s">
        <v>798</v>
      </c>
      <c r="Q833" s="882" t="s">
        <v>799</v>
      </c>
      <c r="R833" s="1469" t="s">
        <v>800</v>
      </c>
      <c r="S833" s="1469"/>
      <c r="T833" s="877" t="s">
        <v>801</v>
      </c>
      <c r="U833" s="879" t="s">
        <v>104</v>
      </c>
    </row>
    <row r="834" spans="1:21" ht="19.5" customHeight="1">
      <c r="A834" s="883"/>
      <c r="B834" s="884" t="str">
        <f>IF('BIS Doc'!AC391=130, "130 × 130", IF('BIS Doc'!AC391=160, "160 × 160", IF('BIS Doc'!AC391=110, "110 × 110", "Value not 130, 160, or 110")))</f>
        <v>Value not 130, 160, or 110</v>
      </c>
      <c r="C834" s="885">
        <f>'BIS Doc'!W391</f>
        <v>0</v>
      </c>
      <c r="D834" s="886"/>
      <c r="E834" s="887">
        <f>'BIS Doc'!AE391</f>
        <v>0</v>
      </c>
      <c r="F834" s="888">
        <f ca="1">'BIS Doc'!F391</f>
        <v>0</v>
      </c>
      <c r="G834" s="888">
        <f ca="1">'BIS Doc'!J391</f>
        <v>0</v>
      </c>
      <c r="H834" s="888">
        <f ca="1">'BIS Doc'!G391</f>
        <v>0.53263217146634378</v>
      </c>
      <c r="I834" s="889">
        <f ca="1">'BIS Doc'!H391</f>
        <v>0</v>
      </c>
      <c r="J834" s="889">
        <f ca="1">'BIS Doc'!I391</f>
        <v>0</v>
      </c>
      <c r="K834" s="1449" t="str">
        <f t="shared" ref="K834:K839" ca="1" si="24">IF(H834&lt;0.6, "IS 14650 CPS 10748/GR2", "IS 14650 CPS 10748/GR3")</f>
        <v>IS 14650 CPS 10748/GR2</v>
      </c>
      <c r="L834" s="1449"/>
      <c r="M834" s="1449"/>
      <c r="N834" s="1449"/>
      <c r="O834" s="1449"/>
      <c r="P834" s="890"/>
      <c r="Q834" s="891"/>
      <c r="R834" s="1449"/>
      <c r="S834" s="1449"/>
      <c r="T834" s="892"/>
      <c r="U834" s="1450" t="s">
        <v>802</v>
      </c>
    </row>
    <row r="835" spans="1:21" ht="19.5" customHeight="1">
      <c r="A835" s="893"/>
      <c r="B835" s="894" t="str">
        <f>IF('BIS Doc'!AC393=130, "130 × 130", IF('BIS Doc'!AC393=160, "160 × 160", IF('BIS Doc'!AC393=110, "110 × 110", "Value not 130, 160, or 110")))</f>
        <v>Value not 130, 160, or 110</v>
      </c>
      <c r="C835" s="895">
        <f>'BIS Doc'!W393</f>
        <v>0</v>
      </c>
      <c r="D835" s="896"/>
      <c r="E835" s="897">
        <f>'BIS Doc'!AE393</f>
        <v>0</v>
      </c>
      <c r="F835" s="898">
        <f ca="1">'BIS Doc'!F393</f>
        <v>0</v>
      </c>
      <c r="G835" s="899">
        <f ca="1">'BIS Doc'!J393</f>
        <v>0</v>
      </c>
      <c r="H835" s="900">
        <f ca="1">'BIS Doc'!G393</f>
        <v>0.56029929922797383</v>
      </c>
      <c r="I835" s="901">
        <f ca="1">'BIS Doc'!H393</f>
        <v>0</v>
      </c>
      <c r="J835" s="901">
        <f ca="1">'BIS Doc'!I393</f>
        <v>0</v>
      </c>
      <c r="K835" s="1451" t="str">
        <f t="shared" ca="1" si="24"/>
        <v>IS 14650 CPS 10748/GR2</v>
      </c>
      <c r="L835" s="1451"/>
      <c r="M835" s="1451"/>
      <c r="N835" s="1451"/>
      <c r="O835" s="1451"/>
      <c r="P835" s="902"/>
      <c r="Q835" s="903"/>
      <c r="R835" s="1451"/>
      <c r="S835" s="1451"/>
      <c r="T835" s="904"/>
      <c r="U835" s="1450"/>
    </row>
    <row r="836" spans="1:21" ht="19.5" customHeight="1">
      <c r="A836" s="864"/>
      <c r="B836" s="894" t="str">
        <f>IF('BIS Doc'!AC395=130, "130 × 130", IF('BIS Doc'!AC395=160, "160 × 160", IF('BIS Doc'!AC395=110, "110 × 110", "Value not 130, 160, or 110")))</f>
        <v>Value not 130, 160, or 110</v>
      </c>
      <c r="C836" s="895">
        <f>'BIS Doc'!W395</f>
        <v>0</v>
      </c>
      <c r="D836" s="896" t="s">
        <v>803</v>
      </c>
      <c r="E836" s="897">
        <f>'BIS Doc'!AE395</f>
        <v>0</v>
      </c>
      <c r="F836" s="898">
        <f ca="1">'BIS Doc'!F395</f>
        <v>0</v>
      </c>
      <c r="G836" s="899">
        <f ca="1">'BIS Doc'!J395</f>
        <v>0</v>
      </c>
      <c r="H836" s="900">
        <f ca="1">'BIS Doc'!G395</f>
        <v>0.51947991547425443</v>
      </c>
      <c r="I836" s="901">
        <f ca="1">'BIS Doc'!H395</f>
        <v>0</v>
      </c>
      <c r="J836" s="901">
        <f ca="1">'BIS Doc'!I395</f>
        <v>0</v>
      </c>
      <c r="K836" s="1451" t="str">
        <f t="shared" ca="1" si="24"/>
        <v>IS 14650 CPS 10748/GR2</v>
      </c>
      <c r="L836" s="1451"/>
      <c r="M836" s="1451"/>
      <c r="N836" s="1451"/>
      <c r="O836" s="1451"/>
      <c r="P836" s="902"/>
      <c r="Q836" s="905"/>
      <c r="R836" s="1451"/>
      <c r="S836" s="1451"/>
      <c r="T836" s="904"/>
      <c r="U836" s="1450"/>
    </row>
    <row r="837" spans="1:21" ht="19.5" customHeight="1">
      <c r="A837" s="864"/>
      <c r="B837" s="894" t="str">
        <f>IF('BIS Doc'!AC397=130, "130 × 130", IF('BIS Doc'!AC397=160, "160 × 160", IF('BIS Doc'!AC397=110, "110 × 110", "Value not 130, 160, or 110")))</f>
        <v>Value not 130, 160, or 110</v>
      </c>
      <c r="C837" s="895">
        <f>'BIS Doc'!W397</f>
        <v>0</v>
      </c>
      <c r="D837" s="896"/>
      <c r="E837" s="897">
        <f>'BIS Doc'!AE397</f>
        <v>0</v>
      </c>
      <c r="F837" s="898">
        <f ca="1">'BIS Doc'!F397</f>
        <v>0</v>
      </c>
      <c r="G837" s="899">
        <f ca="1">'BIS Doc'!J397</f>
        <v>0</v>
      </c>
      <c r="H837" s="900">
        <f ca="1">'BIS Doc'!G397</f>
        <v>0.5794553811656703</v>
      </c>
      <c r="I837" s="901">
        <f ca="1">'BIS Doc'!H397</f>
        <v>0</v>
      </c>
      <c r="J837" s="901">
        <f ca="1">'BIS Doc'!I397</f>
        <v>0</v>
      </c>
      <c r="K837" s="1451" t="str">
        <f t="shared" ca="1" si="24"/>
        <v>IS 14650 CPS 10748/GR2</v>
      </c>
      <c r="L837" s="1451"/>
      <c r="M837" s="1451"/>
      <c r="N837" s="1451"/>
      <c r="O837" s="1451"/>
      <c r="P837" s="902"/>
      <c r="Q837" s="905"/>
      <c r="R837" s="1451"/>
      <c r="S837" s="1451"/>
      <c r="T837" s="904"/>
      <c r="U837" s="1450"/>
    </row>
    <row r="838" spans="1:21" ht="19.5" customHeight="1">
      <c r="A838" s="864"/>
      <c r="B838" s="894" t="str">
        <f>IF('BIS Doc'!AC399=130, "130 × 130", IF('BIS Doc'!AC399=160, "160 × 160", IF('BIS Doc'!AC399=110, "110 × 110", "Value not 130, 160, or 110")))</f>
        <v>Value not 130, 160, or 110</v>
      </c>
      <c r="C838" s="895">
        <f>'BIS Doc'!W399</f>
        <v>0</v>
      </c>
      <c r="D838" s="896"/>
      <c r="E838" s="897">
        <f>'BIS Doc'!AE399</f>
        <v>0</v>
      </c>
      <c r="F838" s="898">
        <f ca="1">'BIS Doc'!F399</f>
        <v>0</v>
      </c>
      <c r="G838" s="899">
        <f ca="1">'BIS Doc'!J399</f>
        <v>0</v>
      </c>
      <c r="H838" s="900">
        <f ca="1">'BIS Doc'!G399</f>
        <v>0.54288736481187849</v>
      </c>
      <c r="I838" s="901">
        <f ca="1">'BIS Doc'!H399</f>
        <v>0</v>
      </c>
      <c r="J838" s="901">
        <f ca="1">'BIS Doc'!I399</f>
        <v>0</v>
      </c>
      <c r="K838" s="1451" t="str">
        <f t="shared" ca="1" si="24"/>
        <v>IS 14650 CPS 10748/GR2</v>
      </c>
      <c r="L838" s="1451"/>
      <c r="M838" s="1451"/>
      <c r="N838" s="1451"/>
      <c r="O838" s="1451"/>
      <c r="P838" s="902"/>
      <c r="Q838" s="905"/>
      <c r="R838" s="1451"/>
      <c r="S838" s="1451"/>
      <c r="T838" s="904"/>
      <c r="U838" s="1450"/>
    </row>
    <row r="839" spans="1:21" ht="19.5" customHeight="1">
      <c r="A839" s="864"/>
      <c r="B839" s="894" t="str">
        <f>IF('BIS Doc'!AC401=130, "130 × 130", IF('BIS Doc'!AC401=160, "160 × 160", IF('BIS Doc'!AC401=110, "110 × 110", "Value not 130, 160, or 110")))</f>
        <v>Value not 130, 160, or 110</v>
      </c>
      <c r="C839" s="895">
        <f>'BIS Doc'!W401</f>
        <v>0</v>
      </c>
      <c r="D839" s="896"/>
      <c r="E839" s="897">
        <f>'BIS Doc'!AE401</f>
        <v>0</v>
      </c>
      <c r="F839" s="898">
        <f ca="1">'BIS Doc'!F401</f>
        <v>0</v>
      </c>
      <c r="G839" s="899">
        <f ca="1">'BIS Doc'!J401</f>
        <v>0</v>
      </c>
      <c r="H839" s="900">
        <f ca="1">'BIS Doc'!G401</f>
        <v>0.55926501093850856</v>
      </c>
      <c r="I839" s="901">
        <f ca="1">'BIS Doc'!H401</f>
        <v>0</v>
      </c>
      <c r="J839" s="901">
        <f ca="1">'BIS Doc'!I401</f>
        <v>0</v>
      </c>
      <c r="K839" s="1451" t="str">
        <f t="shared" ca="1" si="24"/>
        <v>IS 14650 CPS 10748/GR2</v>
      </c>
      <c r="L839" s="1451"/>
      <c r="M839" s="1451"/>
      <c r="N839" s="1451"/>
      <c r="O839" s="1451"/>
      <c r="P839" s="902"/>
      <c r="Q839" s="903"/>
      <c r="R839" s="1451"/>
      <c r="S839" s="1451"/>
      <c r="T839" s="904"/>
      <c r="U839" s="1450"/>
    </row>
    <row r="840" spans="1:21" ht="19.5" customHeight="1">
      <c r="A840" s="864"/>
      <c r="B840" s="904"/>
      <c r="C840" s="895"/>
      <c r="D840" s="896"/>
      <c r="E840" s="897"/>
      <c r="F840" s="906"/>
      <c r="G840" s="907"/>
      <c r="H840" s="908"/>
      <c r="I840" s="909"/>
      <c r="J840" s="909"/>
      <c r="K840" s="1451"/>
      <c r="L840" s="1451"/>
      <c r="M840" s="1451"/>
      <c r="N840" s="1451"/>
      <c r="O840" s="1451"/>
      <c r="P840" s="902"/>
      <c r="Q840" s="903"/>
      <c r="R840" s="1451"/>
      <c r="S840" s="1451"/>
      <c r="T840" s="904"/>
      <c r="U840" s="1450"/>
    </row>
    <row r="841" spans="1:21" ht="19.5" customHeight="1">
      <c r="A841" s="864"/>
      <c r="B841" s="904"/>
      <c r="C841" s="895"/>
      <c r="D841" s="896"/>
      <c r="E841" s="897"/>
      <c r="F841" s="906"/>
      <c r="G841" s="907"/>
      <c r="H841" s="908"/>
      <c r="I841" s="909"/>
      <c r="J841" s="909"/>
      <c r="K841" s="1451"/>
      <c r="L841" s="1451"/>
      <c r="M841" s="1451"/>
      <c r="N841" s="1451"/>
      <c r="O841" s="1451"/>
      <c r="P841" s="902"/>
      <c r="Q841" s="905"/>
      <c r="R841" s="1451"/>
      <c r="S841" s="1451"/>
      <c r="T841" s="904"/>
      <c r="U841" s="1450"/>
    </row>
    <row r="842" spans="1:21" ht="19.5" customHeight="1">
      <c r="A842" s="864"/>
      <c r="B842" s="910"/>
      <c r="C842" s="911"/>
      <c r="D842" s="896"/>
      <c r="E842" s="897"/>
      <c r="F842" s="906"/>
      <c r="G842" s="907"/>
      <c r="H842" s="908"/>
      <c r="I842" s="909"/>
      <c r="J842" s="909"/>
      <c r="K842" s="1451"/>
      <c r="L842" s="1451"/>
      <c r="M842" s="1451"/>
      <c r="N842" s="1451"/>
      <c r="O842" s="1451"/>
      <c r="P842" s="912"/>
      <c r="Q842" s="913"/>
      <c r="R842" s="1452"/>
      <c r="S842" s="1452"/>
      <c r="T842" s="910"/>
      <c r="U842" s="1450"/>
    </row>
    <row r="843" spans="1:21" ht="19.5" customHeight="1">
      <c r="A843" s="914"/>
      <c r="B843" s="915"/>
      <c r="C843" s="916"/>
      <c r="D843" s="917"/>
      <c r="E843" s="918">
        <f>SUM(E834:E839)</f>
        <v>0</v>
      </c>
      <c r="F843" s="919"/>
      <c r="G843" s="920"/>
      <c r="H843" s="921"/>
      <c r="I843" s="922"/>
      <c r="J843" s="922"/>
      <c r="K843" s="1453"/>
      <c r="L843" s="1453"/>
      <c r="M843" s="1453"/>
      <c r="N843" s="1453"/>
      <c r="O843" s="1453"/>
      <c r="P843" s="923"/>
      <c r="Q843" s="924"/>
      <c r="R843" s="1454"/>
      <c r="S843" s="1454"/>
      <c r="T843" s="915"/>
      <c r="U843" s="1450"/>
    </row>
    <row r="844" spans="1:21" ht="15.75" customHeight="1">
      <c r="A844" s="864"/>
      <c r="B844" s="773"/>
      <c r="C844" s="773"/>
      <c r="D844" s="925"/>
      <c r="E844" s="926"/>
      <c r="F844" s="927"/>
      <c r="G844" s="928"/>
      <c r="H844" s="259"/>
      <c r="I844" s="259"/>
      <c r="J844" s="928"/>
      <c r="K844" s="929"/>
      <c r="L844" s="929"/>
      <c r="M844" s="929"/>
      <c r="N844" s="929"/>
      <c r="O844" s="928"/>
      <c r="P844" s="930"/>
      <c r="Q844" s="931"/>
      <c r="R844" s="931"/>
      <c r="U844" s="932"/>
    </row>
    <row r="845" spans="1:21" ht="18.75" customHeight="1">
      <c r="A845" s="864"/>
      <c r="B845" s="773"/>
      <c r="C845" s="773"/>
      <c r="D845" s="773"/>
      <c r="E845" s="773"/>
      <c r="F845" s="773"/>
      <c r="G845" s="773"/>
      <c r="H845" s="773"/>
      <c r="I845" s="773"/>
      <c r="J845" s="773"/>
      <c r="K845" s="773"/>
      <c r="P845" s="1446" t="s">
        <v>804</v>
      </c>
      <c r="Q845" s="1446"/>
      <c r="R845" s="1446"/>
      <c r="S845" s="1446"/>
      <c r="T845" s="1446"/>
      <c r="U845" s="1446"/>
    </row>
    <row r="846" spans="1:21" ht="18.75" customHeight="1">
      <c r="A846" s="1447" t="s">
        <v>805</v>
      </c>
      <c r="B846" s="1447"/>
      <c r="C846" s="933"/>
      <c r="D846" s="933"/>
      <c r="E846" s="933"/>
      <c r="F846" s="933"/>
      <c r="P846" s="855"/>
      <c r="Q846" s="855"/>
      <c r="R846" s="855"/>
      <c r="S846" s="855"/>
      <c r="T846" s="855"/>
      <c r="U846" s="934"/>
    </row>
    <row r="847" spans="1:21" ht="18.75" customHeight="1">
      <c r="A847" s="854"/>
      <c r="B847" s="855"/>
      <c r="P847" s="855"/>
      <c r="Q847" s="855"/>
      <c r="R847" s="855"/>
      <c r="S847" s="855"/>
      <c r="T847" s="855"/>
      <c r="U847" s="934"/>
    </row>
    <row r="848" spans="1:21" ht="18.75" customHeight="1">
      <c r="A848" s="854" t="s">
        <v>806</v>
      </c>
      <c r="B848" s="855"/>
      <c r="C848" s="867"/>
      <c r="D848" s="941"/>
      <c r="E848" s="933"/>
      <c r="F848" s="933"/>
      <c r="P848" s="855"/>
      <c r="Q848" s="855"/>
      <c r="R848" s="855"/>
      <c r="S848" s="855"/>
      <c r="T848" s="855"/>
      <c r="U848" s="934"/>
    </row>
    <row r="849" spans="1:21" ht="18.75" customHeight="1">
      <c r="A849" s="854"/>
      <c r="B849" s="855"/>
      <c r="C849" s="937"/>
      <c r="P849" s="855"/>
      <c r="Q849" s="855"/>
      <c r="R849" s="855"/>
      <c r="S849" s="855"/>
      <c r="T849" s="855"/>
      <c r="U849" s="934"/>
    </row>
    <row r="850" spans="1:21" ht="19.5" customHeight="1">
      <c r="A850" s="938"/>
      <c r="B850" s="939"/>
      <c r="C850" s="940"/>
      <c r="D850" s="453"/>
      <c r="E850" s="453"/>
      <c r="F850" s="453"/>
      <c r="G850" s="453"/>
      <c r="H850" s="453"/>
      <c r="I850" s="453"/>
      <c r="J850" s="453"/>
      <c r="K850" s="453"/>
      <c r="L850" s="453"/>
      <c r="M850" s="453"/>
      <c r="N850" s="453"/>
      <c r="O850" s="453"/>
      <c r="P850" s="1448" t="s">
        <v>807</v>
      </c>
      <c r="Q850" s="1448"/>
      <c r="R850" s="1448"/>
      <c r="S850" s="1448"/>
      <c r="T850" s="1448"/>
      <c r="U850" s="1448"/>
    </row>
    <row r="851" spans="1:21" ht="45.75" customHeight="1">
      <c r="A851" s="1455"/>
      <c r="B851" s="1455"/>
      <c r="C851" s="1455"/>
      <c r="D851" s="847"/>
      <c r="E851" s="1456" t="s">
        <v>774</v>
      </c>
      <c r="F851" s="1456"/>
      <c r="G851" s="1456"/>
      <c r="H851" s="1456"/>
      <c r="I851" s="1456"/>
      <c r="J851" s="1456"/>
      <c r="K851" s="1456"/>
      <c r="L851" s="1456"/>
      <c r="M851" s="1456"/>
      <c r="N851" s="1456"/>
      <c r="O851" s="1456"/>
      <c r="P851" s="1456"/>
      <c r="Q851" s="1456"/>
      <c r="R851" s="1456"/>
      <c r="S851" s="848"/>
      <c r="T851" s="1457" t="s">
        <v>775</v>
      </c>
      <c r="U851" s="1457"/>
    </row>
    <row r="852" spans="1:21" ht="18.75" customHeight="1">
      <c r="A852" s="849"/>
      <c r="E852" s="1458" t="s">
        <v>776</v>
      </c>
      <c r="F852" s="1458"/>
      <c r="G852" s="1458"/>
      <c r="H852" s="1458"/>
      <c r="I852" s="1458"/>
      <c r="J852" s="1458"/>
      <c r="K852" s="1458"/>
      <c r="L852" s="1458"/>
      <c r="M852" s="1458"/>
      <c r="N852" s="1458"/>
      <c r="O852" s="1458"/>
      <c r="P852" s="1458"/>
      <c r="Q852" s="1458"/>
      <c r="R852" s="1458"/>
      <c r="U852" s="456"/>
    </row>
    <row r="853" spans="1:21" ht="18.75" customHeight="1">
      <c r="A853" s="850"/>
      <c r="F853" s="587"/>
      <c r="G853" s="587"/>
      <c r="H853" s="587"/>
      <c r="I853" s="587"/>
      <c r="J853" s="587"/>
      <c r="K853" s="587"/>
      <c r="L853" s="587"/>
      <c r="M853" s="851"/>
      <c r="N853" s="852"/>
      <c r="O853" s="851"/>
      <c r="P853" s="1459" t="s">
        <v>777</v>
      </c>
      <c r="Q853" s="1459"/>
      <c r="R853" s="1459"/>
      <c r="S853" s="1459"/>
      <c r="T853" s="1459"/>
      <c r="U853" s="1459"/>
    </row>
    <row r="854" spans="1:21" ht="15" customHeight="1">
      <c r="A854" s="849"/>
      <c r="E854" s="1287" t="s">
        <v>778</v>
      </c>
      <c r="F854" s="1287"/>
      <c r="G854" s="1287"/>
      <c r="H854" s="1287"/>
      <c r="I854" s="1287"/>
      <c r="J854" s="1287"/>
      <c r="K854" s="1287"/>
      <c r="L854" s="1287"/>
      <c r="M854" s="1287"/>
      <c r="N854" s="1287"/>
      <c r="O854" s="1287"/>
      <c r="P854" s="1287"/>
      <c r="Q854" s="1287"/>
      <c r="R854" s="1287"/>
      <c r="U854" s="456"/>
    </row>
    <row r="855" spans="1:21" ht="18.75" customHeight="1">
      <c r="A855" s="849"/>
      <c r="E855" s="1286" t="s">
        <v>779</v>
      </c>
      <c r="F855" s="1286"/>
      <c r="G855" s="1286"/>
      <c r="H855" s="1286"/>
      <c r="I855" s="1286"/>
      <c r="J855" s="1286"/>
      <c r="K855" s="1286"/>
      <c r="L855" s="1286"/>
      <c r="M855" s="1286"/>
      <c r="N855" s="1286"/>
      <c r="O855" s="1286"/>
      <c r="P855" s="1286"/>
      <c r="Q855" s="1286"/>
      <c r="R855" s="1286"/>
      <c r="U855" s="853"/>
    </row>
    <row r="856" spans="1:21" ht="23.25" customHeight="1">
      <c r="A856" s="854" t="s">
        <v>780</v>
      </c>
      <c r="B856" s="855"/>
      <c r="C856" s="855"/>
      <c r="D856" s="856" t="s">
        <v>849</v>
      </c>
      <c r="E856" s="857"/>
      <c r="F856" s="858"/>
      <c r="G856" s="859"/>
      <c r="H856" s="859"/>
      <c r="I856" s="859"/>
      <c r="J856" s="859"/>
      <c r="K856" s="859"/>
      <c r="L856" s="860"/>
      <c r="M856" s="1460"/>
      <c r="N856" s="1460"/>
      <c r="O856" s="1460"/>
      <c r="P856" s="1461" t="s">
        <v>781</v>
      </c>
      <c r="Q856" s="1461"/>
      <c r="R856" s="1461"/>
      <c r="S856" s="855"/>
      <c r="T856" s="861">
        <v>46308</v>
      </c>
      <c r="U856" s="456"/>
    </row>
    <row r="857" spans="1:21" ht="23.25" customHeight="1">
      <c r="A857" s="854"/>
      <c r="B857" s="862"/>
      <c r="C857" s="862"/>
      <c r="D857" s="862"/>
      <c r="E857" s="163"/>
      <c r="F857" s="863"/>
      <c r="G857" s="863"/>
      <c r="H857" s="863"/>
      <c r="I857" s="863"/>
      <c r="J857" s="863"/>
      <c r="K857" s="863"/>
      <c r="U857" s="456"/>
    </row>
    <row r="858" spans="1:21" ht="21" customHeight="1">
      <c r="A858" s="864" t="s">
        <v>782</v>
      </c>
      <c r="B858" s="865"/>
      <c r="C858" s="866"/>
      <c r="D858" s="867"/>
      <c r="E858" s="868"/>
      <c r="F858" s="869"/>
      <c r="G858" s="869"/>
      <c r="H858" s="869"/>
      <c r="I858" s="870"/>
      <c r="J858" s="870"/>
      <c r="P858" s="1462"/>
      <c r="Q858" s="1462"/>
      <c r="R858" s="1462"/>
      <c r="S858" s="1462"/>
      <c r="T858" s="871"/>
      <c r="U858" s="456"/>
    </row>
    <row r="859" spans="1:21" ht="21" customHeight="1">
      <c r="A859" s="872"/>
      <c r="B859" s="873"/>
      <c r="C859" s="869"/>
      <c r="D859" s="869"/>
      <c r="E859" s="869"/>
      <c r="F859" s="869"/>
      <c r="G859" s="869"/>
      <c r="H859" s="869"/>
      <c r="I859" s="870"/>
      <c r="J859" s="870"/>
      <c r="U859" s="456"/>
    </row>
    <row r="860" spans="1:21" ht="15" customHeight="1">
      <c r="A860" s="1463" t="s">
        <v>783</v>
      </c>
      <c r="B860" s="1463"/>
      <c r="C860" s="1463"/>
      <c r="D860" s="1463"/>
      <c r="E860" s="1463"/>
      <c r="F860" s="1463"/>
      <c r="G860" s="1463"/>
      <c r="H860" s="1463"/>
      <c r="I860" s="1463"/>
      <c r="J860" s="1463"/>
      <c r="K860" s="1463"/>
      <c r="L860" s="1463"/>
      <c r="M860" s="1463"/>
      <c r="N860" s="1463"/>
      <c r="O860" s="1463"/>
      <c r="P860" s="1463"/>
      <c r="Q860" s="1463"/>
      <c r="R860" s="1463"/>
      <c r="S860" s="1463"/>
      <c r="T860" s="1463"/>
      <c r="U860" s="1463"/>
    </row>
    <row r="861" spans="1:21" ht="15" customHeight="1">
      <c r="A861" s="1463"/>
      <c r="B861" s="1463"/>
      <c r="C861" s="1463"/>
      <c r="D861" s="1463"/>
      <c r="E861" s="1463"/>
      <c r="F861" s="1463"/>
      <c r="G861" s="1463"/>
      <c r="H861" s="1463"/>
      <c r="I861" s="1463"/>
      <c r="J861" s="1463"/>
      <c r="K861" s="1463"/>
      <c r="L861" s="1463"/>
      <c r="M861" s="1463"/>
      <c r="N861" s="1463"/>
      <c r="O861" s="1463"/>
      <c r="P861" s="1463"/>
      <c r="Q861" s="1463"/>
      <c r="R861" s="1463"/>
      <c r="S861" s="1463"/>
      <c r="T861" s="1463"/>
      <c r="U861" s="1463"/>
    </row>
    <row r="862" spans="1:21" ht="18" customHeight="1">
      <c r="A862" s="1464" t="s">
        <v>784</v>
      </c>
      <c r="B862" s="1464"/>
      <c r="C862" s="1464"/>
      <c r="D862" s="1464"/>
      <c r="E862" s="1464"/>
      <c r="F862" s="1464"/>
      <c r="G862" s="1464"/>
      <c r="H862" s="1464"/>
      <c r="I862" s="1464"/>
      <c r="J862" s="1464"/>
      <c r="K862" s="1464"/>
      <c r="L862" s="1464"/>
      <c r="M862" s="1464"/>
      <c r="N862" s="1464"/>
      <c r="O862" s="1464"/>
      <c r="P862" s="1464"/>
      <c r="Q862" s="1464"/>
      <c r="R862" s="1464"/>
      <c r="S862" s="1464"/>
      <c r="T862" s="1464"/>
      <c r="U862" s="1464"/>
    </row>
    <row r="863" spans="1:21" ht="23.25" customHeight="1">
      <c r="A863" s="1465" t="s">
        <v>785</v>
      </c>
      <c r="B863" s="1465"/>
      <c r="C863" s="1465"/>
      <c r="D863" s="1465"/>
      <c r="E863" s="1465"/>
      <c r="F863" s="1465"/>
      <c r="G863" s="1465"/>
      <c r="H863" s="1465"/>
      <c r="I863" s="1465"/>
      <c r="J863" s="1465"/>
      <c r="K863" s="1465"/>
      <c r="L863" s="1465"/>
      <c r="M863" s="1465"/>
      <c r="N863" s="1465"/>
      <c r="O863" s="1465"/>
      <c r="P863" s="1465"/>
      <c r="Q863" s="1465"/>
      <c r="R863" s="1465"/>
      <c r="S863" s="1465"/>
      <c r="T863" s="1465"/>
      <c r="U863" s="1465"/>
    </row>
    <row r="864" spans="1:21" ht="21.75" customHeight="1">
      <c r="A864" s="874"/>
      <c r="B864" s="875"/>
      <c r="C864" s="875"/>
      <c r="D864" s="875"/>
      <c r="E864" s="875"/>
      <c r="F864" s="875"/>
      <c r="G864" s="875"/>
      <c r="H864" s="875"/>
      <c r="I864" s="875"/>
      <c r="J864" s="875"/>
      <c r="K864" s="875"/>
      <c r="L864" s="875"/>
      <c r="M864" s="875"/>
      <c r="N864" s="875"/>
      <c r="O864" s="875"/>
      <c r="P864" s="875"/>
      <c r="Q864" s="875"/>
      <c r="R864" s="875"/>
      <c r="S864" s="875"/>
      <c r="T864" s="875"/>
      <c r="U864" s="876"/>
    </row>
    <row r="865" spans="1:21" ht="15" customHeight="1">
      <c r="A865" s="1466" t="s">
        <v>786</v>
      </c>
      <c r="B865" s="1467" t="s">
        <v>787</v>
      </c>
      <c r="C865" s="1468" t="s">
        <v>788</v>
      </c>
      <c r="D865" s="1468" t="s">
        <v>789</v>
      </c>
      <c r="E865" s="1469" t="s">
        <v>790</v>
      </c>
      <c r="F865" s="1468" t="s">
        <v>791</v>
      </c>
      <c r="G865" s="1468"/>
      <c r="H865" s="1468"/>
      <c r="I865" s="1468"/>
      <c r="J865" s="1468"/>
      <c r="K865" s="1468"/>
      <c r="L865" s="1468"/>
      <c r="M865" s="1468"/>
      <c r="N865" s="1468"/>
      <c r="O865" s="1468"/>
      <c r="P865" s="1470"/>
      <c r="Q865" s="1470"/>
      <c r="R865" s="1470"/>
      <c r="S865" s="1470"/>
      <c r="T865" s="1470"/>
      <c r="U865" s="1470"/>
    </row>
    <row r="866" spans="1:21" ht="15.75" customHeight="1">
      <c r="A866" s="1466"/>
      <c r="B866" s="1467"/>
      <c r="C866" s="1468"/>
      <c r="D866" s="1468"/>
      <c r="E866" s="1469"/>
      <c r="F866" s="1468"/>
      <c r="G866" s="1468"/>
      <c r="H866" s="1468"/>
      <c r="I866" s="1468"/>
      <c r="J866" s="1468"/>
      <c r="K866" s="1468"/>
      <c r="L866" s="1468"/>
      <c r="M866" s="1468"/>
      <c r="N866" s="1468"/>
      <c r="O866" s="1468"/>
      <c r="P866" s="1470"/>
      <c r="Q866" s="1470"/>
      <c r="R866" s="1470"/>
      <c r="S866" s="1470"/>
      <c r="T866" s="1470"/>
      <c r="U866" s="1470"/>
    </row>
    <row r="867" spans="1:21" ht="48" customHeight="1">
      <c r="A867" s="1466"/>
      <c r="B867" s="1467"/>
      <c r="C867" s="1468"/>
      <c r="D867" s="1468"/>
      <c r="E867" s="1469"/>
      <c r="F867" s="878" t="s">
        <v>792</v>
      </c>
      <c r="G867" s="877" t="s">
        <v>793</v>
      </c>
      <c r="H867" s="878" t="s">
        <v>794</v>
      </c>
      <c r="I867" s="879" t="s">
        <v>795</v>
      </c>
      <c r="J867" s="880" t="s">
        <v>796</v>
      </c>
      <c r="K867" s="1468" t="s">
        <v>797</v>
      </c>
      <c r="L867" s="1468"/>
      <c r="M867" s="1468"/>
      <c r="N867" s="1468"/>
      <c r="O867" s="1468"/>
      <c r="P867" s="881" t="s">
        <v>798</v>
      </c>
      <c r="Q867" s="882" t="s">
        <v>799</v>
      </c>
      <c r="R867" s="1469" t="s">
        <v>800</v>
      </c>
      <c r="S867" s="1469"/>
      <c r="T867" s="877" t="s">
        <v>801</v>
      </c>
      <c r="U867" s="879" t="s">
        <v>104</v>
      </c>
    </row>
    <row r="868" spans="1:21" ht="19.5" customHeight="1">
      <c r="A868" s="883"/>
      <c r="B868" s="884" t="str">
        <f>IF('BIS Doc'!AC403=130, "130 × 130", IF('BIS Doc'!AC403=160, "160 × 160", IF('BIS Doc'!AC403=110, "110 × 110", "Value not 130, 160, or 110")))</f>
        <v>Value not 130, 160, or 110</v>
      </c>
      <c r="C868" s="885">
        <f>'BIS Doc'!W403</f>
        <v>0</v>
      </c>
      <c r="D868" s="886"/>
      <c r="E868" s="887">
        <f>'BIS Doc'!AE403</f>
        <v>0</v>
      </c>
      <c r="F868" s="888">
        <f ca="1">'BIS Doc'!F403</f>
        <v>0</v>
      </c>
      <c r="G868" s="888">
        <f ca="1">'BIS Doc'!J403</f>
        <v>0</v>
      </c>
      <c r="H868" s="888">
        <f ca="1">'BIS Doc'!G403</f>
        <v>0.50165207102512055</v>
      </c>
      <c r="I868" s="889">
        <f ca="1">'BIS Doc'!H403</f>
        <v>0</v>
      </c>
      <c r="J868" s="889">
        <f ca="1">'BIS Doc'!I403</f>
        <v>0</v>
      </c>
      <c r="K868" s="1449" t="str">
        <f t="shared" ref="K868:K873" ca="1" si="25">IF(H868&lt;0.6, "IS 14650 CPS 10748/GR2", "IS 14650 CPS 10748/GR3")</f>
        <v>IS 14650 CPS 10748/GR2</v>
      </c>
      <c r="L868" s="1449"/>
      <c r="M868" s="1449"/>
      <c r="N868" s="1449"/>
      <c r="O868" s="1449"/>
      <c r="P868" s="890"/>
      <c r="Q868" s="891"/>
      <c r="R868" s="1449"/>
      <c r="S868" s="1449"/>
      <c r="T868" s="892"/>
      <c r="U868" s="1450" t="s">
        <v>802</v>
      </c>
    </row>
    <row r="869" spans="1:21" ht="19.5" customHeight="1">
      <c r="A869" s="893"/>
      <c r="B869" s="894" t="str">
        <f>IF('BIS Doc'!AC405=130, "130 × 130", IF('BIS Doc'!AC405=160, "160 × 160", IF('BIS Doc'!AC405=110, "110 × 110", "Value not 130, 160, or 110")))</f>
        <v>Value not 130, 160, or 110</v>
      </c>
      <c r="C869" s="895">
        <f>'BIS Doc'!W405</f>
        <v>0</v>
      </c>
      <c r="D869" s="896"/>
      <c r="E869" s="897">
        <f>'BIS Doc'!AE405</f>
        <v>0</v>
      </c>
      <c r="F869" s="898">
        <f ca="1">'BIS Doc'!F405</f>
        <v>0</v>
      </c>
      <c r="G869" s="899">
        <f ca="1">'BIS Doc'!J405</f>
        <v>0</v>
      </c>
      <c r="H869" s="900">
        <f ca="1">'BIS Doc'!G405</f>
        <v>0.52390079162977188</v>
      </c>
      <c r="I869" s="901">
        <f ca="1">'BIS Doc'!H405</f>
        <v>0</v>
      </c>
      <c r="J869" s="901">
        <f ca="1">'BIS Doc'!I405</f>
        <v>0</v>
      </c>
      <c r="K869" s="1451" t="str">
        <f t="shared" ca="1" si="25"/>
        <v>IS 14650 CPS 10748/GR2</v>
      </c>
      <c r="L869" s="1451"/>
      <c r="M869" s="1451"/>
      <c r="N869" s="1451"/>
      <c r="O869" s="1451"/>
      <c r="P869" s="902"/>
      <c r="Q869" s="903"/>
      <c r="R869" s="1451"/>
      <c r="S869" s="1451"/>
      <c r="T869" s="904"/>
      <c r="U869" s="1450"/>
    </row>
    <row r="870" spans="1:21" ht="19.5" customHeight="1">
      <c r="A870" s="864"/>
      <c r="B870" s="894" t="str">
        <f>IF('BIS Doc'!AC407=130, "130 × 130", IF('BIS Doc'!AC407=160, "160 × 160", IF('BIS Doc'!AC407=110, "110 × 110", "Value not 130, 160, or 110")))</f>
        <v>Value not 130, 160, or 110</v>
      </c>
      <c r="C870" s="895">
        <f>'BIS Doc'!W407</f>
        <v>0</v>
      </c>
      <c r="D870" s="896" t="s">
        <v>803</v>
      </c>
      <c r="E870" s="897">
        <f>'BIS Doc'!AE407</f>
        <v>0</v>
      </c>
      <c r="F870" s="898">
        <f ca="1">'BIS Doc'!F407</f>
        <v>0</v>
      </c>
      <c r="G870" s="899">
        <f ca="1">'BIS Doc'!J407</f>
        <v>0</v>
      </c>
      <c r="H870" s="900">
        <f ca="1">'BIS Doc'!G407</f>
        <v>0.54618528533337862</v>
      </c>
      <c r="I870" s="901">
        <f ca="1">'BIS Doc'!H407</f>
        <v>0</v>
      </c>
      <c r="J870" s="901">
        <f ca="1">'BIS Doc'!I407</f>
        <v>0</v>
      </c>
      <c r="K870" s="1451" t="str">
        <f t="shared" ca="1" si="25"/>
        <v>IS 14650 CPS 10748/GR2</v>
      </c>
      <c r="L870" s="1451"/>
      <c r="M870" s="1451"/>
      <c r="N870" s="1451"/>
      <c r="O870" s="1451"/>
      <c r="P870" s="902"/>
      <c r="Q870" s="905"/>
      <c r="R870" s="1451"/>
      <c r="S870" s="1451"/>
      <c r="T870" s="904"/>
      <c r="U870" s="1450"/>
    </row>
    <row r="871" spans="1:21" ht="19.5" customHeight="1">
      <c r="A871" s="864"/>
      <c r="B871" s="894" t="str">
        <f>IF('BIS Doc'!AC409=130, "130 × 130", IF('BIS Doc'!AC409=160, "160 × 160", IF('BIS Doc'!AC409=110, "110 × 110", "Value not 130, 160, or 110")))</f>
        <v>Value not 130, 160, or 110</v>
      </c>
      <c r="C871" s="895">
        <f>'BIS Doc'!W409</f>
        <v>0</v>
      </c>
      <c r="D871" s="896"/>
      <c r="E871" s="897">
        <f>'BIS Doc'!AE409</f>
        <v>0</v>
      </c>
      <c r="F871" s="898">
        <f ca="1">'BIS Doc'!F409</f>
        <v>0</v>
      </c>
      <c r="G871" s="899">
        <f ca="1">'BIS Doc'!J409</f>
        <v>0</v>
      </c>
      <c r="H871" s="900">
        <f ca="1">'BIS Doc'!G409</f>
        <v>0.53209585448590047</v>
      </c>
      <c r="I871" s="901">
        <f ca="1">'BIS Doc'!H409</f>
        <v>0</v>
      </c>
      <c r="J871" s="901">
        <f ca="1">'BIS Doc'!I409</f>
        <v>0</v>
      </c>
      <c r="K871" s="1451" t="str">
        <f t="shared" ca="1" si="25"/>
        <v>IS 14650 CPS 10748/GR2</v>
      </c>
      <c r="L871" s="1451"/>
      <c r="M871" s="1451"/>
      <c r="N871" s="1451"/>
      <c r="O871" s="1451"/>
      <c r="P871" s="902"/>
      <c r="Q871" s="905"/>
      <c r="R871" s="1451"/>
      <c r="S871" s="1451"/>
      <c r="T871" s="904"/>
      <c r="U871" s="1450"/>
    </row>
    <row r="872" spans="1:21" ht="19.5" customHeight="1">
      <c r="A872" s="864"/>
      <c r="B872" s="894" t="str">
        <f>IF('BIS Doc'!AC411=130, "130 × 130", IF('BIS Doc'!AC411=160, "160 × 160", IF('BIS Doc'!AC411=110, "110 × 110", "Value not 130, 160, or 110")))</f>
        <v>Value not 130, 160, or 110</v>
      </c>
      <c r="C872" s="895">
        <f>'BIS Doc'!W411</f>
        <v>0</v>
      </c>
      <c r="D872" s="896"/>
      <c r="E872" s="897">
        <f>'BIS Doc'!AE411</f>
        <v>0</v>
      </c>
      <c r="F872" s="898">
        <f ca="1">'BIS Doc'!F411</f>
        <v>0</v>
      </c>
      <c r="G872" s="899">
        <f ca="1">'BIS Doc'!J411</f>
        <v>0</v>
      </c>
      <c r="H872" s="900">
        <f ca="1">'BIS Doc'!G411</f>
        <v>0.5195708738661966</v>
      </c>
      <c r="I872" s="901">
        <f ca="1">'BIS Doc'!H411</f>
        <v>0</v>
      </c>
      <c r="J872" s="901">
        <f ca="1">'BIS Doc'!I411</f>
        <v>0</v>
      </c>
      <c r="K872" s="1451" t="str">
        <f t="shared" ca="1" si="25"/>
        <v>IS 14650 CPS 10748/GR2</v>
      </c>
      <c r="L872" s="1451"/>
      <c r="M872" s="1451"/>
      <c r="N872" s="1451"/>
      <c r="O872" s="1451"/>
      <c r="P872" s="902"/>
      <c r="Q872" s="905"/>
      <c r="R872" s="1451"/>
      <c r="S872" s="1451"/>
      <c r="T872" s="904"/>
      <c r="U872" s="1450"/>
    </row>
    <row r="873" spans="1:21" ht="19.5" customHeight="1">
      <c r="A873" s="864"/>
      <c r="B873" s="894" t="str">
        <f>IF('BIS Doc'!AC413=130, "130 × 130", IF('BIS Doc'!AC413=160, "160 × 160", IF('BIS Doc'!AC413=110, "110 × 110", "Value not 130, 160, or 110")))</f>
        <v>Value not 130, 160, or 110</v>
      </c>
      <c r="C873" s="895">
        <f>'BIS Doc'!W413</f>
        <v>0</v>
      </c>
      <c r="D873" s="896"/>
      <c r="E873" s="897">
        <f>'BIS Doc'!AE413</f>
        <v>0</v>
      </c>
      <c r="F873" s="898">
        <f ca="1">'BIS Doc'!F413</f>
        <v>0</v>
      </c>
      <c r="G873" s="899">
        <f ca="1">'BIS Doc'!J413</f>
        <v>0</v>
      </c>
      <c r="H873" s="900">
        <f ca="1">'BIS Doc'!G413</f>
        <v>0.57111807242222845</v>
      </c>
      <c r="I873" s="901">
        <f ca="1">'BIS Doc'!H413</f>
        <v>0</v>
      </c>
      <c r="J873" s="901">
        <f ca="1">'BIS Doc'!I413</f>
        <v>0</v>
      </c>
      <c r="K873" s="1451" t="str">
        <f t="shared" ca="1" si="25"/>
        <v>IS 14650 CPS 10748/GR2</v>
      </c>
      <c r="L873" s="1451"/>
      <c r="M873" s="1451"/>
      <c r="N873" s="1451"/>
      <c r="O873" s="1451"/>
      <c r="P873" s="902"/>
      <c r="Q873" s="903"/>
      <c r="R873" s="1451"/>
      <c r="S873" s="1451"/>
      <c r="T873" s="904"/>
      <c r="U873" s="1450"/>
    </row>
    <row r="874" spans="1:21" ht="19.5" customHeight="1">
      <c r="A874" s="864"/>
      <c r="B874" s="904"/>
      <c r="C874" s="895"/>
      <c r="D874" s="896"/>
      <c r="E874" s="897"/>
      <c r="F874" s="906"/>
      <c r="G874" s="907"/>
      <c r="H874" s="908"/>
      <c r="I874" s="909"/>
      <c r="J874" s="909"/>
      <c r="K874" s="1451"/>
      <c r="L874" s="1451"/>
      <c r="M874" s="1451"/>
      <c r="N874" s="1451"/>
      <c r="O874" s="1451"/>
      <c r="P874" s="902"/>
      <c r="Q874" s="903"/>
      <c r="R874" s="1451"/>
      <c r="S874" s="1451"/>
      <c r="T874" s="904"/>
      <c r="U874" s="1450"/>
    </row>
    <row r="875" spans="1:21" ht="19.5" customHeight="1">
      <c r="A875" s="864"/>
      <c r="B875" s="904"/>
      <c r="C875" s="895"/>
      <c r="D875" s="896"/>
      <c r="E875" s="897"/>
      <c r="F875" s="906"/>
      <c r="G875" s="907"/>
      <c r="H875" s="908"/>
      <c r="I875" s="909"/>
      <c r="J875" s="909"/>
      <c r="K875" s="1451"/>
      <c r="L875" s="1451"/>
      <c r="M875" s="1451"/>
      <c r="N875" s="1451"/>
      <c r="O875" s="1451"/>
      <c r="P875" s="902"/>
      <c r="Q875" s="905"/>
      <c r="R875" s="1451"/>
      <c r="S875" s="1451"/>
      <c r="T875" s="904"/>
      <c r="U875" s="1450"/>
    </row>
    <row r="876" spans="1:21" ht="19.5" customHeight="1">
      <c r="A876" s="864"/>
      <c r="B876" s="910"/>
      <c r="C876" s="911"/>
      <c r="D876" s="896"/>
      <c r="E876" s="897"/>
      <c r="F876" s="906"/>
      <c r="G876" s="907"/>
      <c r="H876" s="908"/>
      <c r="I876" s="909"/>
      <c r="J876" s="909"/>
      <c r="K876" s="1451"/>
      <c r="L876" s="1451"/>
      <c r="M876" s="1451"/>
      <c r="N876" s="1451"/>
      <c r="O876" s="1451"/>
      <c r="P876" s="912"/>
      <c r="Q876" s="913"/>
      <c r="R876" s="1452"/>
      <c r="S876" s="1452"/>
      <c r="T876" s="910"/>
      <c r="U876" s="1450"/>
    </row>
    <row r="877" spans="1:21" ht="19.5" customHeight="1">
      <c r="A877" s="914"/>
      <c r="B877" s="915"/>
      <c r="C877" s="916"/>
      <c r="D877" s="917"/>
      <c r="E877" s="918">
        <f>SUM(E868:E873)</f>
        <v>0</v>
      </c>
      <c r="F877" s="919"/>
      <c r="G877" s="920"/>
      <c r="H877" s="921"/>
      <c r="I877" s="922"/>
      <c r="J877" s="922"/>
      <c r="K877" s="1453"/>
      <c r="L877" s="1453"/>
      <c r="M877" s="1453"/>
      <c r="N877" s="1453"/>
      <c r="O877" s="1453"/>
      <c r="P877" s="923"/>
      <c r="Q877" s="924"/>
      <c r="R877" s="1454"/>
      <c r="S877" s="1454"/>
      <c r="T877" s="915"/>
      <c r="U877" s="1450"/>
    </row>
    <row r="878" spans="1:21" ht="15.75" customHeight="1">
      <c r="A878" s="864"/>
      <c r="B878" s="773"/>
      <c r="C878" s="773"/>
      <c r="D878" s="925"/>
      <c r="E878" s="926"/>
      <c r="F878" s="927"/>
      <c r="G878" s="928"/>
      <c r="H878" s="259"/>
      <c r="I878" s="259"/>
      <c r="J878" s="928"/>
      <c r="K878" s="929"/>
      <c r="L878" s="929"/>
      <c r="M878" s="929"/>
      <c r="N878" s="929"/>
      <c r="O878" s="928"/>
      <c r="P878" s="930"/>
      <c r="Q878" s="931"/>
      <c r="R878" s="931"/>
      <c r="U878" s="932"/>
    </row>
    <row r="879" spans="1:21" ht="18.75" customHeight="1">
      <c r="A879" s="864"/>
      <c r="B879" s="773"/>
      <c r="C879" s="773"/>
      <c r="D879" s="773"/>
      <c r="E879" s="773"/>
      <c r="F879" s="773"/>
      <c r="G879" s="773"/>
      <c r="H879" s="773"/>
      <c r="I879" s="773"/>
      <c r="J879" s="773"/>
      <c r="K879" s="773"/>
      <c r="P879" s="1446" t="s">
        <v>804</v>
      </c>
      <c r="Q879" s="1446"/>
      <c r="R879" s="1446"/>
      <c r="S879" s="1446"/>
      <c r="T879" s="1446"/>
      <c r="U879" s="1446"/>
    </row>
    <row r="880" spans="1:21" ht="18.75" customHeight="1">
      <c r="A880" s="1447" t="s">
        <v>805</v>
      </c>
      <c r="B880" s="1447"/>
      <c r="C880" s="933"/>
      <c r="D880" s="933"/>
      <c r="E880" s="933"/>
      <c r="F880" s="933"/>
      <c r="P880" s="855"/>
      <c r="Q880" s="855"/>
      <c r="R880" s="855"/>
      <c r="S880" s="855"/>
      <c r="T880" s="855"/>
      <c r="U880" s="934"/>
    </row>
    <row r="881" spans="1:21" ht="18.75" customHeight="1">
      <c r="A881" s="854"/>
      <c r="B881" s="855"/>
      <c r="P881" s="855"/>
      <c r="Q881" s="855"/>
      <c r="R881" s="855"/>
      <c r="S881" s="855"/>
      <c r="T881" s="855"/>
      <c r="U881" s="934"/>
    </row>
    <row r="882" spans="1:21" ht="18.75" customHeight="1">
      <c r="A882" s="854" t="s">
        <v>806</v>
      </c>
      <c r="B882" s="855"/>
      <c r="C882" s="867"/>
      <c r="D882" s="941"/>
      <c r="E882" s="933"/>
      <c r="F882" s="933"/>
      <c r="P882" s="855"/>
      <c r="Q882" s="855"/>
      <c r="R882" s="855"/>
      <c r="S882" s="855"/>
      <c r="T882" s="855"/>
      <c r="U882" s="934"/>
    </row>
    <row r="883" spans="1:21" ht="18.75" customHeight="1">
      <c r="A883" s="854"/>
      <c r="B883" s="855"/>
      <c r="C883" s="937"/>
      <c r="P883" s="855"/>
      <c r="Q883" s="855"/>
      <c r="R883" s="855"/>
      <c r="S883" s="855"/>
      <c r="T883" s="855"/>
      <c r="U883" s="934"/>
    </row>
    <row r="884" spans="1:21" ht="19.5" customHeight="1">
      <c r="A884" s="938"/>
      <c r="B884" s="939"/>
      <c r="C884" s="940"/>
      <c r="D884" s="453"/>
      <c r="E884" s="453"/>
      <c r="F884" s="453"/>
      <c r="G884" s="453"/>
      <c r="H884" s="453"/>
      <c r="I884" s="453"/>
      <c r="J884" s="453"/>
      <c r="K884" s="453"/>
      <c r="L884" s="453"/>
      <c r="M884" s="453"/>
      <c r="N884" s="453"/>
      <c r="O884" s="453"/>
      <c r="P884" s="1448" t="s">
        <v>807</v>
      </c>
      <c r="Q884" s="1448"/>
      <c r="R884" s="1448"/>
      <c r="S884" s="1448"/>
      <c r="T884" s="1448"/>
      <c r="U884" s="1448"/>
    </row>
    <row r="885" spans="1:21" ht="45.75" customHeight="1">
      <c r="A885" s="1455"/>
      <c r="B885" s="1455"/>
      <c r="C885" s="1455"/>
      <c r="D885" s="847"/>
      <c r="E885" s="1456" t="s">
        <v>774</v>
      </c>
      <c r="F885" s="1456"/>
      <c r="G885" s="1456"/>
      <c r="H885" s="1456"/>
      <c r="I885" s="1456"/>
      <c r="J885" s="1456"/>
      <c r="K885" s="1456"/>
      <c r="L885" s="1456"/>
      <c r="M885" s="1456"/>
      <c r="N885" s="1456"/>
      <c r="O885" s="1456"/>
      <c r="P885" s="1456"/>
      <c r="Q885" s="1456"/>
      <c r="R885" s="1456"/>
      <c r="S885" s="848"/>
      <c r="T885" s="1457" t="s">
        <v>775</v>
      </c>
      <c r="U885" s="1457"/>
    </row>
    <row r="886" spans="1:21" ht="18.75" customHeight="1">
      <c r="A886" s="849"/>
      <c r="E886" s="1458" t="s">
        <v>776</v>
      </c>
      <c r="F886" s="1458"/>
      <c r="G886" s="1458"/>
      <c r="H886" s="1458"/>
      <c r="I886" s="1458"/>
      <c r="J886" s="1458"/>
      <c r="K886" s="1458"/>
      <c r="L886" s="1458"/>
      <c r="M886" s="1458"/>
      <c r="N886" s="1458"/>
      <c r="O886" s="1458"/>
      <c r="P886" s="1458"/>
      <c r="Q886" s="1458"/>
      <c r="R886" s="1458"/>
      <c r="U886" s="456"/>
    </row>
    <row r="887" spans="1:21" ht="18.75" customHeight="1">
      <c r="A887" s="850"/>
      <c r="F887" s="587"/>
      <c r="G887" s="587"/>
      <c r="H887" s="587"/>
      <c r="I887" s="587"/>
      <c r="J887" s="587"/>
      <c r="K887" s="587"/>
      <c r="L887" s="587"/>
      <c r="M887" s="851"/>
      <c r="N887" s="852"/>
      <c r="O887" s="851"/>
      <c r="P887" s="1459" t="s">
        <v>777</v>
      </c>
      <c r="Q887" s="1459"/>
      <c r="R887" s="1459"/>
      <c r="S887" s="1459"/>
      <c r="T887" s="1459"/>
      <c r="U887" s="1459"/>
    </row>
    <row r="888" spans="1:21" ht="15" customHeight="1">
      <c r="A888" s="849"/>
      <c r="E888" s="1287" t="s">
        <v>778</v>
      </c>
      <c r="F888" s="1287"/>
      <c r="G888" s="1287"/>
      <c r="H888" s="1287"/>
      <c r="I888" s="1287"/>
      <c r="J888" s="1287"/>
      <c r="K888" s="1287"/>
      <c r="L888" s="1287"/>
      <c r="M888" s="1287"/>
      <c r="N888" s="1287"/>
      <c r="O888" s="1287"/>
      <c r="P888" s="1287"/>
      <c r="Q888" s="1287"/>
      <c r="R888" s="1287"/>
      <c r="U888" s="456"/>
    </row>
    <row r="889" spans="1:21" ht="18.75" customHeight="1">
      <c r="A889" s="849"/>
      <c r="E889" s="1286" t="s">
        <v>779</v>
      </c>
      <c r="F889" s="1286"/>
      <c r="G889" s="1286"/>
      <c r="H889" s="1286"/>
      <c r="I889" s="1286"/>
      <c r="J889" s="1286"/>
      <c r="K889" s="1286"/>
      <c r="L889" s="1286"/>
      <c r="M889" s="1286"/>
      <c r="N889" s="1286"/>
      <c r="O889" s="1286"/>
      <c r="P889" s="1286"/>
      <c r="Q889" s="1286"/>
      <c r="R889" s="1286"/>
      <c r="U889" s="853"/>
    </row>
    <row r="890" spans="1:21" ht="23.25" customHeight="1">
      <c r="A890" s="854" t="s">
        <v>780</v>
      </c>
      <c r="B890" s="855"/>
      <c r="C890" s="855"/>
      <c r="D890" s="856" t="s">
        <v>850</v>
      </c>
      <c r="E890" s="857"/>
      <c r="F890" s="858"/>
      <c r="G890" s="859"/>
      <c r="H890" s="859"/>
      <c r="I890" s="859"/>
      <c r="J890" s="859"/>
      <c r="K890" s="859"/>
      <c r="L890" s="860"/>
      <c r="M890" s="1460"/>
      <c r="N890" s="1460"/>
      <c r="O890" s="1460"/>
      <c r="P890" s="1461" t="s">
        <v>781</v>
      </c>
      <c r="Q890" s="1461"/>
      <c r="R890" s="1461"/>
      <c r="S890" s="855"/>
      <c r="T890" s="861">
        <v>46309</v>
      </c>
      <c r="U890" s="456"/>
    </row>
    <row r="891" spans="1:21" ht="23.25" customHeight="1">
      <c r="A891" s="854"/>
      <c r="B891" s="862"/>
      <c r="C891" s="862"/>
      <c r="D891" s="862"/>
      <c r="E891" s="163"/>
      <c r="F891" s="863"/>
      <c r="G891" s="863"/>
      <c r="H891" s="863"/>
      <c r="I891" s="863"/>
      <c r="J891" s="863"/>
      <c r="K891" s="863"/>
      <c r="U891" s="456"/>
    </row>
    <row r="892" spans="1:21" ht="21" customHeight="1">
      <c r="A892" s="864" t="s">
        <v>782</v>
      </c>
      <c r="B892" s="865"/>
      <c r="C892" s="866"/>
      <c r="D892" s="867"/>
      <c r="E892" s="868"/>
      <c r="F892" s="869"/>
      <c r="G892" s="869"/>
      <c r="H892" s="869"/>
      <c r="I892" s="870"/>
      <c r="J892" s="870"/>
      <c r="P892" s="1462"/>
      <c r="Q892" s="1462"/>
      <c r="R892" s="1462"/>
      <c r="S892" s="1462"/>
      <c r="T892" s="871"/>
      <c r="U892" s="456"/>
    </row>
    <row r="893" spans="1:21" ht="21" customHeight="1">
      <c r="A893" s="872"/>
      <c r="B893" s="873"/>
      <c r="C893" s="869"/>
      <c r="D893" s="869"/>
      <c r="E893" s="869"/>
      <c r="F893" s="869"/>
      <c r="G893" s="869"/>
      <c r="H893" s="869"/>
      <c r="I893" s="870"/>
      <c r="J893" s="870"/>
      <c r="U893" s="456"/>
    </row>
    <row r="894" spans="1:21" ht="15" customHeight="1">
      <c r="A894" s="1463" t="s">
        <v>783</v>
      </c>
      <c r="B894" s="1463"/>
      <c r="C894" s="1463"/>
      <c r="D894" s="1463"/>
      <c r="E894" s="1463"/>
      <c r="F894" s="1463"/>
      <c r="G894" s="1463"/>
      <c r="H894" s="1463"/>
      <c r="I894" s="1463"/>
      <c r="J894" s="1463"/>
      <c r="K894" s="1463"/>
      <c r="L894" s="1463"/>
      <c r="M894" s="1463"/>
      <c r="N894" s="1463"/>
      <c r="O894" s="1463"/>
      <c r="P894" s="1463"/>
      <c r="Q894" s="1463"/>
      <c r="R894" s="1463"/>
      <c r="S894" s="1463"/>
      <c r="T894" s="1463"/>
      <c r="U894" s="1463"/>
    </row>
    <row r="895" spans="1:21" ht="15" customHeight="1">
      <c r="A895" s="1463"/>
      <c r="B895" s="1463"/>
      <c r="C895" s="1463"/>
      <c r="D895" s="1463"/>
      <c r="E895" s="1463"/>
      <c r="F895" s="1463"/>
      <c r="G895" s="1463"/>
      <c r="H895" s="1463"/>
      <c r="I895" s="1463"/>
      <c r="J895" s="1463"/>
      <c r="K895" s="1463"/>
      <c r="L895" s="1463"/>
      <c r="M895" s="1463"/>
      <c r="N895" s="1463"/>
      <c r="O895" s="1463"/>
      <c r="P895" s="1463"/>
      <c r="Q895" s="1463"/>
      <c r="R895" s="1463"/>
      <c r="S895" s="1463"/>
      <c r="T895" s="1463"/>
      <c r="U895" s="1463"/>
    </row>
    <row r="896" spans="1:21" ht="18" customHeight="1">
      <c r="A896" s="1464" t="s">
        <v>784</v>
      </c>
      <c r="B896" s="1464"/>
      <c r="C896" s="1464"/>
      <c r="D896" s="1464"/>
      <c r="E896" s="1464"/>
      <c r="F896" s="1464"/>
      <c r="G896" s="1464"/>
      <c r="H896" s="1464"/>
      <c r="I896" s="1464"/>
      <c r="J896" s="1464"/>
      <c r="K896" s="1464"/>
      <c r="L896" s="1464"/>
      <c r="M896" s="1464"/>
      <c r="N896" s="1464"/>
      <c r="O896" s="1464"/>
      <c r="P896" s="1464"/>
      <c r="Q896" s="1464"/>
      <c r="R896" s="1464"/>
      <c r="S896" s="1464"/>
      <c r="T896" s="1464"/>
      <c r="U896" s="1464"/>
    </row>
    <row r="897" spans="1:21" ht="23.25" customHeight="1">
      <c r="A897" s="1465" t="s">
        <v>785</v>
      </c>
      <c r="B897" s="1465"/>
      <c r="C897" s="1465"/>
      <c r="D897" s="1465"/>
      <c r="E897" s="1465"/>
      <c r="F897" s="1465"/>
      <c r="G897" s="1465"/>
      <c r="H897" s="1465"/>
      <c r="I897" s="1465"/>
      <c r="J897" s="1465"/>
      <c r="K897" s="1465"/>
      <c r="L897" s="1465"/>
      <c r="M897" s="1465"/>
      <c r="N897" s="1465"/>
      <c r="O897" s="1465"/>
      <c r="P897" s="1465"/>
      <c r="Q897" s="1465"/>
      <c r="R897" s="1465"/>
      <c r="S897" s="1465"/>
      <c r="T897" s="1465"/>
      <c r="U897" s="1465"/>
    </row>
    <row r="898" spans="1:21" ht="21.75" customHeight="1">
      <c r="A898" s="874"/>
      <c r="B898" s="875"/>
      <c r="C898" s="875"/>
      <c r="D898" s="875"/>
      <c r="E898" s="875"/>
      <c r="F898" s="875"/>
      <c r="G898" s="875"/>
      <c r="H898" s="875"/>
      <c r="I898" s="875"/>
      <c r="J898" s="875"/>
      <c r="K898" s="875"/>
      <c r="L898" s="875"/>
      <c r="M898" s="875"/>
      <c r="N898" s="875"/>
      <c r="O898" s="875"/>
      <c r="P898" s="875"/>
      <c r="Q898" s="875"/>
      <c r="R898" s="875"/>
      <c r="S898" s="875"/>
      <c r="T898" s="875"/>
      <c r="U898" s="876"/>
    </row>
    <row r="899" spans="1:21" ht="15" customHeight="1">
      <c r="A899" s="1466" t="s">
        <v>786</v>
      </c>
      <c r="B899" s="1467" t="s">
        <v>787</v>
      </c>
      <c r="C899" s="1468" t="s">
        <v>788</v>
      </c>
      <c r="D899" s="1468" t="s">
        <v>789</v>
      </c>
      <c r="E899" s="1469" t="s">
        <v>790</v>
      </c>
      <c r="F899" s="1468" t="s">
        <v>791</v>
      </c>
      <c r="G899" s="1468"/>
      <c r="H899" s="1468"/>
      <c r="I899" s="1468"/>
      <c r="J899" s="1468"/>
      <c r="K899" s="1468"/>
      <c r="L899" s="1468"/>
      <c r="M899" s="1468"/>
      <c r="N899" s="1468"/>
      <c r="O899" s="1468"/>
      <c r="P899" s="1470"/>
      <c r="Q899" s="1470"/>
      <c r="R899" s="1470"/>
      <c r="S899" s="1470"/>
      <c r="T899" s="1470"/>
      <c r="U899" s="1470"/>
    </row>
    <row r="900" spans="1:21" ht="15.75" customHeight="1">
      <c r="A900" s="1466"/>
      <c r="B900" s="1467"/>
      <c r="C900" s="1468"/>
      <c r="D900" s="1468"/>
      <c r="E900" s="1469"/>
      <c r="F900" s="1468"/>
      <c r="G900" s="1468"/>
      <c r="H900" s="1468"/>
      <c r="I900" s="1468"/>
      <c r="J900" s="1468"/>
      <c r="K900" s="1468"/>
      <c r="L900" s="1468"/>
      <c r="M900" s="1468"/>
      <c r="N900" s="1468"/>
      <c r="O900" s="1468"/>
      <c r="P900" s="1470"/>
      <c r="Q900" s="1470"/>
      <c r="R900" s="1470"/>
      <c r="S900" s="1470"/>
      <c r="T900" s="1470"/>
      <c r="U900" s="1470"/>
    </row>
    <row r="901" spans="1:21" ht="48" customHeight="1">
      <c r="A901" s="1466"/>
      <c r="B901" s="1467"/>
      <c r="C901" s="1468"/>
      <c r="D901" s="1468"/>
      <c r="E901" s="1469"/>
      <c r="F901" s="878" t="s">
        <v>792</v>
      </c>
      <c r="G901" s="877" t="s">
        <v>793</v>
      </c>
      <c r="H901" s="878" t="s">
        <v>794</v>
      </c>
      <c r="I901" s="879" t="s">
        <v>795</v>
      </c>
      <c r="J901" s="880" t="s">
        <v>796</v>
      </c>
      <c r="K901" s="1468" t="s">
        <v>797</v>
      </c>
      <c r="L901" s="1468"/>
      <c r="M901" s="1468"/>
      <c r="N901" s="1468"/>
      <c r="O901" s="1468"/>
      <c r="P901" s="881" t="s">
        <v>798</v>
      </c>
      <c r="Q901" s="882" t="s">
        <v>799</v>
      </c>
      <c r="R901" s="1469" t="s">
        <v>800</v>
      </c>
      <c r="S901" s="1469"/>
      <c r="T901" s="877" t="s">
        <v>801</v>
      </c>
      <c r="U901" s="879" t="s">
        <v>104</v>
      </c>
    </row>
    <row r="902" spans="1:21" ht="19.5" customHeight="1">
      <c r="A902" s="883"/>
      <c r="B902" s="884" t="str">
        <f>IF('BIS Doc'!AC423=130, "130 × 130", IF('BIS Doc'!AC423=160, "160 × 160", IF('BIS Doc'!AC423=110, "110 × 110", "Value not 130, 160, or 110")))</f>
        <v>Value not 130, 160, or 110</v>
      </c>
      <c r="C902" s="885">
        <f>'BIS Doc'!W423</f>
        <v>0</v>
      </c>
      <c r="D902" s="886"/>
      <c r="E902" s="887">
        <f>'BIS Doc'!AE423</f>
        <v>0</v>
      </c>
      <c r="F902" s="888">
        <f ca="1">'BIS Doc'!F423</f>
        <v>0</v>
      </c>
      <c r="G902" s="888">
        <f ca="1">'BIS Doc'!J423</f>
        <v>0</v>
      </c>
      <c r="H902" s="888">
        <f ca="1">'BIS Doc'!G423</f>
        <v>0.53476939029853854</v>
      </c>
      <c r="I902" s="889">
        <f ca="1">'BIS Doc'!H423</f>
        <v>0</v>
      </c>
      <c r="J902" s="889">
        <f ca="1">'BIS Doc'!I423</f>
        <v>0</v>
      </c>
      <c r="K902" s="1449" t="str">
        <f t="shared" ref="K902:K907" ca="1" si="26">IF(H902&lt;0.6, "IS 14650 CPS 10748/GR2", "IS 14650 CPS 10748/GR3")</f>
        <v>IS 14650 CPS 10748/GR2</v>
      </c>
      <c r="L902" s="1449"/>
      <c r="M902" s="1449"/>
      <c r="N902" s="1449"/>
      <c r="O902" s="1449"/>
      <c r="P902" s="890"/>
      <c r="Q902" s="891"/>
      <c r="R902" s="1449"/>
      <c r="S902" s="1449"/>
      <c r="T902" s="892"/>
      <c r="U902" s="1450" t="s">
        <v>802</v>
      </c>
    </row>
    <row r="903" spans="1:21" ht="19.5" customHeight="1">
      <c r="A903" s="893"/>
      <c r="B903" s="894" t="str">
        <f>IF('BIS Doc'!AC425=130, "130 × 130", IF('BIS Doc'!AC425=160, "160 × 160", IF('BIS Doc'!AC425=110, "110 × 110", "Value not 130, 160, or 110")))</f>
        <v>Value not 130, 160, or 110</v>
      </c>
      <c r="C903" s="895">
        <f>'BIS Doc'!W425</f>
        <v>0</v>
      </c>
      <c r="D903" s="896"/>
      <c r="E903" s="897">
        <f>'BIS Doc'!AE425</f>
        <v>0</v>
      </c>
      <c r="F903" s="898">
        <f ca="1">'BIS Doc'!F425</f>
        <v>0</v>
      </c>
      <c r="G903" s="899">
        <f ca="1">'BIS Doc'!J425</f>
        <v>0</v>
      </c>
      <c r="H903" s="900">
        <f ca="1">'BIS Doc'!G425</f>
        <v>0.58501546231075063</v>
      </c>
      <c r="I903" s="901">
        <f ca="1">'BIS Doc'!H425</f>
        <v>0</v>
      </c>
      <c r="J903" s="901">
        <f ca="1">'BIS Doc'!I425</f>
        <v>0</v>
      </c>
      <c r="K903" s="1451" t="str">
        <f t="shared" ca="1" si="26"/>
        <v>IS 14650 CPS 10748/GR2</v>
      </c>
      <c r="L903" s="1451"/>
      <c r="M903" s="1451"/>
      <c r="N903" s="1451"/>
      <c r="O903" s="1451"/>
      <c r="P903" s="902"/>
      <c r="Q903" s="903"/>
      <c r="R903" s="1451"/>
      <c r="S903" s="1451"/>
      <c r="T903" s="904"/>
      <c r="U903" s="1450"/>
    </row>
    <row r="904" spans="1:21" ht="19.5" customHeight="1">
      <c r="A904" s="864"/>
      <c r="B904" s="894" t="str">
        <f>IF('BIS Doc'!AC427=130, "130 × 130", IF('BIS Doc'!AC427=160, "160 × 160", IF('BIS Doc'!AC427=110, "110 × 110", "Value not 130, 160, or 110")))</f>
        <v>Value not 130, 160, or 110</v>
      </c>
      <c r="C904" s="895">
        <f>'BIS Doc'!W427</f>
        <v>0</v>
      </c>
      <c r="D904" s="896" t="s">
        <v>803</v>
      </c>
      <c r="E904" s="897">
        <f>'BIS Doc'!AE427</f>
        <v>0</v>
      </c>
      <c r="F904" s="898">
        <f ca="1">'BIS Doc'!F427</f>
        <v>0</v>
      </c>
      <c r="G904" s="899">
        <f ca="1">'BIS Doc'!J427</f>
        <v>0</v>
      </c>
      <c r="H904" s="900">
        <f ca="1">'BIS Doc'!G427</f>
        <v>0.57228228861421071</v>
      </c>
      <c r="I904" s="901">
        <f ca="1">'BIS Doc'!H427</f>
        <v>0</v>
      </c>
      <c r="J904" s="901">
        <f ca="1">'BIS Doc'!I427</f>
        <v>0</v>
      </c>
      <c r="K904" s="1451" t="str">
        <f t="shared" ca="1" si="26"/>
        <v>IS 14650 CPS 10748/GR2</v>
      </c>
      <c r="L904" s="1451"/>
      <c r="M904" s="1451"/>
      <c r="N904" s="1451"/>
      <c r="O904" s="1451"/>
      <c r="P904" s="902"/>
      <c r="Q904" s="905"/>
      <c r="R904" s="1451"/>
      <c r="S904" s="1451"/>
      <c r="T904" s="904"/>
      <c r="U904" s="1450"/>
    </row>
    <row r="905" spans="1:21" ht="19.5" customHeight="1">
      <c r="A905" s="864"/>
      <c r="B905" s="894" t="str">
        <f>IF('BIS Doc'!AC429=130, "130 × 130", IF('BIS Doc'!AC429=160, "160 × 160", IF('BIS Doc'!AC429=110, "110 × 110", "Value not 130, 160, or 110")))</f>
        <v>Value not 130, 160, or 110</v>
      </c>
      <c r="C905" s="895">
        <f>'BIS Doc'!W429</f>
        <v>0</v>
      </c>
      <c r="D905" s="896"/>
      <c r="E905" s="897">
        <f>'BIS Doc'!AE429</f>
        <v>0</v>
      </c>
      <c r="F905" s="898">
        <f ca="1">'BIS Doc'!F429</f>
        <v>0</v>
      </c>
      <c r="G905" s="899">
        <f ca="1">'BIS Doc'!J429</f>
        <v>0</v>
      </c>
      <c r="H905" s="900">
        <f ca="1">'BIS Doc'!G429</f>
        <v>0.58103169871536675</v>
      </c>
      <c r="I905" s="901">
        <f ca="1">'BIS Doc'!H429</f>
        <v>0</v>
      </c>
      <c r="J905" s="901">
        <f ca="1">'BIS Doc'!I429</f>
        <v>0</v>
      </c>
      <c r="K905" s="1451" t="str">
        <f t="shared" ca="1" si="26"/>
        <v>IS 14650 CPS 10748/GR2</v>
      </c>
      <c r="L905" s="1451"/>
      <c r="M905" s="1451"/>
      <c r="N905" s="1451"/>
      <c r="O905" s="1451"/>
      <c r="P905" s="902"/>
      <c r="Q905" s="905"/>
      <c r="R905" s="1451"/>
      <c r="S905" s="1451"/>
      <c r="T905" s="904"/>
      <c r="U905" s="1450"/>
    </row>
    <row r="906" spans="1:21" ht="19.5" customHeight="1">
      <c r="A906" s="864"/>
      <c r="B906" s="894" t="str">
        <f>IF('BIS Doc'!AC431=130, "130 × 130", IF('BIS Doc'!AC431=160, "160 × 160", IF('BIS Doc'!AC431=110, "110 × 110", "Value not 130, 160, or 110")))</f>
        <v>Value not 130, 160, or 110</v>
      </c>
      <c r="C906" s="895">
        <f>'BIS Doc'!W431</f>
        <v>0</v>
      </c>
      <c r="D906" s="896"/>
      <c r="E906" s="897">
        <f>'BIS Doc'!AE431</f>
        <v>0</v>
      </c>
      <c r="F906" s="898">
        <f ca="1">'BIS Doc'!F431</f>
        <v>0</v>
      </c>
      <c r="G906" s="899">
        <f ca="1">'BIS Doc'!J431</f>
        <v>0</v>
      </c>
      <c r="H906" s="900">
        <f ca="1">'BIS Doc'!G431</f>
        <v>0.53304455284404917</v>
      </c>
      <c r="I906" s="901">
        <f ca="1">'BIS Doc'!H431</f>
        <v>0</v>
      </c>
      <c r="J906" s="901">
        <f ca="1">'BIS Doc'!I431</f>
        <v>0</v>
      </c>
      <c r="K906" s="1451" t="str">
        <f t="shared" ca="1" si="26"/>
        <v>IS 14650 CPS 10748/GR2</v>
      </c>
      <c r="L906" s="1451"/>
      <c r="M906" s="1451"/>
      <c r="N906" s="1451"/>
      <c r="O906" s="1451"/>
      <c r="P906" s="902"/>
      <c r="Q906" s="905"/>
      <c r="R906" s="1451"/>
      <c r="S906" s="1451"/>
      <c r="T906" s="904"/>
      <c r="U906" s="1450"/>
    </row>
    <row r="907" spans="1:21" ht="19.5" customHeight="1">
      <c r="A907" s="864"/>
      <c r="B907" s="894" t="str">
        <f>IF('BIS Doc'!AC433=130, "130 × 130", IF('BIS Doc'!AC433=160, "160 × 160", IF('BIS Doc'!AC433=110, "110 × 110", "Value not 130, 160, or 110")))</f>
        <v>Value not 130, 160, or 110</v>
      </c>
      <c r="C907" s="895">
        <f>'BIS Doc'!W433</f>
        <v>0</v>
      </c>
      <c r="D907" s="896"/>
      <c r="E907" s="897">
        <f>'BIS Doc'!AE433</f>
        <v>0</v>
      </c>
      <c r="F907" s="898">
        <f ca="1">'BIS Doc'!F433</f>
        <v>0</v>
      </c>
      <c r="G907" s="899">
        <f ca="1">'BIS Doc'!J433</f>
        <v>0</v>
      </c>
      <c r="H907" s="900">
        <f ca="1">'BIS Doc'!G433</f>
        <v>0.51335723540879796</v>
      </c>
      <c r="I907" s="901">
        <f ca="1">'BIS Doc'!H433</f>
        <v>0</v>
      </c>
      <c r="J907" s="901">
        <f ca="1">'BIS Doc'!I433</f>
        <v>0</v>
      </c>
      <c r="K907" s="1451" t="str">
        <f t="shared" ca="1" si="26"/>
        <v>IS 14650 CPS 10748/GR2</v>
      </c>
      <c r="L907" s="1451"/>
      <c r="M907" s="1451"/>
      <c r="N907" s="1451"/>
      <c r="O907" s="1451"/>
      <c r="P907" s="902"/>
      <c r="Q907" s="903"/>
      <c r="R907" s="1451"/>
      <c r="S907" s="1451"/>
      <c r="T907" s="904"/>
      <c r="U907" s="1450"/>
    </row>
    <row r="908" spans="1:21" ht="19.5" customHeight="1">
      <c r="A908" s="864"/>
      <c r="B908" s="904"/>
      <c r="C908" s="895"/>
      <c r="D908" s="896"/>
      <c r="E908" s="897"/>
      <c r="F908" s="906"/>
      <c r="G908" s="907"/>
      <c r="H908" s="908"/>
      <c r="I908" s="909"/>
      <c r="J908" s="909"/>
      <c r="K908" s="1451"/>
      <c r="L908" s="1451"/>
      <c r="M908" s="1451"/>
      <c r="N908" s="1451"/>
      <c r="O908" s="1451"/>
      <c r="P908" s="902"/>
      <c r="Q908" s="903"/>
      <c r="R908" s="1451"/>
      <c r="S908" s="1451"/>
      <c r="T908" s="904"/>
      <c r="U908" s="1450"/>
    </row>
    <row r="909" spans="1:21" ht="19.5" customHeight="1">
      <c r="A909" s="864"/>
      <c r="B909" s="904"/>
      <c r="C909" s="895"/>
      <c r="D909" s="896"/>
      <c r="E909" s="897"/>
      <c r="F909" s="906"/>
      <c r="G909" s="907"/>
      <c r="H909" s="908"/>
      <c r="I909" s="909"/>
      <c r="J909" s="909"/>
      <c r="K909" s="1451"/>
      <c r="L909" s="1451"/>
      <c r="M909" s="1451"/>
      <c r="N909" s="1451"/>
      <c r="O909" s="1451"/>
      <c r="P909" s="902"/>
      <c r="Q909" s="905"/>
      <c r="R909" s="1451"/>
      <c r="S909" s="1451"/>
      <c r="T909" s="904"/>
      <c r="U909" s="1450"/>
    </row>
    <row r="910" spans="1:21" ht="19.5" customHeight="1">
      <c r="A910" s="864"/>
      <c r="B910" s="910"/>
      <c r="C910" s="911"/>
      <c r="D910" s="896"/>
      <c r="E910" s="897"/>
      <c r="F910" s="906"/>
      <c r="G910" s="907"/>
      <c r="H910" s="908"/>
      <c r="I910" s="909"/>
      <c r="J910" s="909"/>
      <c r="K910" s="1451"/>
      <c r="L910" s="1451"/>
      <c r="M910" s="1451"/>
      <c r="N910" s="1451"/>
      <c r="O910" s="1451"/>
      <c r="P910" s="912"/>
      <c r="Q910" s="913"/>
      <c r="R910" s="1452"/>
      <c r="S910" s="1452"/>
      <c r="T910" s="910"/>
      <c r="U910" s="1450"/>
    </row>
    <row r="911" spans="1:21" ht="19.5" customHeight="1">
      <c r="A911" s="914"/>
      <c r="B911" s="915"/>
      <c r="C911" s="916"/>
      <c r="D911" s="917"/>
      <c r="E911" s="918">
        <f>SUM(E902:E907)</f>
        <v>0</v>
      </c>
      <c r="F911" s="919"/>
      <c r="G911" s="920"/>
      <c r="H911" s="921"/>
      <c r="I911" s="922"/>
      <c r="J911" s="922"/>
      <c r="K911" s="1453"/>
      <c r="L911" s="1453"/>
      <c r="M911" s="1453"/>
      <c r="N911" s="1453"/>
      <c r="O911" s="1453"/>
      <c r="P911" s="923"/>
      <c r="Q911" s="924"/>
      <c r="R911" s="1454"/>
      <c r="S911" s="1454"/>
      <c r="T911" s="915"/>
      <c r="U911" s="1450"/>
    </row>
    <row r="912" spans="1:21" ht="15.75" customHeight="1">
      <c r="A912" s="864"/>
      <c r="B912" s="773"/>
      <c r="C912" s="773"/>
      <c r="D912" s="925"/>
      <c r="E912" s="926"/>
      <c r="F912" s="927"/>
      <c r="G912" s="928"/>
      <c r="H912" s="259"/>
      <c r="I912" s="259"/>
      <c r="J912" s="928"/>
      <c r="K912" s="929"/>
      <c r="L912" s="929"/>
      <c r="M912" s="929"/>
      <c r="N912" s="929"/>
      <c r="O912" s="928"/>
      <c r="P912" s="930"/>
      <c r="Q912" s="931"/>
      <c r="R912" s="931"/>
      <c r="U912" s="932"/>
    </row>
    <row r="913" spans="1:21" ht="18.75" customHeight="1">
      <c r="A913" s="864"/>
      <c r="B913" s="773"/>
      <c r="C913" s="773"/>
      <c r="D913" s="773"/>
      <c r="E913" s="773"/>
      <c r="F913" s="773"/>
      <c r="G913" s="773"/>
      <c r="H913" s="773"/>
      <c r="I913" s="773"/>
      <c r="J913" s="773"/>
      <c r="K913" s="773"/>
      <c r="P913" s="1446" t="s">
        <v>804</v>
      </c>
      <c r="Q913" s="1446"/>
      <c r="R913" s="1446"/>
      <c r="S913" s="1446"/>
      <c r="T913" s="1446"/>
      <c r="U913" s="1446"/>
    </row>
    <row r="914" spans="1:21" ht="18.75" customHeight="1">
      <c r="A914" s="1447" t="s">
        <v>805</v>
      </c>
      <c r="B914" s="1447"/>
      <c r="C914" s="933"/>
      <c r="D914" s="933"/>
      <c r="E914" s="933"/>
      <c r="F914" s="933"/>
      <c r="P914" s="855"/>
      <c r="Q914" s="855"/>
      <c r="R914" s="855"/>
      <c r="S914" s="855"/>
      <c r="T914" s="855"/>
      <c r="U914" s="934"/>
    </row>
    <row r="915" spans="1:21" ht="18.75" customHeight="1">
      <c r="A915" s="854"/>
      <c r="B915" s="855"/>
      <c r="P915" s="855"/>
      <c r="Q915" s="855"/>
      <c r="R915" s="855"/>
      <c r="S915" s="855"/>
      <c r="T915" s="855"/>
      <c r="U915" s="934"/>
    </row>
    <row r="916" spans="1:21" ht="18.75" customHeight="1">
      <c r="A916" s="854" t="s">
        <v>806</v>
      </c>
      <c r="B916" s="855"/>
      <c r="C916" s="867"/>
      <c r="D916" s="941"/>
      <c r="E916" s="933"/>
      <c r="F916" s="933"/>
      <c r="P916" s="855"/>
      <c r="Q916" s="855"/>
      <c r="R916" s="855"/>
      <c r="S916" s="855"/>
      <c r="T916" s="855"/>
      <c r="U916" s="934"/>
    </row>
    <row r="917" spans="1:21" ht="18.75" customHeight="1">
      <c r="A917" s="854"/>
      <c r="B917" s="855"/>
      <c r="C917" s="937"/>
      <c r="P917" s="855"/>
      <c r="Q917" s="855"/>
      <c r="R917" s="855"/>
      <c r="S917" s="855"/>
      <c r="T917" s="855"/>
      <c r="U917" s="934"/>
    </row>
    <row r="918" spans="1:21" ht="19.5" customHeight="1">
      <c r="A918" s="938"/>
      <c r="B918" s="939"/>
      <c r="C918" s="940"/>
      <c r="D918" s="453"/>
      <c r="E918" s="453"/>
      <c r="F918" s="453"/>
      <c r="G918" s="453"/>
      <c r="H918" s="453"/>
      <c r="I918" s="453"/>
      <c r="J918" s="453"/>
      <c r="K918" s="453"/>
      <c r="L918" s="453"/>
      <c r="M918" s="453"/>
      <c r="N918" s="453"/>
      <c r="O918" s="453"/>
      <c r="P918" s="1448" t="s">
        <v>807</v>
      </c>
      <c r="Q918" s="1448"/>
      <c r="R918" s="1448"/>
      <c r="S918" s="1448"/>
      <c r="T918" s="1448"/>
      <c r="U918" s="1448"/>
    </row>
    <row r="919" spans="1:21" ht="45.75" customHeight="1">
      <c r="A919" s="1455"/>
      <c r="B919" s="1455"/>
      <c r="C919" s="1455"/>
      <c r="D919" s="847"/>
      <c r="E919" s="1456" t="s">
        <v>774</v>
      </c>
      <c r="F919" s="1456"/>
      <c r="G919" s="1456"/>
      <c r="H919" s="1456"/>
      <c r="I919" s="1456"/>
      <c r="J919" s="1456"/>
      <c r="K919" s="1456"/>
      <c r="L919" s="1456"/>
      <c r="M919" s="1456"/>
      <c r="N919" s="1456"/>
      <c r="O919" s="1456"/>
      <c r="P919" s="1456"/>
      <c r="Q919" s="1456"/>
      <c r="R919" s="1456"/>
      <c r="S919" s="848"/>
      <c r="T919" s="1457" t="s">
        <v>775</v>
      </c>
      <c r="U919" s="1457"/>
    </row>
    <row r="920" spans="1:21" ht="18.75" customHeight="1">
      <c r="A920" s="849"/>
      <c r="E920" s="1458" t="s">
        <v>776</v>
      </c>
      <c r="F920" s="1458"/>
      <c r="G920" s="1458"/>
      <c r="H920" s="1458"/>
      <c r="I920" s="1458"/>
      <c r="J920" s="1458"/>
      <c r="K920" s="1458"/>
      <c r="L920" s="1458"/>
      <c r="M920" s="1458"/>
      <c r="N920" s="1458"/>
      <c r="O920" s="1458"/>
      <c r="P920" s="1458"/>
      <c r="Q920" s="1458"/>
      <c r="R920" s="1458"/>
      <c r="U920" s="456"/>
    </row>
    <row r="921" spans="1:21" ht="18.75" customHeight="1">
      <c r="A921" s="850"/>
      <c r="F921" s="587"/>
      <c r="G921" s="587"/>
      <c r="H921" s="587"/>
      <c r="I921" s="587"/>
      <c r="J921" s="587"/>
      <c r="K921" s="587"/>
      <c r="L921" s="587"/>
      <c r="M921" s="851"/>
      <c r="N921" s="852"/>
      <c r="O921" s="851"/>
      <c r="P921" s="1459" t="s">
        <v>777</v>
      </c>
      <c r="Q921" s="1459"/>
      <c r="R921" s="1459"/>
      <c r="S921" s="1459"/>
      <c r="T921" s="1459"/>
      <c r="U921" s="1459"/>
    </row>
    <row r="922" spans="1:21" ht="15" customHeight="1">
      <c r="A922" s="849"/>
      <c r="E922" s="1287" t="s">
        <v>778</v>
      </c>
      <c r="F922" s="1287"/>
      <c r="G922" s="1287"/>
      <c r="H922" s="1287"/>
      <c r="I922" s="1287"/>
      <c r="J922" s="1287"/>
      <c r="K922" s="1287"/>
      <c r="L922" s="1287"/>
      <c r="M922" s="1287"/>
      <c r="N922" s="1287"/>
      <c r="O922" s="1287"/>
      <c r="P922" s="1287"/>
      <c r="Q922" s="1287"/>
      <c r="R922" s="1287"/>
      <c r="U922" s="456"/>
    </row>
    <row r="923" spans="1:21" ht="18.75" customHeight="1">
      <c r="A923" s="849"/>
      <c r="E923" s="1286" t="s">
        <v>779</v>
      </c>
      <c r="F923" s="1286"/>
      <c r="G923" s="1286"/>
      <c r="H923" s="1286"/>
      <c r="I923" s="1286"/>
      <c r="J923" s="1286"/>
      <c r="K923" s="1286"/>
      <c r="L923" s="1286"/>
      <c r="M923" s="1286"/>
      <c r="N923" s="1286"/>
      <c r="O923" s="1286"/>
      <c r="P923" s="1286"/>
      <c r="Q923" s="1286"/>
      <c r="R923" s="1286"/>
      <c r="U923" s="853"/>
    </row>
    <row r="924" spans="1:21" ht="23.25" customHeight="1">
      <c r="A924" s="854" t="s">
        <v>780</v>
      </c>
      <c r="B924" s="855"/>
      <c r="C924" s="855"/>
      <c r="D924" s="856" t="s">
        <v>851</v>
      </c>
      <c r="E924" s="857"/>
      <c r="F924" s="858"/>
      <c r="G924" s="859"/>
      <c r="H924" s="859"/>
      <c r="I924" s="859"/>
      <c r="J924" s="859"/>
      <c r="K924" s="859"/>
      <c r="L924" s="860"/>
      <c r="M924" s="1460"/>
      <c r="N924" s="1460"/>
      <c r="O924" s="1460"/>
      <c r="P924" s="1461" t="s">
        <v>781</v>
      </c>
      <c r="Q924" s="1461"/>
      <c r="R924" s="1461"/>
      <c r="S924" s="855"/>
      <c r="T924" s="861">
        <v>46309</v>
      </c>
      <c r="U924" s="456"/>
    </row>
    <row r="925" spans="1:21" ht="23.25" customHeight="1">
      <c r="A925" s="854"/>
      <c r="B925" s="862"/>
      <c r="C925" s="862"/>
      <c r="D925" s="862"/>
      <c r="E925" s="163"/>
      <c r="F925" s="863"/>
      <c r="G925" s="863"/>
      <c r="H925" s="863"/>
      <c r="I925" s="863"/>
      <c r="J925" s="863"/>
      <c r="K925" s="863"/>
      <c r="U925" s="456"/>
    </row>
    <row r="926" spans="1:21" ht="21" customHeight="1">
      <c r="A926" s="864" t="s">
        <v>782</v>
      </c>
      <c r="B926" s="865"/>
      <c r="C926" s="866"/>
      <c r="D926" s="867"/>
      <c r="E926" s="868"/>
      <c r="F926" s="869"/>
      <c r="G926" s="869"/>
      <c r="H926" s="869"/>
      <c r="I926" s="870"/>
      <c r="J926" s="870"/>
      <c r="P926" s="1462"/>
      <c r="Q926" s="1462"/>
      <c r="R926" s="1462"/>
      <c r="S926" s="1462"/>
      <c r="T926" s="871"/>
      <c r="U926" s="456"/>
    </row>
    <row r="927" spans="1:21" ht="21" customHeight="1">
      <c r="A927" s="872"/>
      <c r="B927" s="873"/>
      <c r="C927" s="869"/>
      <c r="D927" s="869"/>
      <c r="E927" s="869"/>
      <c r="F927" s="869"/>
      <c r="G927" s="869"/>
      <c r="H927" s="869"/>
      <c r="I927" s="870"/>
      <c r="J927" s="870"/>
      <c r="U927" s="456"/>
    </row>
    <row r="928" spans="1:21" ht="15" customHeight="1">
      <c r="A928" s="1463" t="s">
        <v>783</v>
      </c>
      <c r="B928" s="1463"/>
      <c r="C928" s="1463"/>
      <c r="D928" s="1463"/>
      <c r="E928" s="1463"/>
      <c r="F928" s="1463"/>
      <c r="G928" s="1463"/>
      <c r="H928" s="1463"/>
      <c r="I928" s="1463"/>
      <c r="J928" s="1463"/>
      <c r="K928" s="1463"/>
      <c r="L928" s="1463"/>
      <c r="M928" s="1463"/>
      <c r="N928" s="1463"/>
      <c r="O928" s="1463"/>
      <c r="P928" s="1463"/>
      <c r="Q928" s="1463"/>
      <c r="R928" s="1463"/>
      <c r="S928" s="1463"/>
      <c r="T928" s="1463"/>
      <c r="U928" s="1463"/>
    </row>
    <row r="929" spans="1:21" ht="15" customHeight="1">
      <c r="A929" s="1463"/>
      <c r="B929" s="1463"/>
      <c r="C929" s="1463"/>
      <c r="D929" s="1463"/>
      <c r="E929" s="1463"/>
      <c r="F929" s="1463"/>
      <c r="G929" s="1463"/>
      <c r="H929" s="1463"/>
      <c r="I929" s="1463"/>
      <c r="J929" s="1463"/>
      <c r="K929" s="1463"/>
      <c r="L929" s="1463"/>
      <c r="M929" s="1463"/>
      <c r="N929" s="1463"/>
      <c r="O929" s="1463"/>
      <c r="P929" s="1463"/>
      <c r="Q929" s="1463"/>
      <c r="R929" s="1463"/>
      <c r="S929" s="1463"/>
      <c r="T929" s="1463"/>
      <c r="U929" s="1463"/>
    </row>
    <row r="930" spans="1:21" ht="18" customHeight="1">
      <c r="A930" s="1464" t="s">
        <v>784</v>
      </c>
      <c r="B930" s="1464"/>
      <c r="C930" s="1464"/>
      <c r="D930" s="1464"/>
      <c r="E930" s="1464"/>
      <c r="F930" s="1464"/>
      <c r="G930" s="1464"/>
      <c r="H930" s="1464"/>
      <c r="I930" s="1464"/>
      <c r="J930" s="1464"/>
      <c r="K930" s="1464"/>
      <c r="L930" s="1464"/>
      <c r="M930" s="1464"/>
      <c r="N930" s="1464"/>
      <c r="O930" s="1464"/>
      <c r="P930" s="1464"/>
      <c r="Q930" s="1464"/>
      <c r="R930" s="1464"/>
      <c r="S930" s="1464"/>
      <c r="T930" s="1464"/>
      <c r="U930" s="1464"/>
    </row>
    <row r="931" spans="1:21" ht="23.25" customHeight="1">
      <c r="A931" s="1465" t="s">
        <v>785</v>
      </c>
      <c r="B931" s="1465"/>
      <c r="C931" s="1465"/>
      <c r="D931" s="1465"/>
      <c r="E931" s="1465"/>
      <c r="F931" s="1465"/>
      <c r="G931" s="1465"/>
      <c r="H931" s="1465"/>
      <c r="I931" s="1465"/>
      <c r="J931" s="1465"/>
      <c r="K931" s="1465"/>
      <c r="L931" s="1465"/>
      <c r="M931" s="1465"/>
      <c r="N931" s="1465"/>
      <c r="O931" s="1465"/>
      <c r="P931" s="1465"/>
      <c r="Q931" s="1465"/>
      <c r="R931" s="1465"/>
      <c r="S931" s="1465"/>
      <c r="T931" s="1465"/>
      <c r="U931" s="1465"/>
    </row>
    <row r="932" spans="1:21" ht="21.75" customHeight="1">
      <c r="A932" s="874"/>
      <c r="B932" s="875"/>
      <c r="C932" s="875"/>
      <c r="D932" s="875"/>
      <c r="E932" s="875"/>
      <c r="F932" s="875"/>
      <c r="G932" s="875"/>
      <c r="H932" s="875"/>
      <c r="I932" s="875"/>
      <c r="J932" s="875"/>
      <c r="K932" s="875"/>
      <c r="L932" s="875"/>
      <c r="M932" s="875"/>
      <c r="N932" s="875"/>
      <c r="O932" s="875"/>
      <c r="P932" s="875"/>
      <c r="Q932" s="875"/>
      <c r="R932" s="875"/>
      <c r="S932" s="875"/>
      <c r="T932" s="875"/>
      <c r="U932" s="876"/>
    </row>
    <row r="933" spans="1:21" ht="15" customHeight="1">
      <c r="A933" s="1466" t="s">
        <v>786</v>
      </c>
      <c r="B933" s="1467" t="s">
        <v>787</v>
      </c>
      <c r="C933" s="1468" t="s">
        <v>788</v>
      </c>
      <c r="D933" s="1468" t="s">
        <v>789</v>
      </c>
      <c r="E933" s="1469" t="s">
        <v>790</v>
      </c>
      <c r="F933" s="1468" t="s">
        <v>791</v>
      </c>
      <c r="G933" s="1468"/>
      <c r="H933" s="1468"/>
      <c r="I933" s="1468"/>
      <c r="J933" s="1468"/>
      <c r="K933" s="1468"/>
      <c r="L933" s="1468"/>
      <c r="M933" s="1468"/>
      <c r="N933" s="1468"/>
      <c r="O933" s="1468"/>
      <c r="P933" s="1470"/>
      <c r="Q933" s="1470"/>
      <c r="R933" s="1470"/>
      <c r="S933" s="1470"/>
      <c r="T933" s="1470"/>
      <c r="U933" s="1470"/>
    </row>
    <row r="934" spans="1:21" ht="15.75" customHeight="1">
      <c r="A934" s="1466"/>
      <c r="B934" s="1467"/>
      <c r="C934" s="1468"/>
      <c r="D934" s="1468"/>
      <c r="E934" s="1469"/>
      <c r="F934" s="1468"/>
      <c r="G934" s="1468"/>
      <c r="H934" s="1468"/>
      <c r="I934" s="1468"/>
      <c r="J934" s="1468"/>
      <c r="K934" s="1468"/>
      <c r="L934" s="1468"/>
      <c r="M934" s="1468"/>
      <c r="N934" s="1468"/>
      <c r="O934" s="1468"/>
      <c r="P934" s="1470"/>
      <c r="Q934" s="1470"/>
      <c r="R934" s="1470"/>
      <c r="S934" s="1470"/>
      <c r="T934" s="1470"/>
      <c r="U934" s="1470"/>
    </row>
    <row r="935" spans="1:21" ht="48" customHeight="1">
      <c r="A935" s="1466"/>
      <c r="B935" s="1467"/>
      <c r="C935" s="1468"/>
      <c r="D935" s="1468"/>
      <c r="E935" s="1469"/>
      <c r="F935" s="878" t="s">
        <v>792</v>
      </c>
      <c r="G935" s="877" t="s">
        <v>793</v>
      </c>
      <c r="H935" s="878" t="s">
        <v>794</v>
      </c>
      <c r="I935" s="879" t="s">
        <v>795</v>
      </c>
      <c r="J935" s="880" t="s">
        <v>796</v>
      </c>
      <c r="K935" s="1468" t="s">
        <v>797</v>
      </c>
      <c r="L935" s="1468"/>
      <c r="M935" s="1468"/>
      <c r="N935" s="1468"/>
      <c r="O935" s="1468"/>
      <c r="P935" s="881" t="s">
        <v>798</v>
      </c>
      <c r="Q935" s="882" t="s">
        <v>799</v>
      </c>
      <c r="R935" s="1469" t="s">
        <v>800</v>
      </c>
      <c r="S935" s="1469"/>
      <c r="T935" s="877" t="s">
        <v>801</v>
      </c>
      <c r="U935" s="879" t="s">
        <v>104</v>
      </c>
    </row>
    <row r="936" spans="1:21" ht="19.5" customHeight="1">
      <c r="A936" s="883"/>
      <c r="B936" s="884" t="str">
        <f>IF('BIS Doc'!AC435=130, "130 × 130", IF('BIS Doc'!AC435=160, "160 × 160", IF('BIS Doc'!AC435=110, "110 × 110", "Value not 130, 160, or 110")))</f>
        <v>Value not 130, 160, or 110</v>
      </c>
      <c r="C936" s="885">
        <f>'BIS Doc'!W435</f>
        <v>0</v>
      </c>
      <c r="D936" s="886"/>
      <c r="E936" s="887">
        <f>'BIS Doc'!AE435</f>
        <v>0</v>
      </c>
      <c r="F936" s="888">
        <f ca="1">'BIS Doc'!F435</f>
        <v>0</v>
      </c>
      <c r="G936" s="888">
        <f ca="1">'BIS Doc'!J435</f>
        <v>0</v>
      </c>
      <c r="H936" s="888">
        <f ca="1">'BIS Doc'!G435</f>
        <v>0.58099150392799515</v>
      </c>
      <c r="I936" s="889">
        <f ca="1">'BIS Doc'!H435</f>
        <v>0</v>
      </c>
      <c r="J936" s="889">
        <f ca="1">'BIS Doc'!I435</f>
        <v>0</v>
      </c>
      <c r="K936" s="1449" t="str">
        <f t="shared" ref="K936:K941" ca="1" si="27">IF(H936&lt;0.6, "IS 14650 CPS 10748/GR2", "IS 14650 CPS 10748/GR3")</f>
        <v>IS 14650 CPS 10748/GR2</v>
      </c>
      <c r="L936" s="1449"/>
      <c r="M936" s="1449"/>
      <c r="N936" s="1449"/>
      <c r="O936" s="1449"/>
      <c r="P936" s="890"/>
      <c r="Q936" s="891"/>
      <c r="R936" s="1449"/>
      <c r="S936" s="1449"/>
      <c r="T936" s="892"/>
      <c r="U936" s="1450" t="s">
        <v>802</v>
      </c>
    </row>
    <row r="937" spans="1:21" ht="19.5" customHeight="1">
      <c r="A937" s="893"/>
      <c r="B937" s="894" t="str">
        <f>IF('BIS Doc'!AC437=130, "130 × 130", IF('BIS Doc'!AC437=160, "160 × 160", IF('BIS Doc'!AC437=110, "110 × 110", "Value not 130, 160, or 110")))</f>
        <v>Value not 130, 160, or 110</v>
      </c>
      <c r="C937" s="895">
        <f>'BIS Doc'!W437</f>
        <v>0</v>
      </c>
      <c r="D937" s="896"/>
      <c r="E937" s="897">
        <f>'BIS Doc'!AE437</f>
        <v>0</v>
      </c>
      <c r="F937" s="898">
        <f ca="1">'BIS Doc'!F437</f>
        <v>0</v>
      </c>
      <c r="G937" s="899">
        <f ca="1">'BIS Doc'!J437</f>
        <v>0</v>
      </c>
      <c r="H937" s="900">
        <f ca="1">'BIS Doc'!G437</f>
        <v>0.55101341482303678</v>
      </c>
      <c r="I937" s="901">
        <f ca="1">'BIS Doc'!H437</f>
        <v>0</v>
      </c>
      <c r="J937" s="901">
        <f ca="1">'BIS Doc'!I437</f>
        <v>0</v>
      </c>
      <c r="K937" s="1451" t="str">
        <f t="shared" ca="1" si="27"/>
        <v>IS 14650 CPS 10748/GR2</v>
      </c>
      <c r="L937" s="1451"/>
      <c r="M937" s="1451"/>
      <c r="N937" s="1451"/>
      <c r="O937" s="1451"/>
      <c r="P937" s="902"/>
      <c r="Q937" s="903"/>
      <c r="R937" s="1451"/>
      <c r="S937" s="1451"/>
      <c r="T937" s="904"/>
      <c r="U937" s="1450"/>
    </row>
    <row r="938" spans="1:21" ht="19.5" customHeight="1">
      <c r="A938" s="864"/>
      <c r="B938" s="894" t="str">
        <f>IF('BIS Doc'!AC439=130, "130 × 130", IF('BIS Doc'!AC439=160, "160 × 160", IF('BIS Doc'!AC439=110, "110 × 110", "Value not 130, 160, or 110")))</f>
        <v>Value not 130, 160, or 110</v>
      </c>
      <c r="C938" s="895">
        <f>'BIS Doc'!W439</f>
        <v>0</v>
      </c>
      <c r="D938" s="896" t="s">
        <v>803</v>
      </c>
      <c r="E938" s="897">
        <f>'BIS Doc'!AE439</f>
        <v>0</v>
      </c>
      <c r="F938" s="898">
        <f ca="1">'BIS Doc'!F439</f>
        <v>0</v>
      </c>
      <c r="G938" s="899">
        <f ca="1">'BIS Doc'!J439</f>
        <v>0</v>
      </c>
      <c r="H938" s="900">
        <f ca="1">'BIS Doc'!G439</f>
        <v>0.56355500997953489</v>
      </c>
      <c r="I938" s="901">
        <f ca="1">'BIS Doc'!H439</f>
        <v>0</v>
      </c>
      <c r="J938" s="901">
        <f ca="1">'BIS Doc'!I439</f>
        <v>0</v>
      </c>
      <c r="K938" s="1451" t="str">
        <f t="shared" ca="1" si="27"/>
        <v>IS 14650 CPS 10748/GR2</v>
      </c>
      <c r="L938" s="1451"/>
      <c r="M938" s="1451"/>
      <c r="N938" s="1451"/>
      <c r="O938" s="1451"/>
      <c r="P938" s="902"/>
      <c r="Q938" s="905"/>
      <c r="R938" s="1451"/>
      <c r="S938" s="1451"/>
      <c r="T938" s="904"/>
      <c r="U938" s="1450"/>
    </row>
    <row r="939" spans="1:21" ht="19.5" customHeight="1">
      <c r="A939" s="864"/>
      <c r="B939" s="894" t="str">
        <f>IF('BIS Doc'!AC441=130, "130 × 130", IF('BIS Doc'!AC441=160, "160 × 160", IF('BIS Doc'!AC441=110, "110 × 110", "Value not 130, 160, or 110")))</f>
        <v>Value not 130, 160, or 110</v>
      </c>
      <c r="C939" s="895">
        <f>'BIS Doc'!W441</f>
        <v>0</v>
      </c>
      <c r="D939" s="896"/>
      <c r="E939" s="897">
        <f>'BIS Doc'!AE441</f>
        <v>0</v>
      </c>
      <c r="F939" s="898">
        <f ca="1">'BIS Doc'!F441</f>
        <v>0</v>
      </c>
      <c r="G939" s="899">
        <f ca="1">'BIS Doc'!J441</f>
        <v>0</v>
      </c>
      <c r="H939" s="900">
        <f ca="1">'BIS Doc'!G441</f>
        <v>0.53486143321880841</v>
      </c>
      <c r="I939" s="901">
        <f ca="1">'BIS Doc'!H441</f>
        <v>0</v>
      </c>
      <c r="J939" s="901">
        <f ca="1">'BIS Doc'!I441</f>
        <v>0</v>
      </c>
      <c r="K939" s="1451" t="str">
        <f t="shared" ca="1" si="27"/>
        <v>IS 14650 CPS 10748/GR2</v>
      </c>
      <c r="L939" s="1451"/>
      <c r="M939" s="1451"/>
      <c r="N939" s="1451"/>
      <c r="O939" s="1451"/>
      <c r="P939" s="902"/>
      <c r="Q939" s="905"/>
      <c r="R939" s="1451"/>
      <c r="S939" s="1451"/>
      <c r="T939" s="904"/>
      <c r="U939" s="1450"/>
    </row>
    <row r="940" spans="1:21" ht="19.5" customHeight="1">
      <c r="A940" s="864"/>
      <c r="B940" s="894" t="str">
        <f>IF('BIS Doc'!AC443=130, "130 × 130", IF('BIS Doc'!AC443=160, "160 × 160", IF('BIS Doc'!AC443=110, "110 × 110", "Value not 130, 160, or 110")))</f>
        <v>Value not 130, 160, or 110</v>
      </c>
      <c r="C940" s="895">
        <f>'BIS Doc'!W443</f>
        <v>0</v>
      </c>
      <c r="D940" s="896"/>
      <c r="E940" s="897">
        <f>'BIS Doc'!AE443</f>
        <v>0</v>
      </c>
      <c r="F940" s="898">
        <f ca="1">'BIS Doc'!F443</f>
        <v>0</v>
      </c>
      <c r="G940" s="899">
        <f ca="1">'BIS Doc'!J443</f>
        <v>0</v>
      </c>
      <c r="H940" s="900">
        <f ca="1">'BIS Doc'!G443</f>
        <v>0.54285109855147728</v>
      </c>
      <c r="I940" s="901">
        <f ca="1">'BIS Doc'!H443</f>
        <v>0</v>
      </c>
      <c r="J940" s="901">
        <f ca="1">'BIS Doc'!I443</f>
        <v>0</v>
      </c>
      <c r="K940" s="1451" t="str">
        <f t="shared" ca="1" si="27"/>
        <v>IS 14650 CPS 10748/GR2</v>
      </c>
      <c r="L940" s="1451"/>
      <c r="M940" s="1451"/>
      <c r="N940" s="1451"/>
      <c r="O940" s="1451"/>
      <c r="P940" s="902"/>
      <c r="Q940" s="905"/>
      <c r="R940" s="1451"/>
      <c r="S940" s="1451"/>
      <c r="T940" s="904"/>
      <c r="U940" s="1450"/>
    </row>
    <row r="941" spans="1:21" ht="19.5" customHeight="1">
      <c r="A941" s="864"/>
      <c r="B941" s="894" t="str">
        <f>IF('BIS Doc'!AC445=130, "130 × 130", IF('BIS Doc'!AC445=160, "160 × 160", IF('BIS Doc'!AC445=110, "110 × 110", "Value not 130, 160, or 110")))</f>
        <v>Value not 130, 160, or 110</v>
      </c>
      <c r="C941" s="895">
        <f>'BIS Doc'!W445</f>
        <v>0</v>
      </c>
      <c r="D941" s="896"/>
      <c r="E941" s="897">
        <f>'BIS Doc'!AE445</f>
        <v>0</v>
      </c>
      <c r="F941" s="898">
        <f ca="1">'BIS Doc'!F445</f>
        <v>0</v>
      </c>
      <c r="G941" s="899">
        <f ca="1">'BIS Doc'!J445</f>
        <v>0</v>
      </c>
      <c r="H941" s="900">
        <f ca="1">'BIS Doc'!G445</f>
        <v>0.54677009887625128</v>
      </c>
      <c r="I941" s="901">
        <f ca="1">'BIS Doc'!H445</f>
        <v>0</v>
      </c>
      <c r="J941" s="901">
        <f ca="1">'BIS Doc'!I445</f>
        <v>0</v>
      </c>
      <c r="K941" s="1451" t="str">
        <f t="shared" ca="1" si="27"/>
        <v>IS 14650 CPS 10748/GR2</v>
      </c>
      <c r="L941" s="1451"/>
      <c r="M941" s="1451"/>
      <c r="N941" s="1451"/>
      <c r="O941" s="1451"/>
      <c r="P941" s="902"/>
      <c r="Q941" s="903"/>
      <c r="R941" s="1451"/>
      <c r="S941" s="1451"/>
      <c r="T941" s="904"/>
      <c r="U941" s="1450"/>
    </row>
    <row r="942" spans="1:21" ht="19.5" customHeight="1">
      <c r="A942" s="864"/>
      <c r="B942" s="904"/>
      <c r="C942" s="895"/>
      <c r="D942" s="896"/>
      <c r="E942" s="897"/>
      <c r="F942" s="906"/>
      <c r="G942" s="907"/>
      <c r="H942" s="908"/>
      <c r="I942" s="909"/>
      <c r="J942" s="909"/>
      <c r="K942" s="1451"/>
      <c r="L942" s="1451"/>
      <c r="M942" s="1451"/>
      <c r="N942" s="1451"/>
      <c r="O942" s="1451"/>
      <c r="P942" s="902"/>
      <c r="Q942" s="903"/>
      <c r="R942" s="1451"/>
      <c r="S942" s="1451"/>
      <c r="T942" s="904"/>
      <c r="U942" s="1450"/>
    </row>
    <row r="943" spans="1:21" ht="19.5" customHeight="1">
      <c r="A943" s="864"/>
      <c r="B943" s="904"/>
      <c r="C943" s="895"/>
      <c r="D943" s="896"/>
      <c r="E943" s="897"/>
      <c r="F943" s="906"/>
      <c r="G943" s="907"/>
      <c r="H943" s="908"/>
      <c r="I943" s="909"/>
      <c r="J943" s="909"/>
      <c r="K943" s="1451"/>
      <c r="L943" s="1451"/>
      <c r="M943" s="1451"/>
      <c r="N943" s="1451"/>
      <c r="O943" s="1451"/>
      <c r="P943" s="902"/>
      <c r="Q943" s="905"/>
      <c r="R943" s="1451"/>
      <c r="S943" s="1451"/>
      <c r="T943" s="904"/>
      <c r="U943" s="1450"/>
    </row>
    <row r="944" spans="1:21" ht="19.5" customHeight="1">
      <c r="A944" s="864"/>
      <c r="B944" s="910"/>
      <c r="C944" s="911"/>
      <c r="D944" s="896"/>
      <c r="E944" s="897"/>
      <c r="F944" s="906"/>
      <c r="G944" s="907"/>
      <c r="H944" s="908"/>
      <c r="I944" s="909"/>
      <c r="J944" s="909"/>
      <c r="K944" s="1451"/>
      <c r="L944" s="1451"/>
      <c r="M944" s="1451"/>
      <c r="N944" s="1451"/>
      <c r="O944" s="1451"/>
      <c r="P944" s="912"/>
      <c r="Q944" s="913"/>
      <c r="R944" s="1452"/>
      <c r="S944" s="1452"/>
      <c r="T944" s="910"/>
      <c r="U944" s="1450"/>
    </row>
    <row r="945" spans="1:21" ht="19.5" customHeight="1">
      <c r="A945" s="914"/>
      <c r="B945" s="915"/>
      <c r="C945" s="916"/>
      <c r="D945" s="917"/>
      <c r="E945" s="918">
        <f>SUM(E936:E941)</f>
        <v>0</v>
      </c>
      <c r="F945" s="919"/>
      <c r="G945" s="920"/>
      <c r="H945" s="921"/>
      <c r="I945" s="922"/>
      <c r="J945" s="922"/>
      <c r="K945" s="1453"/>
      <c r="L945" s="1453"/>
      <c r="M945" s="1453"/>
      <c r="N945" s="1453"/>
      <c r="O945" s="1453"/>
      <c r="P945" s="923"/>
      <c r="Q945" s="924"/>
      <c r="R945" s="1454"/>
      <c r="S945" s="1454"/>
      <c r="T945" s="915"/>
      <c r="U945" s="1450"/>
    </row>
    <row r="946" spans="1:21" ht="15.75" customHeight="1">
      <c r="A946" s="864"/>
      <c r="B946" s="773"/>
      <c r="C946" s="773"/>
      <c r="D946" s="925"/>
      <c r="E946" s="926"/>
      <c r="F946" s="927"/>
      <c r="G946" s="928"/>
      <c r="H946" s="259"/>
      <c r="I946" s="259"/>
      <c r="J946" s="928"/>
      <c r="K946" s="929"/>
      <c r="L946" s="929"/>
      <c r="M946" s="929"/>
      <c r="N946" s="929"/>
      <c r="O946" s="928"/>
      <c r="P946" s="930"/>
      <c r="Q946" s="931"/>
      <c r="R946" s="931"/>
      <c r="U946" s="932"/>
    </row>
    <row r="947" spans="1:21" ht="18.75" customHeight="1">
      <c r="A947" s="864"/>
      <c r="B947" s="773"/>
      <c r="C947" s="773"/>
      <c r="D947" s="773"/>
      <c r="E947" s="773"/>
      <c r="F947" s="773"/>
      <c r="G947" s="773"/>
      <c r="H947" s="773"/>
      <c r="I947" s="773"/>
      <c r="J947" s="773"/>
      <c r="K947" s="773"/>
      <c r="P947" s="1446" t="s">
        <v>804</v>
      </c>
      <c r="Q947" s="1446"/>
      <c r="R947" s="1446"/>
      <c r="S947" s="1446"/>
      <c r="T947" s="1446"/>
      <c r="U947" s="1446"/>
    </row>
    <row r="948" spans="1:21" ht="18.75" customHeight="1">
      <c r="A948" s="1447" t="s">
        <v>805</v>
      </c>
      <c r="B948" s="1447"/>
      <c r="C948" s="933"/>
      <c r="D948" s="933"/>
      <c r="E948" s="933"/>
      <c r="F948" s="933"/>
      <c r="P948" s="855"/>
      <c r="Q948" s="855"/>
      <c r="R948" s="855"/>
      <c r="S948" s="855"/>
      <c r="T948" s="855"/>
      <c r="U948" s="934"/>
    </row>
    <row r="949" spans="1:21" ht="18.75" customHeight="1">
      <c r="A949" s="854"/>
      <c r="B949" s="855"/>
      <c r="P949" s="855"/>
      <c r="Q949" s="855"/>
      <c r="R949" s="855"/>
      <c r="S949" s="855"/>
      <c r="T949" s="855"/>
      <c r="U949" s="934"/>
    </row>
    <row r="950" spans="1:21" ht="18.75" customHeight="1">
      <c r="A950" s="854" t="s">
        <v>806</v>
      </c>
      <c r="B950" s="855"/>
      <c r="C950" s="867"/>
      <c r="D950" s="941"/>
      <c r="E950" s="933"/>
      <c r="F950" s="933"/>
      <c r="P950" s="855"/>
      <c r="Q950" s="855"/>
      <c r="R950" s="855"/>
      <c r="S950" s="855"/>
      <c r="T950" s="855"/>
      <c r="U950" s="934"/>
    </row>
    <row r="951" spans="1:21" ht="18.75" customHeight="1">
      <c r="A951" s="854"/>
      <c r="B951" s="855"/>
      <c r="C951" s="937"/>
      <c r="P951" s="855"/>
      <c r="Q951" s="855"/>
      <c r="R951" s="855"/>
      <c r="S951" s="855"/>
      <c r="T951" s="855"/>
      <c r="U951" s="934"/>
    </row>
    <row r="952" spans="1:21" ht="19.5" customHeight="1">
      <c r="A952" s="938"/>
      <c r="B952" s="939"/>
      <c r="C952" s="940"/>
      <c r="D952" s="453"/>
      <c r="E952" s="453"/>
      <c r="F952" s="453"/>
      <c r="G952" s="453"/>
      <c r="H952" s="453"/>
      <c r="I952" s="453"/>
      <c r="J952" s="453"/>
      <c r="K952" s="453"/>
      <c r="L952" s="453"/>
      <c r="M952" s="453"/>
      <c r="N952" s="453"/>
      <c r="O952" s="453"/>
      <c r="P952" s="1448" t="s">
        <v>807</v>
      </c>
      <c r="Q952" s="1448"/>
      <c r="R952" s="1448"/>
      <c r="S952" s="1448"/>
      <c r="T952" s="1448"/>
      <c r="U952" s="1448"/>
    </row>
    <row r="953" spans="1:21" ht="45.75" customHeight="1">
      <c r="A953" s="1455"/>
      <c r="B953" s="1455"/>
      <c r="C953" s="1455"/>
      <c r="D953" s="847"/>
      <c r="E953" s="1456" t="s">
        <v>774</v>
      </c>
      <c r="F953" s="1456"/>
      <c r="G953" s="1456"/>
      <c r="H953" s="1456"/>
      <c r="I953" s="1456"/>
      <c r="J953" s="1456"/>
      <c r="K953" s="1456"/>
      <c r="L953" s="1456"/>
      <c r="M953" s="1456"/>
      <c r="N953" s="1456"/>
      <c r="O953" s="1456"/>
      <c r="P953" s="1456"/>
      <c r="Q953" s="1456"/>
      <c r="R953" s="1456"/>
      <c r="S953" s="848"/>
      <c r="T953" s="1457" t="s">
        <v>775</v>
      </c>
      <c r="U953" s="1457"/>
    </row>
    <row r="954" spans="1:21" ht="18.75" customHeight="1">
      <c r="A954" s="849"/>
      <c r="E954" s="1458" t="s">
        <v>776</v>
      </c>
      <c r="F954" s="1458"/>
      <c r="G954" s="1458"/>
      <c r="H954" s="1458"/>
      <c r="I954" s="1458"/>
      <c r="J954" s="1458"/>
      <c r="K954" s="1458"/>
      <c r="L954" s="1458"/>
      <c r="M954" s="1458"/>
      <c r="N954" s="1458"/>
      <c r="O954" s="1458"/>
      <c r="P954" s="1458"/>
      <c r="Q954" s="1458"/>
      <c r="R954" s="1458"/>
      <c r="U954" s="456"/>
    </row>
    <row r="955" spans="1:21" ht="18.75" customHeight="1">
      <c r="A955" s="850"/>
      <c r="F955" s="587"/>
      <c r="G955" s="587"/>
      <c r="H955" s="587"/>
      <c r="I955" s="587"/>
      <c r="J955" s="587"/>
      <c r="K955" s="587"/>
      <c r="L955" s="587"/>
      <c r="M955" s="851"/>
      <c r="N955" s="852"/>
      <c r="O955" s="851"/>
      <c r="P955" s="1459" t="s">
        <v>777</v>
      </c>
      <c r="Q955" s="1459"/>
      <c r="R955" s="1459"/>
      <c r="S955" s="1459"/>
      <c r="T955" s="1459"/>
      <c r="U955" s="1459"/>
    </row>
    <row r="956" spans="1:21" ht="15" customHeight="1">
      <c r="A956" s="849"/>
      <c r="E956" s="1287" t="s">
        <v>778</v>
      </c>
      <c r="F956" s="1287"/>
      <c r="G956" s="1287"/>
      <c r="H956" s="1287"/>
      <c r="I956" s="1287"/>
      <c r="J956" s="1287"/>
      <c r="K956" s="1287"/>
      <c r="L956" s="1287"/>
      <c r="M956" s="1287"/>
      <c r="N956" s="1287"/>
      <c r="O956" s="1287"/>
      <c r="P956" s="1287"/>
      <c r="Q956" s="1287"/>
      <c r="R956" s="1287"/>
      <c r="U956" s="456"/>
    </row>
    <row r="957" spans="1:21" ht="18.75" customHeight="1">
      <c r="A957" s="849"/>
      <c r="E957" s="1286" t="s">
        <v>779</v>
      </c>
      <c r="F957" s="1286"/>
      <c r="G957" s="1286"/>
      <c r="H957" s="1286"/>
      <c r="I957" s="1286"/>
      <c r="J957" s="1286"/>
      <c r="K957" s="1286"/>
      <c r="L957" s="1286"/>
      <c r="M957" s="1286"/>
      <c r="N957" s="1286"/>
      <c r="O957" s="1286"/>
      <c r="P957" s="1286"/>
      <c r="Q957" s="1286"/>
      <c r="R957" s="1286"/>
      <c r="U957" s="853"/>
    </row>
    <row r="958" spans="1:21" ht="23.25" customHeight="1">
      <c r="A958" s="854" t="s">
        <v>780</v>
      </c>
      <c r="B958" s="855"/>
      <c r="C958" s="855"/>
      <c r="D958" s="856" t="s">
        <v>852</v>
      </c>
      <c r="E958" s="857"/>
      <c r="F958" s="858"/>
      <c r="G958" s="859"/>
      <c r="H958" s="859"/>
      <c r="I958" s="859"/>
      <c r="J958" s="859"/>
      <c r="K958" s="859"/>
      <c r="L958" s="860"/>
      <c r="M958" s="1460"/>
      <c r="N958" s="1460"/>
      <c r="O958" s="1460"/>
      <c r="P958" s="1461" t="s">
        <v>781</v>
      </c>
      <c r="Q958" s="1461"/>
      <c r="R958" s="1461"/>
      <c r="S958" s="855"/>
      <c r="T958" s="861">
        <v>46310</v>
      </c>
      <c r="U958" s="456"/>
    </row>
    <row r="959" spans="1:21" ht="23.25" customHeight="1">
      <c r="A959" s="854"/>
      <c r="B959" s="862"/>
      <c r="C959" s="862"/>
      <c r="D959" s="862"/>
      <c r="E959" s="163"/>
      <c r="F959" s="863"/>
      <c r="G959" s="863"/>
      <c r="H959" s="863"/>
      <c r="I959" s="863"/>
      <c r="J959" s="863"/>
      <c r="K959" s="863"/>
      <c r="U959" s="456"/>
    </row>
    <row r="960" spans="1:21" ht="21" customHeight="1">
      <c r="A960" s="864" t="s">
        <v>782</v>
      </c>
      <c r="B960" s="865"/>
      <c r="C960" s="866"/>
      <c r="D960" s="867"/>
      <c r="E960" s="868"/>
      <c r="F960" s="869"/>
      <c r="G960" s="869"/>
      <c r="H960" s="869"/>
      <c r="I960" s="870"/>
      <c r="J960" s="870"/>
      <c r="P960" s="1462"/>
      <c r="Q960" s="1462"/>
      <c r="R960" s="1462"/>
      <c r="S960" s="1462"/>
      <c r="T960" s="871"/>
      <c r="U960" s="456"/>
    </row>
    <row r="961" spans="1:21" ht="21" customHeight="1">
      <c r="A961" s="872"/>
      <c r="B961" s="873"/>
      <c r="C961" s="869"/>
      <c r="D961" s="869"/>
      <c r="E961" s="869"/>
      <c r="F961" s="869"/>
      <c r="G961" s="869"/>
      <c r="H961" s="869"/>
      <c r="I961" s="870"/>
      <c r="J961" s="870"/>
      <c r="U961" s="456"/>
    </row>
    <row r="962" spans="1:21" ht="15" customHeight="1">
      <c r="A962" s="1463" t="s">
        <v>783</v>
      </c>
      <c r="B962" s="1463"/>
      <c r="C962" s="1463"/>
      <c r="D962" s="1463"/>
      <c r="E962" s="1463"/>
      <c r="F962" s="1463"/>
      <c r="G962" s="1463"/>
      <c r="H962" s="1463"/>
      <c r="I962" s="1463"/>
      <c r="J962" s="1463"/>
      <c r="K962" s="1463"/>
      <c r="L962" s="1463"/>
      <c r="M962" s="1463"/>
      <c r="N962" s="1463"/>
      <c r="O962" s="1463"/>
      <c r="P962" s="1463"/>
      <c r="Q962" s="1463"/>
      <c r="R962" s="1463"/>
      <c r="S962" s="1463"/>
      <c r="T962" s="1463"/>
      <c r="U962" s="1463"/>
    </row>
    <row r="963" spans="1:21" ht="15" customHeight="1">
      <c r="A963" s="1463"/>
      <c r="B963" s="1463"/>
      <c r="C963" s="1463"/>
      <c r="D963" s="1463"/>
      <c r="E963" s="1463"/>
      <c r="F963" s="1463"/>
      <c r="G963" s="1463"/>
      <c r="H963" s="1463"/>
      <c r="I963" s="1463"/>
      <c r="J963" s="1463"/>
      <c r="K963" s="1463"/>
      <c r="L963" s="1463"/>
      <c r="M963" s="1463"/>
      <c r="N963" s="1463"/>
      <c r="O963" s="1463"/>
      <c r="P963" s="1463"/>
      <c r="Q963" s="1463"/>
      <c r="R963" s="1463"/>
      <c r="S963" s="1463"/>
      <c r="T963" s="1463"/>
      <c r="U963" s="1463"/>
    </row>
    <row r="964" spans="1:21" ht="18" customHeight="1">
      <c r="A964" s="1464" t="s">
        <v>784</v>
      </c>
      <c r="B964" s="1464"/>
      <c r="C964" s="1464"/>
      <c r="D964" s="1464"/>
      <c r="E964" s="1464"/>
      <c r="F964" s="1464"/>
      <c r="G964" s="1464"/>
      <c r="H964" s="1464"/>
      <c r="I964" s="1464"/>
      <c r="J964" s="1464"/>
      <c r="K964" s="1464"/>
      <c r="L964" s="1464"/>
      <c r="M964" s="1464"/>
      <c r="N964" s="1464"/>
      <c r="O964" s="1464"/>
      <c r="P964" s="1464"/>
      <c r="Q964" s="1464"/>
      <c r="R964" s="1464"/>
      <c r="S964" s="1464"/>
      <c r="T964" s="1464"/>
      <c r="U964" s="1464"/>
    </row>
    <row r="965" spans="1:21" ht="23.25" customHeight="1">
      <c r="A965" s="1465" t="s">
        <v>785</v>
      </c>
      <c r="B965" s="1465"/>
      <c r="C965" s="1465"/>
      <c r="D965" s="1465"/>
      <c r="E965" s="1465"/>
      <c r="F965" s="1465"/>
      <c r="G965" s="1465"/>
      <c r="H965" s="1465"/>
      <c r="I965" s="1465"/>
      <c r="J965" s="1465"/>
      <c r="K965" s="1465"/>
      <c r="L965" s="1465"/>
      <c r="M965" s="1465"/>
      <c r="N965" s="1465"/>
      <c r="O965" s="1465"/>
      <c r="P965" s="1465"/>
      <c r="Q965" s="1465"/>
      <c r="R965" s="1465"/>
      <c r="S965" s="1465"/>
      <c r="T965" s="1465"/>
      <c r="U965" s="1465"/>
    </row>
    <row r="966" spans="1:21" ht="21.75" customHeight="1">
      <c r="A966" s="874"/>
      <c r="B966" s="875"/>
      <c r="C966" s="875"/>
      <c r="D966" s="875"/>
      <c r="E966" s="875"/>
      <c r="F966" s="875"/>
      <c r="G966" s="875"/>
      <c r="H966" s="875"/>
      <c r="I966" s="875"/>
      <c r="J966" s="875"/>
      <c r="K966" s="875"/>
      <c r="L966" s="875"/>
      <c r="M966" s="875"/>
      <c r="N966" s="875"/>
      <c r="O966" s="875"/>
      <c r="P966" s="875"/>
      <c r="Q966" s="875"/>
      <c r="R966" s="875"/>
      <c r="S966" s="875"/>
      <c r="T966" s="875"/>
      <c r="U966" s="876"/>
    </row>
    <row r="967" spans="1:21" ht="15" customHeight="1">
      <c r="A967" s="1466" t="s">
        <v>786</v>
      </c>
      <c r="B967" s="1467" t="s">
        <v>787</v>
      </c>
      <c r="C967" s="1468" t="s">
        <v>788</v>
      </c>
      <c r="D967" s="1468" t="s">
        <v>789</v>
      </c>
      <c r="E967" s="1469" t="s">
        <v>790</v>
      </c>
      <c r="F967" s="1468" t="s">
        <v>791</v>
      </c>
      <c r="G967" s="1468"/>
      <c r="H967" s="1468"/>
      <c r="I967" s="1468"/>
      <c r="J967" s="1468"/>
      <c r="K967" s="1468"/>
      <c r="L967" s="1468"/>
      <c r="M967" s="1468"/>
      <c r="N967" s="1468"/>
      <c r="O967" s="1468"/>
      <c r="P967" s="1470"/>
      <c r="Q967" s="1470"/>
      <c r="R967" s="1470"/>
      <c r="S967" s="1470"/>
      <c r="T967" s="1470"/>
      <c r="U967" s="1470"/>
    </row>
    <row r="968" spans="1:21" ht="15.75" customHeight="1">
      <c r="A968" s="1466"/>
      <c r="B968" s="1467"/>
      <c r="C968" s="1468"/>
      <c r="D968" s="1468"/>
      <c r="E968" s="1469"/>
      <c r="F968" s="1468"/>
      <c r="G968" s="1468"/>
      <c r="H968" s="1468"/>
      <c r="I968" s="1468"/>
      <c r="J968" s="1468"/>
      <c r="K968" s="1468"/>
      <c r="L968" s="1468"/>
      <c r="M968" s="1468"/>
      <c r="N968" s="1468"/>
      <c r="O968" s="1468"/>
      <c r="P968" s="1470"/>
      <c r="Q968" s="1470"/>
      <c r="R968" s="1470"/>
      <c r="S968" s="1470"/>
      <c r="T968" s="1470"/>
      <c r="U968" s="1470"/>
    </row>
    <row r="969" spans="1:21" ht="48" customHeight="1">
      <c r="A969" s="1466"/>
      <c r="B969" s="1467"/>
      <c r="C969" s="1468"/>
      <c r="D969" s="1468"/>
      <c r="E969" s="1469"/>
      <c r="F969" s="878" t="s">
        <v>792</v>
      </c>
      <c r="G969" s="877" t="s">
        <v>793</v>
      </c>
      <c r="H969" s="878" t="s">
        <v>794</v>
      </c>
      <c r="I969" s="879" t="s">
        <v>795</v>
      </c>
      <c r="J969" s="880" t="s">
        <v>796</v>
      </c>
      <c r="K969" s="1468" t="s">
        <v>797</v>
      </c>
      <c r="L969" s="1468"/>
      <c r="M969" s="1468"/>
      <c r="N969" s="1468"/>
      <c r="O969" s="1468"/>
      <c r="P969" s="881" t="s">
        <v>798</v>
      </c>
      <c r="Q969" s="882" t="s">
        <v>799</v>
      </c>
      <c r="R969" s="1469" t="s">
        <v>800</v>
      </c>
      <c r="S969" s="1469"/>
      <c r="T969" s="877" t="s">
        <v>801</v>
      </c>
      <c r="U969" s="879" t="s">
        <v>104</v>
      </c>
    </row>
    <row r="970" spans="1:21" ht="19.5" customHeight="1">
      <c r="A970" s="883"/>
      <c r="B970" s="884" t="str">
        <f>IF('BIS Doc'!AC455=130, "130 × 130", IF('BIS Doc'!AC455=160, "160 × 160", IF('BIS Doc'!AC455=110, "110 × 110", "Value not 130, 160, or 110")))</f>
        <v>Value not 130, 160, or 110</v>
      </c>
      <c r="C970" s="885">
        <f>'BIS Doc'!W455</f>
        <v>0</v>
      </c>
      <c r="D970" s="886"/>
      <c r="E970" s="887">
        <f>'BIS Doc'!AE455</f>
        <v>0</v>
      </c>
      <c r="F970" s="888">
        <f ca="1">'BIS Doc'!F455</f>
        <v>0</v>
      </c>
      <c r="G970" s="888">
        <f ca="1">'BIS Doc'!J455</f>
        <v>0</v>
      </c>
      <c r="H970" s="888">
        <f ca="1">'BIS Doc'!G455</f>
        <v>0.58077912853828795</v>
      </c>
      <c r="I970" s="889">
        <f ca="1">'BIS Doc'!H455</f>
        <v>0</v>
      </c>
      <c r="J970" s="889">
        <f ca="1">'BIS Doc'!I455</f>
        <v>0</v>
      </c>
      <c r="K970" s="1449" t="str">
        <f t="shared" ref="K970:K975" ca="1" si="28">IF(H970&lt;0.6, "IS 14650 CPS 10748/GR2", "IS 14650 CPS 10748/GR3")</f>
        <v>IS 14650 CPS 10748/GR2</v>
      </c>
      <c r="L970" s="1449"/>
      <c r="M970" s="1449"/>
      <c r="N970" s="1449"/>
      <c r="O970" s="1449"/>
      <c r="P970" s="890"/>
      <c r="Q970" s="891"/>
      <c r="R970" s="1449"/>
      <c r="S970" s="1449"/>
      <c r="T970" s="892"/>
      <c r="U970" s="1450" t="s">
        <v>802</v>
      </c>
    </row>
    <row r="971" spans="1:21" ht="19.5" customHeight="1">
      <c r="A971" s="893"/>
      <c r="B971" s="894" t="str">
        <f>IF('BIS Doc'!AC457=130, "130 × 130", IF('BIS Doc'!AC457=160, "160 × 160", IF('BIS Doc'!AC457=110, "110 × 110", "Value not 130, 160, or 110")))</f>
        <v>Value not 130, 160, or 110</v>
      </c>
      <c r="C971" s="895">
        <f>'BIS Doc'!W457</f>
        <v>0</v>
      </c>
      <c r="D971" s="896"/>
      <c r="E971" s="897">
        <f>'BIS Doc'!AE457</f>
        <v>0</v>
      </c>
      <c r="F971" s="898">
        <f ca="1">'BIS Doc'!F457</f>
        <v>0</v>
      </c>
      <c r="G971" s="899">
        <f ca="1">'BIS Doc'!J457</f>
        <v>0</v>
      </c>
      <c r="H971" s="900">
        <f ca="1">'BIS Doc'!G457</f>
        <v>0.51157557009071319</v>
      </c>
      <c r="I971" s="901">
        <f ca="1">'BIS Doc'!H457</f>
        <v>0</v>
      </c>
      <c r="J971" s="901">
        <f ca="1">'BIS Doc'!I457</f>
        <v>0</v>
      </c>
      <c r="K971" s="1451" t="str">
        <f t="shared" ca="1" si="28"/>
        <v>IS 14650 CPS 10748/GR2</v>
      </c>
      <c r="L971" s="1451"/>
      <c r="M971" s="1451"/>
      <c r="N971" s="1451"/>
      <c r="O971" s="1451"/>
      <c r="P971" s="902"/>
      <c r="Q971" s="903"/>
      <c r="R971" s="1451"/>
      <c r="S971" s="1451"/>
      <c r="T971" s="904"/>
      <c r="U971" s="1450"/>
    </row>
    <row r="972" spans="1:21" ht="19.5" customHeight="1">
      <c r="A972" s="864"/>
      <c r="B972" s="894" t="str">
        <f>IF('BIS Doc'!AC459=130, "130 × 130", IF('BIS Doc'!AC459=160, "160 × 160", IF('BIS Doc'!AC459=110, "110 × 110", "Value not 130, 160, or 110")))</f>
        <v>Value not 130, 160, or 110</v>
      </c>
      <c r="C972" s="895">
        <f>'BIS Doc'!W459</f>
        <v>0</v>
      </c>
      <c r="D972" s="896" t="s">
        <v>803</v>
      </c>
      <c r="E972" s="897">
        <f>'BIS Doc'!AE459</f>
        <v>0</v>
      </c>
      <c r="F972" s="898">
        <f ca="1">'BIS Doc'!F459</f>
        <v>0</v>
      </c>
      <c r="G972" s="899">
        <f ca="1">'BIS Doc'!J459</f>
        <v>0</v>
      </c>
      <c r="H972" s="900">
        <f ca="1">'BIS Doc'!G459</f>
        <v>0.57788770548670365</v>
      </c>
      <c r="I972" s="901">
        <f ca="1">'BIS Doc'!H459</f>
        <v>0</v>
      </c>
      <c r="J972" s="901">
        <f ca="1">'BIS Doc'!I459</f>
        <v>0</v>
      </c>
      <c r="K972" s="1451" t="str">
        <f t="shared" ca="1" si="28"/>
        <v>IS 14650 CPS 10748/GR2</v>
      </c>
      <c r="L972" s="1451"/>
      <c r="M972" s="1451"/>
      <c r="N972" s="1451"/>
      <c r="O972" s="1451"/>
      <c r="P972" s="902"/>
      <c r="Q972" s="905"/>
      <c r="R972" s="1451"/>
      <c r="S972" s="1451"/>
      <c r="T972" s="904"/>
      <c r="U972" s="1450"/>
    </row>
    <row r="973" spans="1:21" ht="19.5" customHeight="1">
      <c r="A973" s="864"/>
      <c r="B973" s="894" t="str">
        <f>IF('BIS Doc'!AC461=130, "130 × 130", IF('BIS Doc'!AC461=160, "160 × 160", IF('BIS Doc'!AC461=110, "110 × 110", "Value not 130, 160, or 110")))</f>
        <v>Value not 130, 160, or 110</v>
      </c>
      <c r="C973" s="895">
        <f>'BIS Doc'!W461</f>
        <v>0</v>
      </c>
      <c r="D973" s="896"/>
      <c r="E973" s="897">
        <f>'BIS Doc'!AE461</f>
        <v>0</v>
      </c>
      <c r="F973" s="898">
        <f ca="1">'BIS Doc'!F461</f>
        <v>0</v>
      </c>
      <c r="G973" s="899">
        <f ca="1">'BIS Doc'!J461</f>
        <v>0</v>
      </c>
      <c r="H973" s="900">
        <f ca="1">'BIS Doc'!G461</f>
        <v>0.57900154373788937</v>
      </c>
      <c r="I973" s="901">
        <f ca="1">'BIS Doc'!H461</f>
        <v>0</v>
      </c>
      <c r="J973" s="901">
        <f ca="1">'BIS Doc'!I461</f>
        <v>0</v>
      </c>
      <c r="K973" s="1451" t="str">
        <f t="shared" ca="1" si="28"/>
        <v>IS 14650 CPS 10748/GR2</v>
      </c>
      <c r="L973" s="1451"/>
      <c r="M973" s="1451"/>
      <c r="N973" s="1451"/>
      <c r="O973" s="1451"/>
      <c r="P973" s="902"/>
      <c r="Q973" s="905"/>
      <c r="R973" s="1451"/>
      <c r="S973" s="1451"/>
      <c r="T973" s="904"/>
      <c r="U973" s="1450"/>
    </row>
    <row r="974" spans="1:21" ht="19.5" customHeight="1">
      <c r="A974" s="864"/>
      <c r="B974" s="894" t="str">
        <f>IF('BIS Doc'!AC463=130, "130 × 130", IF('BIS Doc'!AC463=160, "160 × 160", IF('BIS Doc'!AC463=110, "110 × 110", "Value not 130, 160, or 110")))</f>
        <v>Value not 130, 160, or 110</v>
      </c>
      <c r="C974" s="895">
        <f>'BIS Doc'!W463</f>
        <v>0</v>
      </c>
      <c r="D974" s="896"/>
      <c r="E974" s="897">
        <f>'BIS Doc'!AE463</f>
        <v>0</v>
      </c>
      <c r="F974" s="898">
        <f ca="1">'BIS Doc'!F463</f>
        <v>0</v>
      </c>
      <c r="G974" s="899">
        <f ca="1">'BIS Doc'!J463</f>
        <v>0</v>
      </c>
      <c r="H974" s="900">
        <f ca="1">'BIS Doc'!G463</f>
        <v>0.5955748727415765</v>
      </c>
      <c r="I974" s="901">
        <f ca="1">'BIS Doc'!H463</f>
        <v>0</v>
      </c>
      <c r="J974" s="901">
        <f ca="1">'BIS Doc'!I463</f>
        <v>0</v>
      </c>
      <c r="K974" s="1451" t="str">
        <f t="shared" ca="1" si="28"/>
        <v>IS 14650 CPS 10748/GR2</v>
      </c>
      <c r="L974" s="1451"/>
      <c r="M974" s="1451"/>
      <c r="N974" s="1451"/>
      <c r="O974" s="1451"/>
      <c r="P974" s="902"/>
      <c r="Q974" s="905"/>
      <c r="R974" s="1451"/>
      <c r="S974" s="1451"/>
      <c r="T974" s="904"/>
      <c r="U974" s="1450"/>
    </row>
    <row r="975" spans="1:21" ht="19.5" customHeight="1">
      <c r="A975" s="864"/>
      <c r="B975" s="894" t="str">
        <f>IF('BIS Doc'!AC465=130, "130 × 130", IF('BIS Doc'!AC465=160, "160 × 160", IF('BIS Doc'!AC465=110, "110 × 110", "Value not 130, 160, or 110")))</f>
        <v>Value not 130, 160, or 110</v>
      </c>
      <c r="C975" s="895">
        <f>'BIS Doc'!W465</f>
        <v>0</v>
      </c>
      <c r="D975" s="896"/>
      <c r="E975" s="897">
        <f>'BIS Doc'!AE465</f>
        <v>0</v>
      </c>
      <c r="F975" s="898">
        <f ca="1">'BIS Doc'!F465</f>
        <v>0</v>
      </c>
      <c r="G975" s="899">
        <f ca="1">'BIS Doc'!J465</f>
        <v>0</v>
      </c>
      <c r="H975" s="900">
        <f ca="1">'BIS Doc'!G465</f>
        <v>0.58757978759944174</v>
      </c>
      <c r="I975" s="901">
        <f ca="1">'BIS Doc'!H465</f>
        <v>0</v>
      </c>
      <c r="J975" s="901">
        <f ca="1">'BIS Doc'!I465</f>
        <v>0</v>
      </c>
      <c r="K975" s="1451" t="str">
        <f t="shared" ca="1" si="28"/>
        <v>IS 14650 CPS 10748/GR2</v>
      </c>
      <c r="L975" s="1451"/>
      <c r="M975" s="1451"/>
      <c r="N975" s="1451"/>
      <c r="O975" s="1451"/>
      <c r="P975" s="902"/>
      <c r="Q975" s="903"/>
      <c r="R975" s="1451"/>
      <c r="S975" s="1451"/>
      <c r="T975" s="904"/>
      <c r="U975" s="1450"/>
    </row>
    <row r="976" spans="1:21" ht="19.5" customHeight="1">
      <c r="A976" s="864"/>
      <c r="B976" s="904"/>
      <c r="C976" s="895"/>
      <c r="D976" s="896"/>
      <c r="E976" s="897"/>
      <c r="F976" s="906"/>
      <c r="G976" s="907"/>
      <c r="H976" s="908"/>
      <c r="I976" s="909"/>
      <c r="J976" s="909"/>
      <c r="K976" s="1451"/>
      <c r="L976" s="1451"/>
      <c r="M976" s="1451"/>
      <c r="N976" s="1451"/>
      <c r="O976" s="1451"/>
      <c r="P976" s="902"/>
      <c r="Q976" s="903"/>
      <c r="R976" s="1451"/>
      <c r="S976" s="1451"/>
      <c r="T976" s="904"/>
      <c r="U976" s="1450"/>
    </row>
    <row r="977" spans="1:21" ht="19.5" customHeight="1">
      <c r="A977" s="864"/>
      <c r="B977" s="904"/>
      <c r="C977" s="895"/>
      <c r="D977" s="896"/>
      <c r="E977" s="897"/>
      <c r="F977" s="906"/>
      <c r="G977" s="907"/>
      <c r="H977" s="908"/>
      <c r="I977" s="909"/>
      <c r="J977" s="909"/>
      <c r="K977" s="1451"/>
      <c r="L977" s="1451"/>
      <c r="M977" s="1451"/>
      <c r="N977" s="1451"/>
      <c r="O977" s="1451"/>
      <c r="P977" s="902"/>
      <c r="Q977" s="905"/>
      <c r="R977" s="1451"/>
      <c r="S977" s="1451"/>
      <c r="T977" s="904"/>
      <c r="U977" s="1450"/>
    </row>
    <row r="978" spans="1:21" ht="19.5" customHeight="1">
      <c r="A978" s="864"/>
      <c r="B978" s="910"/>
      <c r="C978" s="911"/>
      <c r="D978" s="896"/>
      <c r="E978" s="897"/>
      <c r="F978" s="906"/>
      <c r="G978" s="907"/>
      <c r="H978" s="908"/>
      <c r="I978" s="909"/>
      <c r="J978" s="909"/>
      <c r="K978" s="1451"/>
      <c r="L978" s="1451"/>
      <c r="M978" s="1451"/>
      <c r="N978" s="1451"/>
      <c r="O978" s="1451"/>
      <c r="P978" s="912"/>
      <c r="Q978" s="913"/>
      <c r="R978" s="1452"/>
      <c r="S978" s="1452"/>
      <c r="T978" s="910"/>
      <c r="U978" s="1450"/>
    </row>
    <row r="979" spans="1:21" ht="19.5" customHeight="1">
      <c r="A979" s="914"/>
      <c r="B979" s="915"/>
      <c r="C979" s="916"/>
      <c r="D979" s="917"/>
      <c r="E979" s="918">
        <f>SUM(E970:E975)</f>
        <v>0</v>
      </c>
      <c r="F979" s="919"/>
      <c r="G979" s="920"/>
      <c r="H979" s="921"/>
      <c r="I979" s="922"/>
      <c r="J979" s="922"/>
      <c r="K979" s="1453"/>
      <c r="L979" s="1453"/>
      <c r="M979" s="1453"/>
      <c r="N979" s="1453"/>
      <c r="O979" s="1453"/>
      <c r="P979" s="923"/>
      <c r="Q979" s="924"/>
      <c r="R979" s="1454"/>
      <c r="S979" s="1454"/>
      <c r="T979" s="915"/>
      <c r="U979" s="1450"/>
    </row>
    <row r="980" spans="1:21" ht="15.75" customHeight="1">
      <c r="A980" s="864"/>
      <c r="B980" s="773"/>
      <c r="C980" s="773"/>
      <c r="D980" s="925"/>
      <c r="E980" s="926"/>
      <c r="F980" s="927"/>
      <c r="G980" s="928"/>
      <c r="H980" s="259"/>
      <c r="I980" s="259"/>
      <c r="J980" s="928"/>
      <c r="K980" s="929"/>
      <c r="L980" s="929"/>
      <c r="M980" s="929"/>
      <c r="N980" s="929"/>
      <c r="O980" s="928"/>
      <c r="P980" s="930"/>
      <c r="Q980" s="931"/>
      <c r="R980" s="931"/>
      <c r="U980" s="932"/>
    </row>
    <row r="981" spans="1:21" ht="18.75" customHeight="1">
      <c r="A981" s="864"/>
      <c r="B981" s="773"/>
      <c r="C981" s="773"/>
      <c r="D981" s="773"/>
      <c r="E981" s="773"/>
      <c r="F981" s="773"/>
      <c r="G981" s="773"/>
      <c r="H981" s="773"/>
      <c r="I981" s="773"/>
      <c r="J981" s="773"/>
      <c r="K981" s="773"/>
      <c r="P981" s="1446" t="s">
        <v>804</v>
      </c>
      <c r="Q981" s="1446"/>
      <c r="R981" s="1446"/>
      <c r="S981" s="1446"/>
      <c r="T981" s="1446"/>
      <c r="U981" s="1446"/>
    </row>
    <row r="982" spans="1:21" ht="18.75" customHeight="1">
      <c r="A982" s="1447" t="s">
        <v>805</v>
      </c>
      <c r="B982" s="1447"/>
      <c r="C982" s="933"/>
      <c r="D982" s="933"/>
      <c r="E982" s="933"/>
      <c r="F982" s="933"/>
      <c r="P982" s="855"/>
      <c r="Q982" s="855"/>
      <c r="R982" s="855"/>
      <c r="S982" s="855"/>
      <c r="T982" s="855"/>
      <c r="U982" s="934"/>
    </row>
    <row r="983" spans="1:21" ht="18.75" customHeight="1">
      <c r="A983" s="854"/>
      <c r="B983" s="855"/>
      <c r="P983" s="855"/>
      <c r="Q983" s="855"/>
      <c r="R983" s="855"/>
      <c r="S983" s="855"/>
      <c r="T983" s="855"/>
      <c r="U983" s="934"/>
    </row>
    <row r="984" spans="1:21" ht="18.75" customHeight="1">
      <c r="A984" s="854" t="s">
        <v>806</v>
      </c>
      <c r="B984" s="855"/>
      <c r="C984" s="867"/>
      <c r="D984" s="941"/>
      <c r="E984" s="933"/>
      <c r="F984" s="933"/>
      <c r="P984" s="855"/>
      <c r="Q984" s="855"/>
      <c r="R984" s="855"/>
      <c r="S984" s="855"/>
      <c r="T984" s="855"/>
      <c r="U984" s="934"/>
    </row>
    <row r="985" spans="1:21" ht="18.75" customHeight="1">
      <c r="A985" s="854"/>
      <c r="B985" s="855"/>
      <c r="C985" s="937"/>
      <c r="P985" s="855"/>
      <c r="Q985" s="855"/>
      <c r="R985" s="855"/>
      <c r="S985" s="855"/>
      <c r="T985" s="855"/>
      <c r="U985" s="934"/>
    </row>
    <row r="986" spans="1:21" ht="19.5" customHeight="1">
      <c r="A986" s="938"/>
      <c r="B986" s="939"/>
      <c r="C986" s="940"/>
      <c r="D986" s="453"/>
      <c r="E986" s="453"/>
      <c r="F986" s="453"/>
      <c r="G986" s="453"/>
      <c r="H986" s="453"/>
      <c r="I986" s="453"/>
      <c r="J986" s="453"/>
      <c r="K986" s="453"/>
      <c r="L986" s="453"/>
      <c r="M986" s="453"/>
      <c r="N986" s="453"/>
      <c r="O986" s="453"/>
      <c r="P986" s="1448" t="s">
        <v>807</v>
      </c>
      <c r="Q986" s="1448"/>
      <c r="R986" s="1448"/>
      <c r="S986" s="1448"/>
      <c r="T986" s="1448"/>
      <c r="U986" s="1448"/>
    </row>
    <row r="987" spans="1:21" ht="45.75" customHeight="1">
      <c r="A987" s="1455"/>
      <c r="B987" s="1455"/>
      <c r="C987" s="1455"/>
      <c r="D987" s="847"/>
      <c r="E987" s="1456" t="s">
        <v>774</v>
      </c>
      <c r="F987" s="1456"/>
      <c r="G987" s="1456"/>
      <c r="H987" s="1456"/>
      <c r="I987" s="1456"/>
      <c r="J987" s="1456"/>
      <c r="K987" s="1456"/>
      <c r="L987" s="1456"/>
      <c r="M987" s="1456"/>
      <c r="N987" s="1456"/>
      <c r="O987" s="1456"/>
      <c r="P987" s="1456"/>
      <c r="Q987" s="1456"/>
      <c r="R987" s="1456"/>
      <c r="S987" s="848"/>
      <c r="T987" s="1457" t="s">
        <v>775</v>
      </c>
      <c r="U987" s="1457"/>
    </row>
    <row r="988" spans="1:21" ht="18.75" customHeight="1">
      <c r="A988" s="849"/>
      <c r="E988" s="1458" t="s">
        <v>776</v>
      </c>
      <c r="F988" s="1458"/>
      <c r="G988" s="1458"/>
      <c r="H988" s="1458"/>
      <c r="I988" s="1458"/>
      <c r="J988" s="1458"/>
      <c r="K988" s="1458"/>
      <c r="L988" s="1458"/>
      <c r="M988" s="1458"/>
      <c r="N988" s="1458"/>
      <c r="O988" s="1458"/>
      <c r="P988" s="1458"/>
      <c r="Q988" s="1458"/>
      <c r="R988" s="1458"/>
      <c r="U988" s="456"/>
    </row>
    <row r="989" spans="1:21" ht="18.75" customHeight="1">
      <c r="A989" s="850"/>
      <c r="F989" s="587"/>
      <c r="G989" s="587"/>
      <c r="H989" s="587"/>
      <c r="I989" s="587"/>
      <c r="J989" s="587"/>
      <c r="K989" s="587"/>
      <c r="L989" s="587"/>
      <c r="M989" s="851"/>
      <c r="N989" s="852"/>
      <c r="O989" s="851"/>
      <c r="P989" s="1459" t="s">
        <v>777</v>
      </c>
      <c r="Q989" s="1459"/>
      <c r="R989" s="1459"/>
      <c r="S989" s="1459"/>
      <c r="T989" s="1459"/>
      <c r="U989" s="1459"/>
    </row>
    <row r="990" spans="1:21" ht="15" customHeight="1">
      <c r="A990" s="849"/>
      <c r="E990" s="1287" t="s">
        <v>778</v>
      </c>
      <c r="F990" s="1287"/>
      <c r="G990" s="1287"/>
      <c r="H990" s="1287"/>
      <c r="I990" s="1287"/>
      <c r="J990" s="1287"/>
      <c r="K990" s="1287"/>
      <c r="L990" s="1287"/>
      <c r="M990" s="1287"/>
      <c r="N990" s="1287"/>
      <c r="O990" s="1287"/>
      <c r="P990" s="1287"/>
      <c r="Q990" s="1287"/>
      <c r="R990" s="1287"/>
      <c r="U990" s="456"/>
    </row>
    <row r="991" spans="1:21" ht="18.75" customHeight="1">
      <c r="A991" s="849"/>
      <c r="E991" s="1286" t="s">
        <v>779</v>
      </c>
      <c r="F991" s="1286"/>
      <c r="G991" s="1286"/>
      <c r="H991" s="1286"/>
      <c r="I991" s="1286"/>
      <c r="J991" s="1286"/>
      <c r="K991" s="1286"/>
      <c r="L991" s="1286"/>
      <c r="M991" s="1286"/>
      <c r="N991" s="1286"/>
      <c r="O991" s="1286"/>
      <c r="P991" s="1286"/>
      <c r="Q991" s="1286"/>
      <c r="R991" s="1286"/>
      <c r="U991" s="853"/>
    </row>
    <row r="992" spans="1:21" ht="23.25" customHeight="1">
      <c r="A992" s="854" t="s">
        <v>780</v>
      </c>
      <c r="B992" s="855"/>
      <c r="C992" s="855"/>
      <c r="D992" s="856" t="s">
        <v>853</v>
      </c>
      <c r="E992" s="857"/>
      <c r="F992" s="858"/>
      <c r="G992" s="859"/>
      <c r="H992" s="859"/>
      <c r="I992" s="859"/>
      <c r="J992" s="859"/>
      <c r="K992" s="859"/>
      <c r="L992" s="860"/>
      <c r="M992" s="1460"/>
      <c r="N992" s="1460"/>
      <c r="O992" s="1460"/>
      <c r="P992" s="1461" t="s">
        <v>781</v>
      </c>
      <c r="Q992" s="1461"/>
      <c r="R992" s="1461"/>
      <c r="S992" s="855"/>
      <c r="T992" s="861">
        <v>46310</v>
      </c>
      <c r="U992" s="456"/>
    </row>
    <row r="993" spans="1:21" ht="23.25" customHeight="1">
      <c r="A993" s="854"/>
      <c r="B993" s="862"/>
      <c r="C993" s="862"/>
      <c r="D993" s="862"/>
      <c r="E993" s="163"/>
      <c r="F993" s="863"/>
      <c r="G993" s="863"/>
      <c r="H993" s="863"/>
      <c r="I993" s="863"/>
      <c r="J993" s="863"/>
      <c r="K993" s="863"/>
      <c r="U993" s="456"/>
    </row>
    <row r="994" spans="1:21" ht="21" customHeight="1">
      <c r="A994" s="864" t="s">
        <v>782</v>
      </c>
      <c r="B994" s="865"/>
      <c r="C994" s="866"/>
      <c r="D994" s="867"/>
      <c r="E994" s="868"/>
      <c r="F994" s="869"/>
      <c r="G994" s="869"/>
      <c r="H994" s="869"/>
      <c r="I994" s="870"/>
      <c r="J994" s="870"/>
      <c r="P994" s="1462"/>
      <c r="Q994" s="1462"/>
      <c r="R994" s="1462"/>
      <c r="S994" s="1462"/>
      <c r="T994" s="871"/>
      <c r="U994" s="456"/>
    </row>
    <row r="995" spans="1:21" ht="21" customHeight="1">
      <c r="A995" s="872"/>
      <c r="B995" s="873"/>
      <c r="C995" s="869"/>
      <c r="D995" s="869"/>
      <c r="E995" s="869"/>
      <c r="F995" s="869"/>
      <c r="G995" s="869"/>
      <c r="H995" s="869"/>
      <c r="I995" s="870"/>
      <c r="J995" s="870"/>
      <c r="U995" s="456"/>
    </row>
    <row r="996" spans="1:21" ht="15" customHeight="1">
      <c r="A996" s="1463" t="s">
        <v>783</v>
      </c>
      <c r="B996" s="1463"/>
      <c r="C996" s="1463"/>
      <c r="D996" s="1463"/>
      <c r="E996" s="1463"/>
      <c r="F996" s="1463"/>
      <c r="G996" s="1463"/>
      <c r="H996" s="1463"/>
      <c r="I996" s="1463"/>
      <c r="J996" s="1463"/>
      <c r="K996" s="1463"/>
      <c r="L996" s="1463"/>
      <c r="M996" s="1463"/>
      <c r="N996" s="1463"/>
      <c r="O996" s="1463"/>
      <c r="P996" s="1463"/>
      <c r="Q996" s="1463"/>
      <c r="R996" s="1463"/>
      <c r="S996" s="1463"/>
      <c r="T996" s="1463"/>
      <c r="U996" s="1463"/>
    </row>
    <row r="997" spans="1:21" ht="15" customHeight="1">
      <c r="A997" s="1463"/>
      <c r="B997" s="1463"/>
      <c r="C997" s="1463"/>
      <c r="D997" s="1463"/>
      <c r="E997" s="1463"/>
      <c r="F997" s="1463"/>
      <c r="G997" s="1463"/>
      <c r="H997" s="1463"/>
      <c r="I997" s="1463"/>
      <c r="J997" s="1463"/>
      <c r="K997" s="1463"/>
      <c r="L997" s="1463"/>
      <c r="M997" s="1463"/>
      <c r="N997" s="1463"/>
      <c r="O997" s="1463"/>
      <c r="P997" s="1463"/>
      <c r="Q997" s="1463"/>
      <c r="R997" s="1463"/>
      <c r="S997" s="1463"/>
      <c r="T997" s="1463"/>
      <c r="U997" s="1463"/>
    </row>
    <row r="998" spans="1:21" ht="18" customHeight="1">
      <c r="A998" s="1464" t="s">
        <v>784</v>
      </c>
      <c r="B998" s="1464"/>
      <c r="C998" s="1464"/>
      <c r="D998" s="1464"/>
      <c r="E998" s="1464"/>
      <c r="F998" s="1464"/>
      <c r="G998" s="1464"/>
      <c r="H998" s="1464"/>
      <c r="I998" s="1464"/>
      <c r="J998" s="1464"/>
      <c r="K998" s="1464"/>
      <c r="L998" s="1464"/>
      <c r="M998" s="1464"/>
      <c r="N998" s="1464"/>
      <c r="O998" s="1464"/>
      <c r="P998" s="1464"/>
      <c r="Q998" s="1464"/>
      <c r="R998" s="1464"/>
      <c r="S998" s="1464"/>
      <c r="T998" s="1464"/>
      <c r="U998" s="1464"/>
    </row>
    <row r="999" spans="1:21" ht="23.25" customHeight="1">
      <c r="A999" s="1465" t="s">
        <v>785</v>
      </c>
      <c r="B999" s="1465"/>
      <c r="C999" s="1465"/>
      <c r="D999" s="1465"/>
      <c r="E999" s="1465"/>
      <c r="F999" s="1465"/>
      <c r="G999" s="1465"/>
      <c r="H999" s="1465"/>
      <c r="I999" s="1465"/>
      <c r="J999" s="1465"/>
      <c r="K999" s="1465"/>
      <c r="L999" s="1465"/>
      <c r="M999" s="1465"/>
      <c r="N999" s="1465"/>
      <c r="O999" s="1465"/>
      <c r="P999" s="1465"/>
      <c r="Q999" s="1465"/>
      <c r="R999" s="1465"/>
      <c r="S999" s="1465"/>
      <c r="T999" s="1465"/>
      <c r="U999" s="1465"/>
    </row>
    <row r="1000" spans="1:21" ht="21.75" customHeight="1">
      <c r="A1000" s="874"/>
      <c r="B1000" s="875"/>
      <c r="C1000" s="875"/>
      <c r="D1000" s="875"/>
      <c r="E1000" s="875"/>
      <c r="F1000" s="875"/>
      <c r="G1000" s="875"/>
      <c r="H1000" s="875"/>
      <c r="I1000" s="875"/>
      <c r="J1000" s="875"/>
      <c r="K1000" s="875"/>
      <c r="L1000" s="875"/>
      <c r="M1000" s="875"/>
      <c r="N1000" s="875"/>
      <c r="O1000" s="875"/>
      <c r="P1000" s="875"/>
      <c r="Q1000" s="875"/>
      <c r="R1000" s="875"/>
      <c r="S1000" s="875"/>
      <c r="T1000" s="875"/>
      <c r="U1000" s="876"/>
    </row>
    <row r="1001" spans="1:21" ht="15" customHeight="1">
      <c r="A1001" s="1466" t="s">
        <v>786</v>
      </c>
      <c r="B1001" s="1467" t="s">
        <v>787</v>
      </c>
      <c r="C1001" s="1468" t="s">
        <v>788</v>
      </c>
      <c r="D1001" s="1468" t="s">
        <v>789</v>
      </c>
      <c r="E1001" s="1469" t="s">
        <v>790</v>
      </c>
      <c r="F1001" s="1468" t="s">
        <v>791</v>
      </c>
      <c r="G1001" s="1468"/>
      <c r="H1001" s="1468"/>
      <c r="I1001" s="1468"/>
      <c r="J1001" s="1468"/>
      <c r="K1001" s="1468"/>
      <c r="L1001" s="1468"/>
      <c r="M1001" s="1468"/>
      <c r="N1001" s="1468"/>
      <c r="O1001" s="1468"/>
      <c r="P1001" s="1470"/>
      <c r="Q1001" s="1470"/>
      <c r="R1001" s="1470"/>
      <c r="S1001" s="1470"/>
      <c r="T1001" s="1470"/>
      <c r="U1001" s="1470"/>
    </row>
    <row r="1002" spans="1:21" ht="15.75" customHeight="1">
      <c r="A1002" s="1466"/>
      <c r="B1002" s="1467"/>
      <c r="C1002" s="1468"/>
      <c r="D1002" s="1468"/>
      <c r="E1002" s="1469"/>
      <c r="F1002" s="1468"/>
      <c r="G1002" s="1468"/>
      <c r="H1002" s="1468"/>
      <c r="I1002" s="1468"/>
      <c r="J1002" s="1468"/>
      <c r="K1002" s="1468"/>
      <c r="L1002" s="1468"/>
      <c r="M1002" s="1468"/>
      <c r="N1002" s="1468"/>
      <c r="O1002" s="1468"/>
      <c r="P1002" s="1470"/>
      <c r="Q1002" s="1470"/>
      <c r="R1002" s="1470"/>
      <c r="S1002" s="1470"/>
      <c r="T1002" s="1470"/>
      <c r="U1002" s="1470"/>
    </row>
    <row r="1003" spans="1:21" ht="48" customHeight="1">
      <c r="A1003" s="1466"/>
      <c r="B1003" s="1467"/>
      <c r="C1003" s="1468"/>
      <c r="D1003" s="1468"/>
      <c r="E1003" s="1469"/>
      <c r="F1003" s="878" t="s">
        <v>792</v>
      </c>
      <c r="G1003" s="877" t="s">
        <v>793</v>
      </c>
      <c r="H1003" s="878" t="s">
        <v>794</v>
      </c>
      <c r="I1003" s="879" t="s">
        <v>795</v>
      </c>
      <c r="J1003" s="880" t="s">
        <v>796</v>
      </c>
      <c r="K1003" s="1468" t="s">
        <v>797</v>
      </c>
      <c r="L1003" s="1468"/>
      <c r="M1003" s="1468"/>
      <c r="N1003" s="1468"/>
      <c r="O1003" s="1468"/>
      <c r="P1003" s="881" t="s">
        <v>798</v>
      </c>
      <c r="Q1003" s="882" t="s">
        <v>799</v>
      </c>
      <c r="R1003" s="1469" t="s">
        <v>800</v>
      </c>
      <c r="S1003" s="1469"/>
      <c r="T1003" s="877" t="s">
        <v>801</v>
      </c>
      <c r="U1003" s="879" t="s">
        <v>104</v>
      </c>
    </row>
    <row r="1004" spans="1:21" ht="19.5" customHeight="1">
      <c r="A1004" s="883"/>
      <c r="B1004" s="884" t="str">
        <f>IF('BIS Doc'!AC467=130, "130 × 130", IF('BIS Doc'!AC467=160, "160 × 160", IF('BIS Doc'!AC467=110, "110 × 110", "Value not 130, 160, or 110")))</f>
        <v>Value not 130, 160, or 110</v>
      </c>
      <c r="C1004" s="885">
        <f>'BIS Doc'!W467</f>
        <v>0</v>
      </c>
      <c r="D1004" s="886"/>
      <c r="E1004" s="887">
        <f>'BIS Doc'!AE467</f>
        <v>0</v>
      </c>
      <c r="F1004" s="888">
        <f ca="1">'BIS Doc'!F467</f>
        <v>0</v>
      </c>
      <c r="G1004" s="888">
        <f ca="1">'BIS Doc'!J467</f>
        <v>0</v>
      </c>
      <c r="H1004" s="888">
        <f ca="1">'BIS Doc'!G467</f>
        <v>0.57444696920972405</v>
      </c>
      <c r="I1004" s="889">
        <f ca="1">'BIS Doc'!H467</f>
        <v>0</v>
      </c>
      <c r="J1004" s="889">
        <f ca="1">'BIS Doc'!I467</f>
        <v>0</v>
      </c>
      <c r="K1004" s="1449" t="str">
        <f t="shared" ref="K1004:K1009" ca="1" si="29">IF(H1004&lt;0.6, "IS 14650 CPS 10748/GR2", "IS 14650 CPS 10748/GR3")</f>
        <v>IS 14650 CPS 10748/GR2</v>
      </c>
      <c r="L1004" s="1449"/>
      <c r="M1004" s="1449"/>
      <c r="N1004" s="1449"/>
      <c r="O1004" s="1449"/>
      <c r="P1004" s="890"/>
      <c r="Q1004" s="891"/>
      <c r="R1004" s="1449"/>
      <c r="S1004" s="1449"/>
      <c r="T1004" s="892"/>
      <c r="U1004" s="1450" t="s">
        <v>802</v>
      </c>
    </row>
    <row r="1005" spans="1:21" ht="19.5" customHeight="1">
      <c r="A1005" s="893"/>
      <c r="B1005" s="894" t="str">
        <f>IF('BIS Doc'!AC469=130, "130 × 130", IF('BIS Doc'!AC469=160, "160 × 160", IF('BIS Doc'!AC469=110, "110 × 110", "Value not 130, 160, or 110")))</f>
        <v>Value not 130, 160, or 110</v>
      </c>
      <c r="C1005" s="895">
        <f>'BIS Doc'!W469</f>
        <v>0</v>
      </c>
      <c r="D1005" s="896"/>
      <c r="E1005" s="897">
        <f>'BIS Doc'!AE469</f>
        <v>0</v>
      </c>
      <c r="F1005" s="898">
        <f ca="1">'BIS Doc'!F469</f>
        <v>0</v>
      </c>
      <c r="G1005" s="899">
        <f ca="1">'BIS Doc'!J469</f>
        <v>0</v>
      </c>
      <c r="H1005" s="900">
        <f ca="1">'BIS Doc'!G469</f>
        <v>0.53832090567303859</v>
      </c>
      <c r="I1005" s="901">
        <f ca="1">'BIS Doc'!H469</f>
        <v>0</v>
      </c>
      <c r="J1005" s="901">
        <f ca="1">'BIS Doc'!I469</f>
        <v>0</v>
      </c>
      <c r="K1005" s="1451" t="str">
        <f t="shared" ca="1" si="29"/>
        <v>IS 14650 CPS 10748/GR2</v>
      </c>
      <c r="L1005" s="1451"/>
      <c r="M1005" s="1451"/>
      <c r="N1005" s="1451"/>
      <c r="O1005" s="1451"/>
      <c r="P1005" s="902"/>
      <c r="Q1005" s="903"/>
      <c r="R1005" s="1451"/>
      <c r="S1005" s="1451"/>
      <c r="T1005" s="904"/>
      <c r="U1005" s="1450"/>
    </row>
    <row r="1006" spans="1:21" ht="19.5" customHeight="1">
      <c r="A1006" s="864"/>
      <c r="B1006" s="894" t="str">
        <f>IF('BIS Doc'!AC471=130, "130 × 130", IF('BIS Doc'!AC471=160, "160 × 160", IF('BIS Doc'!AC471=110, "110 × 110", "Value not 130, 160, or 110")))</f>
        <v>Value not 130, 160, or 110</v>
      </c>
      <c r="C1006" s="895">
        <f>'BIS Doc'!W471</f>
        <v>0</v>
      </c>
      <c r="D1006" s="896" t="s">
        <v>803</v>
      </c>
      <c r="E1006" s="897">
        <f>'BIS Doc'!AE471</f>
        <v>0</v>
      </c>
      <c r="F1006" s="898">
        <f ca="1">'BIS Doc'!F471</f>
        <v>0</v>
      </c>
      <c r="G1006" s="899">
        <f ca="1">'BIS Doc'!J471</f>
        <v>0</v>
      </c>
      <c r="H1006" s="900">
        <f ca="1">'BIS Doc'!G471</f>
        <v>0.52457364817339847</v>
      </c>
      <c r="I1006" s="901">
        <f ca="1">'BIS Doc'!H471</f>
        <v>0</v>
      </c>
      <c r="J1006" s="901">
        <f ca="1">'BIS Doc'!I471</f>
        <v>0</v>
      </c>
      <c r="K1006" s="1451" t="str">
        <f t="shared" ca="1" si="29"/>
        <v>IS 14650 CPS 10748/GR2</v>
      </c>
      <c r="L1006" s="1451"/>
      <c r="M1006" s="1451"/>
      <c r="N1006" s="1451"/>
      <c r="O1006" s="1451"/>
      <c r="P1006" s="902"/>
      <c r="Q1006" s="905"/>
      <c r="R1006" s="1451"/>
      <c r="S1006" s="1451"/>
      <c r="T1006" s="904"/>
      <c r="U1006" s="1450"/>
    </row>
    <row r="1007" spans="1:21" ht="19.5" customHeight="1">
      <c r="A1007" s="864"/>
      <c r="B1007" s="894" t="str">
        <f>IF('BIS Doc'!AC473=130, "130 × 130", IF('BIS Doc'!AC473=160, "160 × 160", IF('BIS Doc'!AC473=110, "110 × 110", "Value not 130, 160, or 110")))</f>
        <v>Value not 130, 160, or 110</v>
      </c>
      <c r="C1007" s="895">
        <f>'BIS Doc'!W473</f>
        <v>0</v>
      </c>
      <c r="D1007" s="896"/>
      <c r="E1007" s="897">
        <f>'BIS Doc'!AE473</f>
        <v>0</v>
      </c>
      <c r="F1007" s="898">
        <f ca="1">'BIS Doc'!F473</f>
        <v>0</v>
      </c>
      <c r="G1007" s="899">
        <f ca="1">'BIS Doc'!J473</f>
        <v>0</v>
      </c>
      <c r="H1007" s="900">
        <f ca="1">'BIS Doc'!G473</f>
        <v>0.57691916830133683</v>
      </c>
      <c r="I1007" s="901">
        <f ca="1">'BIS Doc'!H473</f>
        <v>0</v>
      </c>
      <c r="J1007" s="901">
        <f ca="1">'BIS Doc'!I473</f>
        <v>0</v>
      </c>
      <c r="K1007" s="1451" t="str">
        <f t="shared" ca="1" si="29"/>
        <v>IS 14650 CPS 10748/GR2</v>
      </c>
      <c r="L1007" s="1451"/>
      <c r="M1007" s="1451"/>
      <c r="N1007" s="1451"/>
      <c r="O1007" s="1451"/>
      <c r="P1007" s="902"/>
      <c r="Q1007" s="905"/>
      <c r="R1007" s="1451"/>
      <c r="S1007" s="1451"/>
      <c r="T1007" s="904"/>
      <c r="U1007" s="1450"/>
    </row>
    <row r="1008" spans="1:21" ht="19.5" customHeight="1">
      <c r="A1008" s="864"/>
      <c r="B1008" s="894" t="str">
        <f>IF('BIS Doc'!AC475=130, "130 × 130", IF('BIS Doc'!AC475=160, "160 × 160", IF('BIS Doc'!AC475=110, "110 × 110", "Value not 130, 160, or 110")))</f>
        <v>Value not 130, 160, or 110</v>
      </c>
      <c r="C1008" s="895">
        <f>'BIS Doc'!W475</f>
        <v>0</v>
      </c>
      <c r="D1008" s="896"/>
      <c r="E1008" s="897">
        <f>'BIS Doc'!AE475</f>
        <v>0</v>
      </c>
      <c r="F1008" s="898">
        <f ca="1">'BIS Doc'!F475</f>
        <v>0</v>
      </c>
      <c r="G1008" s="899">
        <f ca="1">'BIS Doc'!J475</f>
        <v>0</v>
      </c>
      <c r="H1008" s="900">
        <f ca="1">'BIS Doc'!G475</f>
        <v>0.50087591040524071</v>
      </c>
      <c r="I1008" s="901">
        <f ca="1">'BIS Doc'!H475</f>
        <v>0</v>
      </c>
      <c r="J1008" s="901">
        <f ca="1">'BIS Doc'!I475</f>
        <v>0</v>
      </c>
      <c r="K1008" s="1451" t="str">
        <f t="shared" ca="1" si="29"/>
        <v>IS 14650 CPS 10748/GR2</v>
      </c>
      <c r="L1008" s="1451"/>
      <c r="M1008" s="1451"/>
      <c r="N1008" s="1451"/>
      <c r="O1008" s="1451"/>
      <c r="P1008" s="902"/>
      <c r="Q1008" s="905"/>
      <c r="R1008" s="1451"/>
      <c r="S1008" s="1451"/>
      <c r="T1008" s="904"/>
      <c r="U1008" s="1450"/>
    </row>
    <row r="1009" spans="1:21" ht="19.5" customHeight="1">
      <c r="A1009" s="864"/>
      <c r="B1009" s="894" t="str">
        <f>IF('BIS Doc'!AC477=130, "130 × 130", IF('BIS Doc'!AC477=160, "160 × 160", IF('BIS Doc'!AC477=110, "110 × 110", "Value not 130, 160, or 110")))</f>
        <v>Value not 130, 160, or 110</v>
      </c>
      <c r="C1009" s="895">
        <f>'BIS Doc'!W477</f>
        <v>0</v>
      </c>
      <c r="D1009" s="896"/>
      <c r="E1009" s="897">
        <f>'BIS Doc'!AE477</f>
        <v>0</v>
      </c>
      <c r="F1009" s="898">
        <f ca="1">'BIS Doc'!F477</f>
        <v>0</v>
      </c>
      <c r="G1009" s="899">
        <f ca="1">'BIS Doc'!J477</f>
        <v>0</v>
      </c>
      <c r="H1009" s="900">
        <f ca="1">'BIS Doc'!G477</f>
        <v>0.52318749683358734</v>
      </c>
      <c r="I1009" s="901">
        <f ca="1">'BIS Doc'!H477</f>
        <v>0</v>
      </c>
      <c r="J1009" s="901">
        <f ca="1">'BIS Doc'!I477</f>
        <v>0</v>
      </c>
      <c r="K1009" s="1451" t="str">
        <f t="shared" ca="1" si="29"/>
        <v>IS 14650 CPS 10748/GR2</v>
      </c>
      <c r="L1009" s="1451"/>
      <c r="M1009" s="1451"/>
      <c r="N1009" s="1451"/>
      <c r="O1009" s="1451"/>
      <c r="P1009" s="902"/>
      <c r="Q1009" s="903"/>
      <c r="R1009" s="1451"/>
      <c r="S1009" s="1451"/>
      <c r="T1009" s="904"/>
      <c r="U1009" s="1450"/>
    </row>
    <row r="1010" spans="1:21" ht="19.5" customHeight="1">
      <c r="A1010" s="864"/>
      <c r="B1010" s="904"/>
      <c r="C1010" s="895"/>
      <c r="D1010" s="896"/>
      <c r="E1010" s="897"/>
      <c r="F1010" s="906"/>
      <c r="G1010" s="907"/>
      <c r="H1010" s="908"/>
      <c r="I1010" s="909"/>
      <c r="J1010" s="909"/>
      <c r="K1010" s="1451"/>
      <c r="L1010" s="1451"/>
      <c r="M1010" s="1451"/>
      <c r="N1010" s="1451"/>
      <c r="O1010" s="1451"/>
      <c r="P1010" s="902"/>
      <c r="Q1010" s="903"/>
      <c r="R1010" s="1451"/>
      <c r="S1010" s="1451"/>
      <c r="T1010" s="904"/>
      <c r="U1010" s="1450"/>
    </row>
    <row r="1011" spans="1:21" ht="19.5" customHeight="1">
      <c r="A1011" s="864"/>
      <c r="B1011" s="904"/>
      <c r="C1011" s="895"/>
      <c r="D1011" s="896"/>
      <c r="E1011" s="897"/>
      <c r="F1011" s="906"/>
      <c r="G1011" s="907"/>
      <c r="H1011" s="908"/>
      <c r="I1011" s="909"/>
      <c r="J1011" s="909"/>
      <c r="K1011" s="1451"/>
      <c r="L1011" s="1451"/>
      <c r="M1011" s="1451"/>
      <c r="N1011" s="1451"/>
      <c r="O1011" s="1451"/>
      <c r="P1011" s="902"/>
      <c r="Q1011" s="905"/>
      <c r="R1011" s="1451"/>
      <c r="S1011" s="1451"/>
      <c r="T1011" s="904"/>
      <c r="U1011" s="1450"/>
    </row>
    <row r="1012" spans="1:21" ht="19.5" customHeight="1">
      <c r="A1012" s="864"/>
      <c r="B1012" s="910"/>
      <c r="C1012" s="911"/>
      <c r="D1012" s="896"/>
      <c r="E1012" s="897"/>
      <c r="F1012" s="906"/>
      <c r="G1012" s="907"/>
      <c r="H1012" s="908"/>
      <c r="I1012" s="909"/>
      <c r="J1012" s="909"/>
      <c r="K1012" s="1451"/>
      <c r="L1012" s="1451"/>
      <c r="M1012" s="1451"/>
      <c r="N1012" s="1451"/>
      <c r="O1012" s="1451"/>
      <c r="P1012" s="912"/>
      <c r="Q1012" s="913"/>
      <c r="R1012" s="1452"/>
      <c r="S1012" s="1452"/>
      <c r="T1012" s="910"/>
      <c r="U1012" s="1450"/>
    </row>
    <row r="1013" spans="1:21" ht="19.5" customHeight="1">
      <c r="A1013" s="914"/>
      <c r="B1013" s="915"/>
      <c r="C1013" s="916"/>
      <c r="D1013" s="917"/>
      <c r="E1013" s="918">
        <f>SUM(E1004:E1009)</f>
        <v>0</v>
      </c>
      <c r="F1013" s="919"/>
      <c r="G1013" s="920"/>
      <c r="H1013" s="921"/>
      <c r="I1013" s="922"/>
      <c r="J1013" s="922"/>
      <c r="K1013" s="1453"/>
      <c r="L1013" s="1453"/>
      <c r="M1013" s="1453"/>
      <c r="N1013" s="1453"/>
      <c r="O1013" s="1453"/>
      <c r="P1013" s="923"/>
      <c r="Q1013" s="924"/>
      <c r="R1013" s="1454"/>
      <c r="S1013" s="1454"/>
      <c r="T1013" s="915"/>
      <c r="U1013" s="1450"/>
    </row>
    <row r="1014" spans="1:21" ht="15.75" customHeight="1">
      <c r="A1014" s="864"/>
      <c r="B1014" s="773"/>
      <c r="C1014" s="773"/>
      <c r="D1014" s="925"/>
      <c r="E1014" s="926"/>
      <c r="F1014" s="927"/>
      <c r="G1014" s="928"/>
      <c r="H1014" s="259"/>
      <c r="I1014" s="259"/>
      <c r="J1014" s="928"/>
      <c r="K1014" s="929"/>
      <c r="L1014" s="929"/>
      <c r="M1014" s="929"/>
      <c r="N1014" s="929"/>
      <c r="O1014" s="928"/>
      <c r="P1014" s="930"/>
      <c r="Q1014" s="931"/>
      <c r="R1014" s="931"/>
      <c r="U1014" s="932"/>
    </row>
    <row r="1015" spans="1:21" ht="18.75" customHeight="1">
      <c r="A1015" s="864"/>
      <c r="B1015" s="773"/>
      <c r="C1015" s="773"/>
      <c r="D1015" s="773"/>
      <c r="E1015" s="773"/>
      <c r="F1015" s="773"/>
      <c r="G1015" s="773"/>
      <c r="H1015" s="773"/>
      <c r="I1015" s="773"/>
      <c r="J1015" s="773"/>
      <c r="K1015" s="773"/>
      <c r="P1015" s="1446" t="s">
        <v>804</v>
      </c>
      <c r="Q1015" s="1446"/>
      <c r="R1015" s="1446"/>
      <c r="S1015" s="1446"/>
      <c r="T1015" s="1446"/>
      <c r="U1015" s="1446"/>
    </row>
    <row r="1016" spans="1:21" ht="18.75" customHeight="1">
      <c r="A1016" s="1447" t="s">
        <v>805</v>
      </c>
      <c r="B1016" s="1447"/>
      <c r="C1016" s="933"/>
      <c r="D1016" s="933"/>
      <c r="E1016" s="933"/>
      <c r="F1016" s="933"/>
      <c r="P1016" s="855"/>
      <c r="Q1016" s="855"/>
      <c r="R1016" s="855"/>
      <c r="S1016" s="855"/>
      <c r="T1016" s="855"/>
      <c r="U1016" s="934"/>
    </row>
    <row r="1017" spans="1:21" ht="18.75" customHeight="1">
      <c r="A1017" s="854"/>
      <c r="B1017" s="855"/>
      <c r="P1017" s="855"/>
      <c r="Q1017" s="855"/>
      <c r="R1017" s="855"/>
      <c r="S1017" s="855"/>
      <c r="T1017" s="855"/>
      <c r="U1017" s="934"/>
    </row>
    <row r="1018" spans="1:21" ht="18.75" customHeight="1">
      <c r="A1018" s="854" t="s">
        <v>806</v>
      </c>
      <c r="B1018" s="855"/>
      <c r="C1018" s="867"/>
      <c r="D1018" s="941"/>
      <c r="E1018" s="933"/>
      <c r="F1018" s="933"/>
      <c r="P1018" s="855"/>
      <c r="Q1018" s="855"/>
      <c r="R1018" s="855"/>
      <c r="S1018" s="855"/>
      <c r="T1018" s="855"/>
      <c r="U1018" s="934"/>
    </row>
    <row r="1019" spans="1:21" ht="18.75" customHeight="1">
      <c r="A1019" s="854"/>
      <c r="B1019" s="855"/>
      <c r="C1019" s="937"/>
      <c r="P1019" s="855"/>
      <c r="Q1019" s="855"/>
      <c r="R1019" s="855"/>
      <c r="S1019" s="855"/>
      <c r="T1019" s="855"/>
      <c r="U1019" s="934"/>
    </row>
    <row r="1020" spans="1:21" ht="19.5" customHeight="1">
      <c r="A1020" s="938"/>
      <c r="B1020" s="939"/>
      <c r="C1020" s="940"/>
      <c r="D1020" s="453"/>
      <c r="E1020" s="453"/>
      <c r="F1020" s="453"/>
      <c r="G1020" s="453"/>
      <c r="H1020" s="453"/>
      <c r="I1020" s="453"/>
      <c r="J1020" s="453"/>
      <c r="K1020" s="453"/>
      <c r="L1020" s="453"/>
      <c r="M1020" s="453"/>
      <c r="N1020" s="453"/>
      <c r="O1020" s="453"/>
      <c r="P1020" s="1448" t="s">
        <v>807</v>
      </c>
      <c r="Q1020" s="1448"/>
      <c r="R1020" s="1448"/>
      <c r="S1020" s="1448"/>
      <c r="T1020" s="1448"/>
      <c r="U1020" s="1448"/>
    </row>
    <row r="1021" spans="1:21" ht="45.75" customHeight="1">
      <c r="A1021" s="1455"/>
      <c r="B1021" s="1455"/>
      <c r="C1021" s="1455"/>
      <c r="D1021" s="847"/>
      <c r="E1021" s="1456" t="s">
        <v>774</v>
      </c>
      <c r="F1021" s="1456"/>
      <c r="G1021" s="1456"/>
      <c r="H1021" s="1456"/>
      <c r="I1021" s="1456"/>
      <c r="J1021" s="1456"/>
      <c r="K1021" s="1456"/>
      <c r="L1021" s="1456"/>
      <c r="M1021" s="1456"/>
      <c r="N1021" s="1456"/>
      <c r="O1021" s="1456"/>
      <c r="P1021" s="1456"/>
      <c r="Q1021" s="1456"/>
      <c r="R1021" s="1456"/>
      <c r="S1021" s="848"/>
      <c r="T1021" s="1457" t="s">
        <v>775</v>
      </c>
      <c r="U1021" s="1457"/>
    </row>
    <row r="1022" spans="1:21" ht="18.75" customHeight="1">
      <c r="A1022" s="849"/>
      <c r="E1022" s="1458" t="s">
        <v>776</v>
      </c>
      <c r="F1022" s="1458"/>
      <c r="G1022" s="1458"/>
      <c r="H1022" s="1458"/>
      <c r="I1022" s="1458"/>
      <c r="J1022" s="1458"/>
      <c r="K1022" s="1458"/>
      <c r="L1022" s="1458"/>
      <c r="M1022" s="1458"/>
      <c r="N1022" s="1458"/>
      <c r="O1022" s="1458"/>
      <c r="P1022" s="1458"/>
      <c r="Q1022" s="1458"/>
      <c r="R1022" s="1458"/>
      <c r="U1022" s="456"/>
    </row>
    <row r="1023" spans="1:21" ht="18.75" customHeight="1">
      <c r="A1023" s="850"/>
      <c r="F1023" s="587"/>
      <c r="G1023" s="587"/>
      <c r="H1023" s="587"/>
      <c r="I1023" s="587"/>
      <c r="J1023" s="587"/>
      <c r="K1023" s="587"/>
      <c r="L1023" s="587"/>
      <c r="M1023" s="851"/>
      <c r="N1023" s="852"/>
      <c r="O1023" s="851"/>
      <c r="P1023" s="1459" t="s">
        <v>777</v>
      </c>
      <c r="Q1023" s="1459"/>
      <c r="R1023" s="1459"/>
      <c r="S1023" s="1459"/>
      <c r="T1023" s="1459"/>
      <c r="U1023" s="1459"/>
    </row>
    <row r="1024" spans="1:21" ht="15" customHeight="1">
      <c r="A1024" s="849"/>
      <c r="E1024" s="1287" t="s">
        <v>778</v>
      </c>
      <c r="F1024" s="1287"/>
      <c r="G1024" s="1287"/>
      <c r="H1024" s="1287"/>
      <c r="I1024" s="1287"/>
      <c r="J1024" s="1287"/>
      <c r="K1024" s="1287"/>
      <c r="L1024" s="1287"/>
      <c r="M1024" s="1287"/>
      <c r="N1024" s="1287"/>
      <c r="O1024" s="1287"/>
      <c r="P1024" s="1287"/>
      <c r="Q1024" s="1287"/>
      <c r="R1024" s="1287"/>
      <c r="U1024" s="456"/>
    </row>
    <row r="1025" spans="1:21" ht="18.75" customHeight="1">
      <c r="A1025" s="849"/>
      <c r="E1025" s="1286" t="s">
        <v>779</v>
      </c>
      <c r="F1025" s="1286"/>
      <c r="G1025" s="1286"/>
      <c r="H1025" s="1286"/>
      <c r="I1025" s="1286"/>
      <c r="J1025" s="1286"/>
      <c r="K1025" s="1286"/>
      <c r="L1025" s="1286"/>
      <c r="M1025" s="1286"/>
      <c r="N1025" s="1286"/>
      <c r="O1025" s="1286"/>
      <c r="P1025" s="1286"/>
      <c r="Q1025" s="1286"/>
      <c r="R1025" s="1286"/>
      <c r="U1025" s="853"/>
    </row>
    <row r="1026" spans="1:21" ht="23.25" customHeight="1">
      <c r="A1026" s="854" t="s">
        <v>780</v>
      </c>
      <c r="B1026" s="855"/>
      <c r="C1026" s="855"/>
      <c r="D1026" s="856" t="s">
        <v>854</v>
      </c>
      <c r="E1026" s="857"/>
      <c r="F1026" s="858"/>
      <c r="G1026" s="859"/>
      <c r="H1026" s="859"/>
      <c r="I1026" s="859"/>
      <c r="J1026" s="859"/>
      <c r="K1026" s="859"/>
      <c r="L1026" s="860"/>
      <c r="M1026" s="1460"/>
      <c r="N1026" s="1460"/>
      <c r="O1026" s="1460"/>
      <c r="P1026" s="1461" t="s">
        <v>781</v>
      </c>
      <c r="Q1026" s="1461"/>
      <c r="R1026" s="1461"/>
      <c r="S1026" s="855"/>
      <c r="T1026" s="861">
        <v>46311</v>
      </c>
      <c r="U1026" s="456"/>
    </row>
    <row r="1027" spans="1:21" ht="23.25" customHeight="1">
      <c r="A1027" s="854"/>
      <c r="B1027" s="862"/>
      <c r="C1027" s="862"/>
      <c r="D1027" s="862"/>
      <c r="E1027" s="163"/>
      <c r="F1027" s="863"/>
      <c r="G1027" s="863"/>
      <c r="H1027" s="863"/>
      <c r="I1027" s="863"/>
      <c r="J1027" s="863"/>
      <c r="K1027" s="863"/>
      <c r="U1027" s="456"/>
    </row>
    <row r="1028" spans="1:21" ht="21" customHeight="1">
      <c r="A1028" s="864" t="s">
        <v>782</v>
      </c>
      <c r="B1028" s="865"/>
      <c r="C1028" s="866"/>
      <c r="D1028" s="867"/>
      <c r="E1028" s="868"/>
      <c r="F1028" s="869"/>
      <c r="G1028" s="869"/>
      <c r="H1028" s="869"/>
      <c r="I1028" s="870"/>
      <c r="J1028" s="870"/>
      <c r="P1028" s="1462"/>
      <c r="Q1028" s="1462"/>
      <c r="R1028" s="1462"/>
      <c r="S1028" s="1462"/>
      <c r="T1028" s="871"/>
      <c r="U1028" s="456"/>
    </row>
    <row r="1029" spans="1:21" ht="21" customHeight="1">
      <c r="A1029" s="872"/>
      <c r="B1029" s="873"/>
      <c r="C1029" s="869"/>
      <c r="D1029" s="869"/>
      <c r="E1029" s="869"/>
      <c r="F1029" s="869"/>
      <c r="G1029" s="869"/>
      <c r="H1029" s="869"/>
      <c r="I1029" s="870"/>
      <c r="J1029" s="870"/>
      <c r="U1029" s="456"/>
    </row>
    <row r="1030" spans="1:21" ht="15" customHeight="1">
      <c r="A1030" s="1463" t="s">
        <v>783</v>
      </c>
      <c r="B1030" s="1463"/>
      <c r="C1030" s="1463"/>
      <c r="D1030" s="1463"/>
      <c r="E1030" s="1463"/>
      <c r="F1030" s="1463"/>
      <c r="G1030" s="1463"/>
      <c r="H1030" s="1463"/>
      <c r="I1030" s="1463"/>
      <c r="J1030" s="1463"/>
      <c r="K1030" s="1463"/>
      <c r="L1030" s="1463"/>
      <c r="M1030" s="1463"/>
      <c r="N1030" s="1463"/>
      <c r="O1030" s="1463"/>
      <c r="P1030" s="1463"/>
      <c r="Q1030" s="1463"/>
      <c r="R1030" s="1463"/>
      <c r="S1030" s="1463"/>
      <c r="T1030" s="1463"/>
      <c r="U1030" s="1463"/>
    </row>
    <row r="1031" spans="1:21" ht="15" customHeight="1">
      <c r="A1031" s="1463"/>
      <c r="B1031" s="1463"/>
      <c r="C1031" s="1463"/>
      <c r="D1031" s="1463"/>
      <c r="E1031" s="1463"/>
      <c r="F1031" s="1463"/>
      <c r="G1031" s="1463"/>
      <c r="H1031" s="1463"/>
      <c r="I1031" s="1463"/>
      <c r="J1031" s="1463"/>
      <c r="K1031" s="1463"/>
      <c r="L1031" s="1463"/>
      <c r="M1031" s="1463"/>
      <c r="N1031" s="1463"/>
      <c r="O1031" s="1463"/>
      <c r="P1031" s="1463"/>
      <c r="Q1031" s="1463"/>
      <c r="R1031" s="1463"/>
      <c r="S1031" s="1463"/>
      <c r="T1031" s="1463"/>
      <c r="U1031" s="1463"/>
    </row>
    <row r="1032" spans="1:21" ht="18" customHeight="1">
      <c r="A1032" s="1464" t="s">
        <v>784</v>
      </c>
      <c r="B1032" s="1464"/>
      <c r="C1032" s="1464"/>
      <c r="D1032" s="1464"/>
      <c r="E1032" s="1464"/>
      <c r="F1032" s="1464"/>
      <c r="G1032" s="1464"/>
      <c r="H1032" s="1464"/>
      <c r="I1032" s="1464"/>
      <c r="J1032" s="1464"/>
      <c r="K1032" s="1464"/>
      <c r="L1032" s="1464"/>
      <c r="M1032" s="1464"/>
      <c r="N1032" s="1464"/>
      <c r="O1032" s="1464"/>
      <c r="P1032" s="1464"/>
      <c r="Q1032" s="1464"/>
      <c r="R1032" s="1464"/>
      <c r="S1032" s="1464"/>
      <c r="T1032" s="1464"/>
      <c r="U1032" s="1464"/>
    </row>
    <row r="1033" spans="1:21" ht="23.25" customHeight="1">
      <c r="A1033" s="1465" t="s">
        <v>785</v>
      </c>
      <c r="B1033" s="1465"/>
      <c r="C1033" s="1465"/>
      <c r="D1033" s="1465"/>
      <c r="E1033" s="1465"/>
      <c r="F1033" s="1465"/>
      <c r="G1033" s="1465"/>
      <c r="H1033" s="1465"/>
      <c r="I1033" s="1465"/>
      <c r="J1033" s="1465"/>
      <c r="K1033" s="1465"/>
      <c r="L1033" s="1465"/>
      <c r="M1033" s="1465"/>
      <c r="N1033" s="1465"/>
      <c r="O1033" s="1465"/>
      <c r="P1033" s="1465"/>
      <c r="Q1033" s="1465"/>
      <c r="R1033" s="1465"/>
      <c r="S1033" s="1465"/>
      <c r="T1033" s="1465"/>
      <c r="U1033" s="1465"/>
    </row>
    <row r="1034" spans="1:21" ht="21.75" customHeight="1">
      <c r="A1034" s="874"/>
      <c r="B1034" s="875"/>
      <c r="C1034" s="875"/>
      <c r="D1034" s="875"/>
      <c r="E1034" s="875"/>
      <c r="F1034" s="875"/>
      <c r="G1034" s="875"/>
      <c r="H1034" s="875"/>
      <c r="I1034" s="875"/>
      <c r="J1034" s="875"/>
      <c r="K1034" s="875"/>
      <c r="L1034" s="875"/>
      <c r="M1034" s="875"/>
      <c r="N1034" s="875"/>
      <c r="O1034" s="875"/>
      <c r="P1034" s="875"/>
      <c r="Q1034" s="875"/>
      <c r="R1034" s="875"/>
      <c r="S1034" s="875"/>
      <c r="T1034" s="875"/>
      <c r="U1034" s="876"/>
    </row>
    <row r="1035" spans="1:21" ht="15" customHeight="1">
      <c r="A1035" s="1466" t="s">
        <v>786</v>
      </c>
      <c r="B1035" s="1467" t="s">
        <v>787</v>
      </c>
      <c r="C1035" s="1468" t="s">
        <v>788</v>
      </c>
      <c r="D1035" s="1468" t="s">
        <v>789</v>
      </c>
      <c r="E1035" s="1469" t="s">
        <v>790</v>
      </c>
      <c r="F1035" s="1468" t="s">
        <v>791</v>
      </c>
      <c r="G1035" s="1468"/>
      <c r="H1035" s="1468"/>
      <c r="I1035" s="1468"/>
      <c r="J1035" s="1468"/>
      <c r="K1035" s="1468"/>
      <c r="L1035" s="1468"/>
      <c r="M1035" s="1468"/>
      <c r="N1035" s="1468"/>
      <c r="O1035" s="1468"/>
      <c r="P1035" s="1470"/>
      <c r="Q1035" s="1470"/>
      <c r="R1035" s="1470"/>
      <c r="S1035" s="1470"/>
      <c r="T1035" s="1470"/>
      <c r="U1035" s="1470"/>
    </row>
    <row r="1036" spans="1:21" ht="15.75" customHeight="1">
      <c r="A1036" s="1466"/>
      <c r="B1036" s="1467"/>
      <c r="C1036" s="1468"/>
      <c r="D1036" s="1468"/>
      <c r="E1036" s="1469"/>
      <c r="F1036" s="1468"/>
      <c r="G1036" s="1468"/>
      <c r="H1036" s="1468"/>
      <c r="I1036" s="1468"/>
      <c r="J1036" s="1468"/>
      <c r="K1036" s="1468"/>
      <c r="L1036" s="1468"/>
      <c r="M1036" s="1468"/>
      <c r="N1036" s="1468"/>
      <c r="O1036" s="1468"/>
      <c r="P1036" s="1470"/>
      <c r="Q1036" s="1470"/>
      <c r="R1036" s="1470"/>
      <c r="S1036" s="1470"/>
      <c r="T1036" s="1470"/>
      <c r="U1036" s="1470"/>
    </row>
    <row r="1037" spans="1:21" ht="48" customHeight="1">
      <c r="A1037" s="1466"/>
      <c r="B1037" s="1467"/>
      <c r="C1037" s="1468"/>
      <c r="D1037" s="1468"/>
      <c r="E1037" s="1469"/>
      <c r="F1037" s="878" t="s">
        <v>792</v>
      </c>
      <c r="G1037" s="877" t="s">
        <v>793</v>
      </c>
      <c r="H1037" s="878" t="s">
        <v>794</v>
      </c>
      <c r="I1037" s="879" t="s">
        <v>795</v>
      </c>
      <c r="J1037" s="880" t="s">
        <v>796</v>
      </c>
      <c r="K1037" s="1468" t="s">
        <v>797</v>
      </c>
      <c r="L1037" s="1468"/>
      <c r="M1037" s="1468"/>
      <c r="N1037" s="1468"/>
      <c r="O1037" s="1468"/>
      <c r="P1037" s="881" t="s">
        <v>798</v>
      </c>
      <c r="Q1037" s="882" t="s">
        <v>799</v>
      </c>
      <c r="R1037" s="1469" t="s">
        <v>800</v>
      </c>
      <c r="S1037" s="1469"/>
      <c r="T1037" s="877" t="s">
        <v>801</v>
      </c>
      <c r="U1037" s="879" t="s">
        <v>104</v>
      </c>
    </row>
    <row r="1038" spans="1:21" ht="19.5" customHeight="1">
      <c r="A1038" s="883"/>
      <c r="B1038" s="884" t="str">
        <f>IF('BIS Doc'!AC487=130, "130 × 130", IF('BIS Doc'!AC487=160, "160 × 160", IF('BIS Doc'!AC487=110, "110 × 110", "Value not 130, 160, or 110")))</f>
        <v>Value not 130, 160, or 110</v>
      </c>
      <c r="C1038" s="885">
        <f>'BIS Doc'!W487</f>
        <v>0</v>
      </c>
      <c r="D1038" s="886"/>
      <c r="E1038" s="887">
        <f>'BIS Doc'!AE487</f>
        <v>0</v>
      </c>
      <c r="F1038" s="888">
        <f ca="1">'BIS Doc'!F487</f>
        <v>0</v>
      </c>
      <c r="G1038" s="888">
        <f ca="1">'BIS Doc'!J487</f>
        <v>0</v>
      </c>
      <c r="H1038" s="888">
        <f ca="1">'BIS Doc'!G487</f>
        <v>0.55949268961042098</v>
      </c>
      <c r="I1038" s="889">
        <f ca="1">'BIS Doc'!H487</f>
        <v>0</v>
      </c>
      <c r="J1038" s="889">
        <f ca="1">'BIS Doc'!I487</f>
        <v>0</v>
      </c>
      <c r="K1038" s="1449" t="str">
        <f t="shared" ref="K1038:K1043" ca="1" si="30">IF(H1038&lt;0.6, "IS 14650 CPS 10748/GR2", "IS 14650 CPS 10748/GR3")</f>
        <v>IS 14650 CPS 10748/GR2</v>
      </c>
      <c r="L1038" s="1449"/>
      <c r="M1038" s="1449"/>
      <c r="N1038" s="1449"/>
      <c r="O1038" s="1449"/>
      <c r="P1038" s="890"/>
      <c r="Q1038" s="891"/>
      <c r="R1038" s="1449"/>
      <c r="S1038" s="1449"/>
      <c r="T1038" s="892"/>
      <c r="U1038" s="1450" t="s">
        <v>802</v>
      </c>
    </row>
    <row r="1039" spans="1:21" ht="19.5" customHeight="1">
      <c r="A1039" s="893"/>
      <c r="B1039" s="894" t="str">
        <f>IF('BIS Doc'!AC489=130, "130 × 130", IF('BIS Doc'!AC489=160, "160 × 160", IF('BIS Doc'!AC489=110, "110 × 110", "Value not 130, 160, or 110")))</f>
        <v>Value not 130, 160, or 110</v>
      </c>
      <c r="C1039" s="895">
        <f>'BIS Doc'!W489</f>
        <v>0</v>
      </c>
      <c r="D1039" s="896"/>
      <c r="E1039" s="897">
        <f>'BIS Doc'!AE489</f>
        <v>0</v>
      </c>
      <c r="F1039" s="898">
        <f ca="1">'BIS Doc'!F489</f>
        <v>0</v>
      </c>
      <c r="G1039" s="899">
        <f ca="1">'BIS Doc'!J489</f>
        <v>0</v>
      </c>
      <c r="H1039" s="900">
        <f ca="1">'BIS Doc'!G489</f>
        <v>0.59912725532079858</v>
      </c>
      <c r="I1039" s="901">
        <f ca="1">'BIS Doc'!H489</f>
        <v>0</v>
      </c>
      <c r="J1039" s="901">
        <f ca="1">'BIS Doc'!I489</f>
        <v>0</v>
      </c>
      <c r="K1039" s="1451" t="str">
        <f t="shared" ca="1" si="30"/>
        <v>IS 14650 CPS 10748/GR2</v>
      </c>
      <c r="L1039" s="1451"/>
      <c r="M1039" s="1451"/>
      <c r="N1039" s="1451"/>
      <c r="O1039" s="1451"/>
      <c r="P1039" s="902"/>
      <c r="Q1039" s="903"/>
      <c r="R1039" s="1451"/>
      <c r="S1039" s="1451"/>
      <c r="T1039" s="904"/>
      <c r="U1039" s="1450"/>
    </row>
    <row r="1040" spans="1:21" ht="19.5" customHeight="1">
      <c r="A1040" s="864"/>
      <c r="B1040" s="894" t="str">
        <f>IF('BIS Doc'!AC491=130, "130 × 130", IF('BIS Doc'!AC491=160, "160 × 160", IF('BIS Doc'!AC491=110, "110 × 110", "Value not 130, 160, or 110")))</f>
        <v>Value not 130, 160, or 110</v>
      </c>
      <c r="C1040" s="895">
        <f>'BIS Doc'!W491</f>
        <v>0</v>
      </c>
      <c r="D1040" s="896" t="s">
        <v>803</v>
      </c>
      <c r="E1040" s="897">
        <f>'BIS Doc'!AE491</f>
        <v>0</v>
      </c>
      <c r="F1040" s="898">
        <f ca="1">'BIS Doc'!F491</f>
        <v>0</v>
      </c>
      <c r="G1040" s="899">
        <f ca="1">'BIS Doc'!J491</f>
        <v>0</v>
      </c>
      <c r="H1040" s="900">
        <f ca="1">'BIS Doc'!G491</f>
        <v>0.54559820722565977</v>
      </c>
      <c r="I1040" s="901">
        <f ca="1">'BIS Doc'!H491</f>
        <v>0</v>
      </c>
      <c r="J1040" s="901">
        <f ca="1">'BIS Doc'!I491</f>
        <v>0</v>
      </c>
      <c r="K1040" s="1451" t="str">
        <f t="shared" ca="1" si="30"/>
        <v>IS 14650 CPS 10748/GR2</v>
      </c>
      <c r="L1040" s="1451"/>
      <c r="M1040" s="1451"/>
      <c r="N1040" s="1451"/>
      <c r="O1040" s="1451"/>
      <c r="P1040" s="902"/>
      <c r="Q1040" s="905"/>
      <c r="R1040" s="1451"/>
      <c r="S1040" s="1451"/>
      <c r="T1040" s="904"/>
      <c r="U1040" s="1450"/>
    </row>
    <row r="1041" spans="1:21" ht="19.5" customHeight="1">
      <c r="A1041" s="864"/>
      <c r="B1041" s="894" t="str">
        <f>IF('BIS Doc'!AC493=130, "130 × 130", IF('BIS Doc'!AC493=160, "160 × 160", IF('BIS Doc'!AC493=110, "110 × 110", "Value not 130, 160, or 110")))</f>
        <v>Value not 130, 160, or 110</v>
      </c>
      <c r="C1041" s="895">
        <f>'BIS Doc'!W493</f>
        <v>0</v>
      </c>
      <c r="D1041" s="896"/>
      <c r="E1041" s="897">
        <f>'BIS Doc'!AE493</f>
        <v>0</v>
      </c>
      <c r="F1041" s="898">
        <f ca="1">'BIS Doc'!F493</f>
        <v>0</v>
      </c>
      <c r="G1041" s="899">
        <f ca="1">'BIS Doc'!J493</f>
        <v>0</v>
      </c>
      <c r="H1041" s="900">
        <f ca="1">'BIS Doc'!G493</f>
        <v>0.59730144590308054</v>
      </c>
      <c r="I1041" s="901">
        <f ca="1">'BIS Doc'!H493</f>
        <v>0</v>
      </c>
      <c r="J1041" s="901">
        <f ca="1">'BIS Doc'!I493</f>
        <v>0</v>
      </c>
      <c r="K1041" s="1451" t="str">
        <f t="shared" ca="1" si="30"/>
        <v>IS 14650 CPS 10748/GR2</v>
      </c>
      <c r="L1041" s="1451"/>
      <c r="M1041" s="1451"/>
      <c r="N1041" s="1451"/>
      <c r="O1041" s="1451"/>
      <c r="P1041" s="902"/>
      <c r="Q1041" s="905"/>
      <c r="R1041" s="1451"/>
      <c r="S1041" s="1451"/>
      <c r="T1041" s="904"/>
      <c r="U1041" s="1450"/>
    </row>
    <row r="1042" spans="1:21" ht="19.5" customHeight="1">
      <c r="A1042" s="864"/>
      <c r="B1042" s="894" t="str">
        <f>IF('BIS Doc'!AC495=130, "130 × 130", IF('BIS Doc'!AC495=160, "160 × 160", IF('BIS Doc'!AC495=110, "110 × 110", "Value not 130, 160, or 110")))</f>
        <v>Value not 130, 160, or 110</v>
      </c>
      <c r="C1042" s="895">
        <f>'BIS Doc'!W495</f>
        <v>0</v>
      </c>
      <c r="D1042" s="896"/>
      <c r="E1042" s="897">
        <f>'BIS Doc'!AE495</f>
        <v>0</v>
      </c>
      <c r="F1042" s="898">
        <f ca="1">'BIS Doc'!F495</f>
        <v>0</v>
      </c>
      <c r="G1042" s="899">
        <f ca="1">'BIS Doc'!J495</f>
        <v>0</v>
      </c>
      <c r="H1042" s="900">
        <f ca="1">'BIS Doc'!G495</f>
        <v>0.58326163120521946</v>
      </c>
      <c r="I1042" s="901">
        <f ca="1">'BIS Doc'!H495</f>
        <v>0</v>
      </c>
      <c r="J1042" s="901">
        <f ca="1">'BIS Doc'!I495</f>
        <v>0</v>
      </c>
      <c r="K1042" s="1451" t="str">
        <f t="shared" ca="1" si="30"/>
        <v>IS 14650 CPS 10748/GR2</v>
      </c>
      <c r="L1042" s="1451"/>
      <c r="M1042" s="1451"/>
      <c r="N1042" s="1451"/>
      <c r="O1042" s="1451"/>
      <c r="P1042" s="902"/>
      <c r="Q1042" s="905"/>
      <c r="R1042" s="1451"/>
      <c r="S1042" s="1451"/>
      <c r="T1042" s="904"/>
      <c r="U1042" s="1450"/>
    </row>
    <row r="1043" spans="1:21" ht="19.5" customHeight="1">
      <c r="A1043" s="864"/>
      <c r="B1043" s="894" t="str">
        <f>IF('BIS Doc'!AC497=130, "130 × 130", IF('BIS Doc'!AC497=160, "160 × 160", IF('BIS Doc'!AC497=110, "110 × 110", "Value not 130, 160, or 110")))</f>
        <v>Value not 130, 160, or 110</v>
      </c>
      <c r="C1043" s="895">
        <f>'BIS Doc'!W497</f>
        <v>0</v>
      </c>
      <c r="D1043" s="896"/>
      <c r="E1043" s="897">
        <f>'BIS Doc'!AE497</f>
        <v>0</v>
      </c>
      <c r="F1043" s="898">
        <f ca="1">'BIS Doc'!F497</f>
        <v>0</v>
      </c>
      <c r="G1043" s="899">
        <f ca="1">'BIS Doc'!J497</f>
        <v>0</v>
      </c>
      <c r="H1043" s="900">
        <f ca="1">'BIS Doc'!G497</f>
        <v>0.57959612508679315</v>
      </c>
      <c r="I1043" s="901">
        <f ca="1">'BIS Doc'!H497</f>
        <v>0</v>
      </c>
      <c r="J1043" s="901">
        <f ca="1">'BIS Doc'!I497</f>
        <v>0</v>
      </c>
      <c r="K1043" s="1451" t="str">
        <f t="shared" ca="1" si="30"/>
        <v>IS 14650 CPS 10748/GR2</v>
      </c>
      <c r="L1043" s="1451"/>
      <c r="M1043" s="1451"/>
      <c r="N1043" s="1451"/>
      <c r="O1043" s="1451"/>
      <c r="P1043" s="902"/>
      <c r="Q1043" s="903"/>
      <c r="R1043" s="1451"/>
      <c r="S1043" s="1451"/>
      <c r="T1043" s="904"/>
      <c r="U1043" s="1450"/>
    </row>
    <row r="1044" spans="1:21" ht="19.5" customHeight="1">
      <c r="A1044" s="864"/>
      <c r="B1044" s="904"/>
      <c r="C1044" s="895"/>
      <c r="D1044" s="896"/>
      <c r="E1044" s="897"/>
      <c r="F1044" s="906"/>
      <c r="G1044" s="907"/>
      <c r="H1044" s="908"/>
      <c r="I1044" s="909"/>
      <c r="J1044" s="909"/>
      <c r="K1044" s="1451"/>
      <c r="L1044" s="1451"/>
      <c r="M1044" s="1451"/>
      <c r="N1044" s="1451"/>
      <c r="O1044" s="1451"/>
      <c r="P1044" s="902"/>
      <c r="Q1044" s="903"/>
      <c r="R1044" s="1451"/>
      <c r="S1044" s="1451"/>
      <c r="T1044" s="904"/>
      <c r="U1044" s="1450"/>
    </row>
    <row r="1045" spans="1:21" ht="19.5" customHeight="1">
      <c r="A1045" s="864"/>
      <c r="B1045" s="904"/>
      <c r="C1045" s="895"/>
      <c r="D1045" s="896"/>
      <c r="E1045" s="897"/>
      <c r="F1045" s="906"/>
      <c r="G1045" s="907"/>
      <c r="H1045" s="908"/>
      <c r="I1045" s="909"/>
      <c r="J1045" s="909"/>
      <c r="K1045" s="1451"/>
      <c r="L1045" s="1451"/>
      <c r="M1045" s="1451"/>
      <c r="N1045" s="1451"/>
      <c r="O1045" s="1451"/>
      <c r="P1045" s="902"/>
      <c r="Q1045" s="905"/>
      <c r="R1045" s="1451"/>
      <c r="S1045" s="1451"/>
      <c r="T1045" s="904"/>
      <c r="U1045" s="1450"/>
    </row>
    <row r="1046" spans="1:21" ht="19.5" customHeight="1">
      <c r="A1046" s="864"/>
      <c r="B1046" s="910"/>
      <c r="C1046" s="911"/>
      <c r="D1046" s="896"/>
      <c r="E1046" s="897"/>
      <c r="F1046" s="906"/>
      <c r="G1046" s="907"/>
      <c r="H1046" s="908"/>
      <c r="I1046" s="909"/>
      <c r="J1046" s="909"/>
      <c r="K1046" s="1451"/>
      <c r="L1046" s="1451"/>
      <c r="M1046" s="1451"/>
      <c r="N1046" s="1451"/>
      <c r="O1046" s="1451"/>
      <c r="P1046" s="912"/>
      <c r="Q1046" s="913"/>
      <c r="R1046" s="1452"/>
      <c r="S1046" s="1452"/>
      <c r="T1046" s="910"/>
      <c r="U1046" s="1450"/>
    </row>
    <row r="1047" spans="1:21" ht="19.5" customHeight="1">
      <c r="A1047" s="914"/>
      <c r="B1047" s="915"/>
      <c r="C1047" s="916"/>
      <c r="D1047" s="917"/>
      <c r="E1047" s="918">
        <f>SUM(E1038:E1043)</f>
        <v>0</v>
      </c>
      <c r="F1047" s="919"/>
      <c r="G1047" s="920"/>
      <c r="H1047" s="921"/>
      <c r="I1047" s="922"/>
      <c r="J1047" s="922"/>
      <c r="K1047" s="1453"/>
      <c r="L1047" s="1453"/>
      <c r="M1047" s="1453"/>
      <c r="N1047" s="1453"/>
      <c r="O1047" s="1453"/>
      <c r="P1047" s="923"/>
      <c r="Q1047" s="924"/>
      <c r="R1047" s="1454"/>
      <c r="S1047" s="1454"/>
      <c r="T1047" s="915"/>
      <c r="U1047" s="1450"/>
    </row>
    <row r="1048" spans="1:21" ht="15.75" customHeight="1">
      <c r="A1048" s="864"/>
      <c r="B1048" s="773"/>
      <c r="C1048" s="773"/>
      <c r="D1048" s="925"/>
      <c r="E1048" s="926"/>
      <c r="F1048" s="927"/>
      <c r="G1048" s="928"/>
      <c r="H1048" s="259"/>
      <c r="I1048" s="259"/>
      <c r="J1048" s="928"/>
      <c r="K1048" s="929"/>
      <c r="L1048" s="929"/>
      <c r="M1048" s="929"/>
      <c r="N1048" s="929"/>
      <c r="O1048" s="928"/>
      <c r="P1048" s="930"/>
      <c r="Q1048" s="931"/>
      <c r="R1048" s="931"/>
      <c r="U1048" s="932"/>
    </row>
    <row r="1049" spans="1:21" ht="18.75" customHeight="1">
      <c r="A1049" s="864"/>
      <c r="B1049" s="773"/>
      <c r="C1049" s="773"/>
      <c r="D1049" s="773"/>
      <c r="E1049" s="773"/>
      <c r="F1049" s="773"/>
      <c r="G1049" s="773"/>
      <c r="H1049" s="773"/>
      <c r="I1049" s="773"/>
      <c r="J1049" s="773"/>
      <c r="K1049" s="773"/>
      <c r="P1049" s="1446" t="s">
        <v>804</v>
      </c>
      <c r="Q1049" s="1446"/>
      <c r="R1049" s="1446"/>
      <c r="S1049" s="1446"/>
      <c r="T1049" s="1446"/>
      <c r="U1049" s="1446"/>
    </row>
    <row r="1050" spans="1:21" ht="18.75" customHeight="1">
      <c r="A1050" s="1447" t="s">
        <v>805</v>
      </c>
      <c r="B1050" s="1447"/>
      <c r="C1050" s="933"/>
      <c r="D1050" s="933"/>
      <c r="E1050" s="933"/>
      <c r="F1050" s="933"/>
      <c r="P1050" s="855"/>
      <c r="Q1050" s="855"/>
      <c r="R1050" s="855"/>
      <c r="S1050" s="855"/>
      <c r="T1050" s="855"/>
      <c r="U1050" s="934"/>
    </row>
    <row r="1051" spans="1:21" ht="18.75" customHeight="1">
      <c r="A1051" s="854"/>
      <c r="B1051" s="855"/>
      <c r="P1051" s="855"/>
      <c r="Q1051" s="855"/>
      <c r="R1051" s="855"/>
      <c r="S1051" s="855"/>
      <c r="T1051" s="855"/>
      <c r="U1051" s="934"/>
    </row>
    <row r="1052" spans="1:21" ht="18.75" customHeight="1">
      <c r="A1052" s="854" t="s">
        <v>806</v>
      </c>
      <c r="B1052" s="855"/>
      <c r="C1052" s="867"/>
      <c r="D1052" s="941"/>
      <c r="E1052" s="933"/>
      <c r="F1052" s="933"/>
      <c r="P1052" s="855"/>
      <c r="Q1052" s="855"/>
      <c r="R1052" s="855"/>
      <c r="S1052" s="855"/>
      <c r="T1052" s="855"/>
      <c r="U1052" s="934"/>
    </row>
    <row r="1053" spans="1:21" ht="18.75" customHeight="1">
      <c r="A1053" s="854"/>
      <c r="B1053" s="855"/>
      <c r="C1053" s="937"/>
      <c r="P1053" s="855"/>
      <c r="Q1053" s="855"/>
      <c r="R1053" s="855"/>
      <c r="S1053" s="855"/>
      <c r="T1053" s="855"/>
      <c r="U1053" s="934"/>
    </row>
    <row r="1054" spans="1:21" ht="19.5" customHeight="1">
      <c r="A1054" s="938"/>
      <c r="B1054" s="939"/>
      <c r="C1054" s="940"/>
      <c r="D1054" s="453"/>
      <c r="E1054" s="453"/>
      <c r="F1054" s="453"/>
      <c r="G1054" s="453"/>
      <c r="H1054" s="453"/>
      <c r="I1054" s="453"/>
      <c r="J1054" s="453"/>
      <c r="K1054" s="453"/>
      <c r="L1054" s="453"/>
      <c r="M1054" s="453"/>
      <c r="N1054" s="453"/>
      <c r="O1054" s="453"/>
      <c r="P1054" s="1448" t="s">
        <v>807</v>
      </c>
      <c r="Q1054" s="1448"/>
      <c r="R1054" s="1448"/>
      <c r="S1054" s="1448"/>
      <c r="T1054" s="1448"/>
      <c r="U1054" s="1448"/>
    </row>
    <row r="1055" spans="1:21" ht="45.75" customHeight="1">
      <c r="A1055" s="1455"/>
      <c r="B1055" s="1455"/>
      <c r="C1055" s="1455"/>
      <c r="D1055" s="847"/>
      <c r="E1055" s="1456" t="s">
        <v>774</v>
      </c>
      <c r="F1055" s="1456"/>
      <c r="G1055" s="1456"/>
      <c r="H1055" s="1456"/>
      <c r="I1055" s="1456"/>
      <c r="J1055" s="1456"/>
      <c r="K1055" s="1456"/>
      <c r="L1055" s="1456"/>
      <c r="M1055" s="1456"/>
      <c r="N1055" s="1456"/>
      <c r="O1055" s="1456"/>
      <c r="P1055" s="1456"/>
      <c r="Q1055" s="1456"/>
      <c r="R1055" s="1456"/>
      <c r="S1055" s="848"/>
      <c r="T1055" s="1457" t="s">
        <v>775</v>
      </c>
      <c r="U1055" s="1457"/>
    </row>
    <row r="1056" spans="1:21" ht="18.75" customHeight="1">
      <c r="A1056" s="849"/>
      <c r="E1056" s="1458" t="s">
        <v>776</v>
      </c>
      <c r="F1056" s="1458"/>
      <c r="G1056" s="1458"/>
      <c r="H1056" s="1458"/>
      <c r="I1056" s="1458"/>
      <c r="J1056" s="1458"/>
      <c r="K1056" s="1458"/>
      <c r="L1056" s="1458"/>
      <c r="M1056" s="1458"/>
      <c r="N1056" s="1458"/>
      <c r="O1056" s="1458"/>
      <c r="P1056" s="1458"/>
      <c r="Q1056" s="1458"/>
      <c r="R1056" s="1458"/>
      <c r="U1056" s="456"/>
    </row>
    <row r="1057" spans="1:21" ht="18.75" customHeight="1">
      <c r="A1057" s="850"/>
      <c r="F1057" s="587"/>
      <c r="G1057" s="587"/>
      <c r="H1057" s="587"/>
      <c r="I1057" s="587"/>
      <c r="J1057" s="587"/>
      <c r="K1057" s="587"/>
      <c r="L1057" s="587"/>
      <c r="M1057" s="851"/>
      <c r="N1057" s="852"/>
      <c r="O1057" s="851"/>
      <c r="P1057" s="1459" t="s">
        <v>777</v>
      </c>
      <c r="Q1057" s="1459"/>
      <c r="R1057" s="1459"/>
      <c r="S1057" s="1459"/>
      <c r="T1057" s="1459"/>
      <c r="U1057" s="1459"/>
    </row>
    <row r="1058" spans="1:21" ht="15" customHeight="1">
      <c r="A1058" s="849"/>
      <c r="E1058" s="1287" t="s">
        <v>778</v>
      </c>
      <c r="F1058" s="1287"/>
      <c r="G1058" s="1287"/>
      <c r="H1058" s="1287"/>
      <c r="I1058" s="1287"/>
      <c r="J1058" s="1287"/>
      <c r="K1058" s="1287"/>
      <c r="L1058" s="1287"/>
      <c r="M1058" s="1287"/>
      <c r="N1058" s="1287"/>
      <c r="O1058" s="1287"/>
      <c r="P1058" s="1287"/>
      <c r="Q1058" s="1287"/>
      <c r="R1058" s="1287"/>
      <c r="U1058" s="456"/>
    </row>
    <row r="1059" spans="1:21" ht="18.75" customHeight="1">
      <c r="A1059" s="849"/>
      <c r="E1059" s="1286" t="s">
        <v>779</v>
      </c>
      <c r="F1059" s="1286"/>
      <c r="G1059" s="1286"/>
      <c r="H1059" s="1286"/>
      <c r="I1059" s="1286"/>
      <c r="J1059" s="1286"/>
      <c r="K1059" s="1286"/>
      <c r="L1059" s="1286"/>
      <c r="M1059" s="1286"/>
      <c r="N1059" s="1286"/>
      <c r="O1059" s="1286"/>
      <c r="P1059" s="1286"/>
      <c r="Q1059" s="1286"/>
      <c r="R1059" s="1286"/>
      <c r="U1059" s="853"/>
    </row>
    <row r="1060" spans="1:21" ht="23.25" customHeight="1">
      <c r="A1060" s="854" t="s">
        <v>780</v>
      </c>
      <c r="B1060" s="855"/>
      <c r="C1060" s="855"/>
      <c r="D1060" s="856" t="s">
        <v>855</v>
      </c>
      <c r="E1060" s="857"/>
      <c r="F1060" s="858"/>
      <c r="G1060" s="859"/>
      <c r="H1060" s="859"/>
      <c r="I1060" s="859"/>
      <c r="J1060" s="859"/>
      <c r="K1060" s="859"/>
      <c r="L1060" s="860"/>
      <c r="M1060" s="1460"/>
      <c r="N1060" s="1460"/>
      <c r="O1060" s="1460"/>
      <c r="P1060" s="1461" t="s">
        <v>781</v>
      </c>
      <c r="Q1060" s="1461"/>
      <c r="R1060" s="1461"/>
      <c r="S1060" s="855"/>
      <c r="T1060" s="861">
        <v>46311</v>
      </c>
      <c r="U1060" s="456"/>
    </row>
    <row r="1061" spans="1:21" ht="23.25" customHeight="1">
      <c r="A1061" s="854"/>
      <c r="B1061" s="862"/>
      <c r="C1061" s="862"/>
      <c r="D1061" s="862"/>
      <c r="E1061" s="163"/>
      <c r="F1061" s="863"/>
      <c r="G1061" s="863"/>
      <c r="H1061" s="863"/>
      <c r="I1061" s="863"/>
      <c r="J1061" s="863"/>
      <c r="K1061" s="863"/>
      <c r="U1061" s="456"/>
    </row>
    <row r="1062" spans="1:21" ht="21" customHeight="1">
      <c r="A1062" s="864" t="s">
        <v>782</v>
      </c>
      <c r="B1062" s="865"/>
      <c r="C1062" s="866"/>
      <c r="D1062" s="867"/>
      <c r="E1062" s="868"/>
      <c r="F1062" s="869"/>
      <c r="G1062" s="869"/>
      <c r="H1062" s="869"/>
      <c r="I1062" s="870"/>
      <c r="J1062" s="870"/>
      <c r="P1062" s="1462"/>
      <c r="Q1062" s="1462"/>
      <c r="R1062" s="1462"/>
      <c r="S1062" s="1462"/>
      <c r="T1062" s="871"/>
      <c r="U1062" s="456"/>
    </row>
    <row r="1063" spans="1:21" ht="21" customHeight="1">
      <c r="A1063" s="872"/>
      <c r="B1063" s="873"/>
      <c r="C1063" s="869"/>
      <c r="D1063" s="869"/>
      <c r="E1063" s="869"/>
      <c r="F1063" s="869"/>
      <c r="G1063" s="869"/>
      <c r="H1063" s="869"/>
      <c r="I1063" s="870"/>
      <c r="J1063" s="870"/>
      <c r="U1063" s="456"/>
    </row>
    <row r="1064" spans="1:21" ht="15" customHeight="1">
      <c r="A1064" s="1463" t="s">
        <v>783</v>
      </c>
      <c r="B1064" s="1463"/>
      <c r="C1064" s="1463"/>
      <c r="D1064" s="1463"/>
      <c r="E1064" s="1463"/>
      <c r="F1064" s="1463"/>
      <c r="G1064" s="1463"/>
      <c r="H1064" s="1463"/>
      <c r="I1064" s="1463"/>
      <c r="J1064" s="1463"/>
      <c r="K1064" s="1463"/>
      <c r="L1064" s="1463"/>
      <c r="M1064" s="1463"/>
      <c r="N1064" s="1463"/>
      <c r="O1064" s="1463"/>
      <c r="P1064" s="1463"/>
      <c r="Q1064" s="1463"/>
      <c r="R1064" s="1463"/>
      <c r="S1064" s="1463"/>
      <c r="T1064" s="1463"/>
      <c r="U1064" s="1463"/>
    </row>
    <row r="1065" spans="1:21" ht="15" customHeight="1">
      <c r="A1065" s="1463"/>
      <c r="B1065" s="1463"/>
      <c r="C1065" s="1463"/>
      <c r="D1065" s="1463"/>
      <c r="E1065" s="1463"/>
      <c r="F1065" s="1463"/>
      <c r="G1065" s="1463"/>
      <c r="H1065" s="1463"/>
      <c r="I1065" s="1463"/>
      <c r="J1065" s="1463"/>
      <c r="K1065" s="1463"/>
      <c r="L1065" s="1463"/>
      <c r="M1065" s="1463"/>
      <c r="N1065" s="1463"/>
      <c r="O1065" s="1463"/>
      <c r="P1065" s="1463"/>
      <c r="Q1065" s="1463"/>
      <c r="R1065" s="1463"/>
      <c r="S1065" s="1463"/>
      <c r="T1065" s="1463"/>
      <c r="U1065" s="1463"/>
    </row>
    <row r="1066" spans="1:21" ht="18" customHeight="1">
      <c r="A1066" s="1464" t="s">
        <v>784</v>
      </c>
      <c r="B1066" s="1464"/>
      <c r="C1066" s="1464"/>
      <c r="D1066" s="1464"/>
      <c r="E1066" s="1464"/>
      <c r="F1066" s="1464"/>
      <c r="G1066" s="1464"/>
      <c r="H1066" s="1464"/>
      <c r="I1066" s="1464"/>
      <c r="J1066" s="1464"/>
      <c r="K1066" s="1464"/>
      <c r="L1066" s="1464"/>
      <c r="M1066" s="1464"/>
      <c r="N1066" s="1464"/>
      <c r="O1066" s="1464"/>
      <c r="P1066" s="1464"/>
      <c r="Q1066" s="1464"/>
      <c r="R1066" s="1464"/>
      <c r="S1066" s="1464"/>
      <c r="T1066" s="1464"/>
      <c r="U1066" s="1464"/>
    </row>
    <row r="1067" spans="1:21" ht="23.25" customHeight="1">
      <c r="A1067" s="1465" t="s">
        <v>785</v>
      </c>
      <c r="B1067" s="1465"/>
      <c r="C1067" s="1465"/>
      <c r="D1067" s="1465"/>
      <c r="E1067" s="1465"/>
      <c r="F1067" s="1465"/>
      <c r="G1067" s="1465"/>
      <c r="H1067" s="1465"/>
      <c r="I1067" s="1465"/>
      <c r="J1067" s="1465"/>
      <c r="K1067" s="1465"/>
      <c r="L1067" s="1465"/>
      <c r="M1067" s="1465"/>
      <c r="N1067" s="1465"/>
      <c r="O1067" s="1465"/>
      <c r="P1067" s="1465"/>
      <c r="Q1067" s="1465"/>
      <c r="R1067" s="1465"/>
      <c r="S1067" s="1465"/>
      <c r="T1067" s="1465"/>
      <c r="U1067" s="1465"/>
    </row>
    <row r="1068" spans="1:21" ht="21.75" customHeight="1">
      <c r="A1068" s="874"/>
      <c r="B1068" s="875"/>
      <c r="C1068" s="875"/>
      <c r="D1068" s="875"/>
      <c r="E1068" s="875"/>
      <c r="F1068" s="875"/>
      <c r="G1068" s="875"/>
      <c r="H1068" s="875"/>
      <c r="I1068" s="875"/>
      <c r="J1068" s="875"/>
      <c r="K1068" s="875"/>
      <c r="L1068" s="875"/>
      <c r="M1068" s="875"/>
      <c r="N1068" s="875"/>
      <c r="O1068" s="875"/>
      <c r="P1068" s="875"/>
      <c r="Q1068" s="875"/>
      <c r="R1068" s="875"/>
      <c r="S1068" s="875"/>
      <c r="T1068" s="875"/>
      <c r="U1068" s="876"/>
    </row>
    <row r="1069" spans="1:21" ht="15" customHeight="1">
      <c r="A1069" s="1466" t="s">
        <v>786</v>
      </c>
      <c r="B1069" s="1467" t="s">
        <v>787</v>
      </c>
      <c r="C1069" s="1468" t="s">
        <v>788</v>
      </c>
      <c r="D1069" s="1468" t="s">
        <v>789</v>
      </c>
      <c r="E1069" s="1469" t="s">
        <v>790</v>
      </c>
      <c r="F1069" s="1468" t="s">
        <v>791</v>
      </c>
      <c r="G1069" s="1468"/>
      <c r="H1069" s="1468"/>
      <c r="I1069" s="1468"/>
      <c r="J1069" s="1468"/>
      <c r="K1069" s="1468"/>
      <c r="L1069" s="1468"/>
      <c r="M1069" s="1468"/>
      <c r="N1069" s="1468"/>
      <c r="O1069" s="1468"/>
      <c r="P1069" s="1470"/>
      <c r="Q1069" s="1470"/>
      <c r="R1069" s="1470"/>
      <c r="S1069" s="1470"/>
      <c r="T1069" s="1470"/>
      <c r="U1069" s="1470"/>
    </row>
    <row r="1070" spans="1:21" ht="15.75" customHeight="1">
      <c r="A1070" s="1466"/>
      <c r="B1070" s="1467"/>
      <c r="C1070" s="1468"/>
      <c r="D1070" s="1468"/>
      <c r="E1070" s="1469"/>
      <c r="F1070" s="1468"/>
      <c r="G1070" s="1468"/>
      <c r="H1070" s="1468"/>
      <c r="I1070" s="1468"/>
      <c r="J1070" s="1468"/>
      <c r="K1070" s="1468"/>
      <c r="L1070" s="1468"/>
      <c r="M1070" s="1468"/>
      <c r="N1070" s="1468"/>
      <c r="O1070" s="1468"/>
      <c r="P1070" s="1470"/>
      <c r="Q1070" s="1470"/>
      <c r="R1070" s="1470"/>
      <c r="S1070" s="1470"/>
      <c r="T1070" s="1470"/>
      <c r="U1070" s="1470"/>
    </row>
    <row r="1071" spans="1:21" ht="48" customHeight="1">
      <c r="A1071" s="1466"/>
      <c r="B1071" s="1467"/>
      <c r="C1071" s="1468"/>
      <c r="D1071" s="1468"/>
      <c r="E1071" s="1469"/>
      <c r="F1071" s="878" t="s">
        <v>792</v>
      </c>
      <c r="G1071" s="877" t="s">
        <v>793</v>
      </c>
      <c r="H1071" s="878" t="s">
        <v>794</v>
      </c>
      <c r="I1071" s="879" t="s">
        <v>795</v>
      </c>
      <c r="J1071" s="880" t="s">
        <v>796</v>
      </c>
      <c r="K1071" s="1468" t="s">
        <v>797</v>
      </c>
      <c r="L1071" s="1468"/>
      <c r="M1071" s="1468"/>
      <c r="N1071" s="1468"/>
      <c r="O1071" s="1468"/>
      <c r="P1071" s="881" t="s">
        <v>798</v>
      </c>
      <c r="Q1071" s="882" t="s">
        <v>799</v>
      </c>
      <c r="R1071" s="1469" t="s">
        <v>800</v>
      </c>
      <c r="S1071" s="1469"/>
      <c r="T1071" s="877" t="s">
        <v>801</v>
      </c>
      <c r="U1071" s="879" t="s">
        <v>104</v>
      </c>
    </row>
    <row r="1072" spans="1:21" ht="19.5" customHeight="1">
      <c r="A1072" s="883"/>
      <c r="B1072" s="884" t="str">
        <f>IF('BIS Doc'!AC499=130, "130 × 130", IF('BIS Doc'!AC499=160, "160 × 160", IF('BIS Doc'!AC499=110, "110 × 110", "Value not 130, 160, or 110")))</f>
        <v>Value not 130, 160, or 110</v>
      </c>
      <c r="C1072" s="885">
        <f>'BIS Doc'!W499</f>
        <v>0</v>
      </c>
      <c r="D1072" s="886"/>
      <c r="E1072" s="887">
        <f>'BIS Doc'!AE499</f>
        <v>0</v>
      </c>
      <c r="F1072" s="888">
        <f ca="1">'BIS Doc'!F499</f>
        <v>0</v>
      </c>
      <c r="G1072" s="888">
        <f ca="1">'BIS Doc'!J499</f>
        <v>0</v>
      </c>
      <c r="H1072" s="888">
        <f ca="1">'BIS Doc'!G499</f>
        <v>0.57792632997583537</v>
      </c>
      <c r="I1072" s="889">
        <f ca="1">'BIS Doc'!H499</f>
        <v>0</v>
      </c>
      <c r="J1072" s="889">
        <f ca="1">'BIS Doc'!I499</f>
        <v>0</v>
      </c>
      <c r="K1072" s="1449" t="str">
        <f t="shared" ref="K1072:K1077" ca="1" si="31">IF(H1072&lt;0.6, "IS 14650 CPS 10748/GR2", "IS 14650 CPS 10748/GR3")</f>
        <v>IS 14650 CPS 10748/GR2</v>
      </c>
      <c r="L1072" s="1449"/>
      <c r="M1072" s="1449"/>
      <c r="N1072" s="1449"/>
      <c r="O1072" s="1449"/>
      <c r="P1072" s="890"/>
      <c r="Q1072" s="891"/>
      <c r="R1072" s="1449"/>
      <c r="S1072" s="1449"/>
      <c r="T1072" s="892"/>
      <c r="U1072" s="1450" t="s">
        <v>802</v>
      </c>
    </row>
    <row r="1073" spans="1:21" ht="19.5" customHeight="1">
      <c r="A1073" s="893"/>
      <c r="B1073" s="894" t="str">
        <f>IF('BIS Doc'!AC501=130, "130 × 130", IF('BIS Doc'!AC501=160, "160 × 160", IF('BIS Doc'!AC501=110, "110 × 110", "Value not 130, 160, or 110")))</f>
        <v>Value not 130, 160, or 110</v>
      </c>
      <c r="C1073" s="895">
        <f>'BIS Doc'!W501</f>
        <v>0</v>
      </c>
      <c r="D1073" s="896"/>
      <c r="E1073" s="897">
        <f>'BIS Doc'!AE501</f>
        <v>0</v>
      </c>
      <c r="F1073" s="898">
        <f ca="1">'BIS Doc'!F501</f>
        <v>0</v>
      </c>
      <c r="G1073" s="899">
        <f ca="1">'BIS Doc'!J501</f>
        <v>0</v>
      </c>
      <c r="H1073" s="900">
        <f ca="1">'BIS Doc'!G501</f>
        <v>0.54845033093273199</v>
      </c>
      <c r="I1073" s="901">
        <f ca="1">'BIS Doc'!H501</f>
        <v>0</v>
      </c>
      <c r="J1073" s="901">
        <f ca="1">'BIS Doc'!I501</f>
        <v>0</v>
      </c>
      <c r="K1073" s="1451" t="str">
        <f t="shared" ca="1" si="31"/>
        <v>IS 14650 CPS 10748/GR2</v>
      </c>
      <c r="L1073" s="1451"/>
      <c r="M1073" s="1451"/>
      <c r="N1073" s="1451"/>
      <c r="O1073" s="1451"/>
      <c r="P1073" s="902"/>
      <c r="Q1073" s="903"/>
      <c r="R1073" s="1451"/>
      <c r="S1073" s="1451"/>
      <c r="T1073" s="904"/>
      <c r="U1073" s="1450"/>
    </row>
    <row r="1074" spans="1:21" ht="19.5" customHeight="1">
      <c r="A1074" s="864"/>
      <c r="B1074" s="894" t="str">
        <f>IF('BIS Doc'!AC503=130, "130 × 130", IF('BIS Doc'!AC503=160, "160 × 160", IF('BIS Doc'!AC503=110, "110 × 110", "Value not 130, 160, or 110")))</f>
        <v>Value not 130, 160, or 110</v>
      </c>
      <c r="C1074" s="895">
        <f>'BIS Doc'!W503</f>
        <v>0</v>
      </c>
      <c r="D1074" s="896" t="s">
        <v>803</v>
      </c>
      <c r="E1074" s="897">
        <f>'BIS Doc'!AE503</f>
        <v>0</v>
      </c>
      <c r="F1074" s="898">
        <f ca="1">'BIS Doc'!F503</f>
        <v>0</v>
      </c>
      <c r="G1074" s="899">
        <f ca="1">'BIS Doc'!J503</f>
        <v>0</v>
      </c>
      <c r="H1074" s="900">
        <f ca="1">'BIS Doc'!G503</f>
        <v>0.59507942194456165</v>
      </c>
      <c r="I1074" s="901">
        <f ca="1">'BIS Doc'!H503</f>
        <v>0</v>
      </c>
      <c r="J1074" s="901">
        <f ca="1">'BIS Doc'!I503</f>
        <v>0</v>
      </c>
      <c r="K1074" s="1451" t="str">
        <f t="shared" ca="1" si="31"/>
        <v>IS 14650 CPS 10748/GR2</v>
      </c>
      <c r="L1074" s="1451"/>
      <c r="M1074" s="1451"/>
      <c r="N1074" s="1451"/>
      <c r="O1074" s="1451"/>
      <c r="P1074" s="902"/>
      <c r="Q1074" s="905"/>
      <c r="R1074" s="1451"/>
      <c r="S1074" s="1451"/>
      <c r="T1074" s="904"/>
      <c r="U1074" s="1450"/>
    </row>
    <row r="1075" spans="1:21" ht="19.5" customHeight="1">
      <c r="A1075" s="864"/>
      <c r="B1075" s="894" t="str">
        <f>IF('BIS Doc'!AC505=130, "130 × 130", IF('BIS Doc'!AC505=160, "160 × 160", IF('BIS Doc'!AC505=110, "110 × 110", "Value not 130, 160, or 110")))</f>
        <v>Value not 130, 160, or 110</v>
      </c>
      <c r="C1075" s="895">
        <f>'BIS Doc'!W505</f>
        <v>0</v>
      </c>
      <c r="D1075" s="896"/>
      <c r="E1075" s="897">
        <f>'BIS Doc'!AE505</f>
        <v>0</v>
      </c>
      <c r="F1075" s="898">
        <f ca="1">'BIS Doc'!F505</f>
        <v>0</v>
      </c>
      <c r="G1075" s="899">
        <f ca="1">'BIS Doc'!J505</f>
        <v>0</v>
      </c>
      <c r="H1075" s="900">
        <f ca="1">'BIS Doc'!G505</f>
        <v>0.52807506605858312</v>
      </c>
      <c r="I1075" s="901">
        <f ca="1">'BIS Doc'!H505</f>
        <v>0</v>
      </c>
      <c r="J1075" s="901">
        <f ca="1">'BIS Doc'!I505</f>
        <v>0</v>
      </c>
      <c r="K1075" s="1451" t="str">
        <f t="shared" ca="1" si="31"/>
        <v>IS 14650 CPS 10748/GR2</v>
      </c>
      <c r="L1075" s="1451"/>
      <c r="M1075" s="1451"/>
      <c r="N1075" s="1451"/>
      <c r="O1075" s="1451"/>
      <c r="P1075" s="902"/>
      <c r="Q1075" s="905"/>
      <c r="R1075" s="1451"/>
      <c r="S1075" s="1451"/>
      <c r="T1075" s="904"/>
      <c r="U1075" s="1450"/>
    </row>
    <row r="1076" spans="1:21" ht="19.5" customHeight="1">
      <c r="A1076" s="864"/>
      <c r="B1076" s="894" t="str">
        <f>IF('BIS Doc'!AC507=130, "130 × 130", IF('BIS Doc'!AC507=160, "160 × 160", IF('BIS Doc'!AC507=110, "110 × 110", "Value not 130, 160, or 110")))</f>
        <v>Value not 130, 160, or 110</v>
      </c>
      <c r="C1076" s="895">
        <f>'BIS Doc'!W507</f>
        <v>0</v>
      </c>
      <c r="D1076" s="896"/>
      <c r="E1076" s="897">
        <f>'BIS Doc'!AE507</f>
        <v>0</v>
      </c>
      <c r="F1076" s="898">
        <f ca="1">'BIS Doc'!F507</f>
        <v>0</v>
      </c>
      <c r="G1076" s="899">
        <f ca="1">'BIS Doc'!J507</f>
        <v>0</v>
      </c>
      <c r="H1076" s="900">
        <f ca="1">'BIS Doc'!G507</f>
        <v>0.56037768061465765</v>
      </c>
      <c r="I1076" s="901">
        <f ca="1">'BIS Doc'!H507</f>
        <v>0</v>
      </c>
      <c r="J1076" s="901">
        <f ca="1">'BIS Doc'!I507</f>
        <v>0</v>
      </c>
      <c r="K1076" s="1451" t="str">
        <f t="shared" ca="1" si="31"/>
        <v>IS 14650 CPS 10748/GR2</v>
      </c>
      <c r="L1076" s="1451"/>
      <c r="M1076" s="1451"/>
      <c r="N1076" s="1451"/>
      <c r="O1076" s="1451"/>
      <c r="P1076" s="902"/>
      <c r="Q1076" s="905"/>
      <c r="R1076" s="1451"/>
      <c r="S1076" s="1451"/>
      <c r="T1076" s="904"/>
      <c r="U1076" s="1450"/>
    </row>
    <row r="1077" spans="1:21" ht="19.5" customHeight="1">
      <c r="A1077" s="864"/>
      <c r="B1077" s="894" t="str">
        <f>IF('BIS Doc'!AC509=130, "130 × 130", IF('BIS Doc'!AC509=160, "160 × 160", IF('BIS Doc'!AC509=110, "110 × 110", "Value not 130, 160, or 110")))</f>
        <v>Value not 130, 160, or 110</v>
      </c>
      <c r="C1077" s="895">
        <f>'BIS Doc'!W509</f>
        <v>0</v>
      </c>
      <c r="D1077" s="896"/>
      <c r="E1077" s="897">
        <f>'BIS Doc'!AE509</f>
        <v>0</v>
      </c>
      <c r="F1077" s="898">
        <f ca="1">'BIS Doc'!F509</f>
        <v>0</v>
      </c>
      <c r="G1077" s="899">
        <f ca="1">'BIS Doc'!J509</f>
        <v>0</v>
      </c>
      <c r="H1077" s="900">
        <f ca="1">'BIS Doc'!G509</f>
        <v>0.59896456483143179</v>
      </c>
      <c r="I1077" s="901">
        <f ca="1">'BIS Doc'!H509</f>
        <v>0</v>
      </c>
      <c r="J1077" s="901">
        <f ca="1">'BIS Doc'!I509</f>
        <v>0</v>
      </c>
      <c r="K1077" s="1451" t="str">
        <f t="shared" ca="1" si="31"/>
        <v>IS 14650 CPS 10748/GR2</v>
      </c>
      <c r="L1077" s="1451"/>
      <c r="M1077" s="1451"/>
      <c r="N1077" s="1451"/>
      <c r="O1077" s="1451"/>
      <c r="P1077" s="902"/>
      <c r="Q1077" s="903"/>
      <c r="R1077" s="1451"/>
      <c r="S1077" s="1451"/>
      <c r="T1077" s="904"/>
      <c r="U1077" s="1450"/>
    </row>
    <row r="1078" spans="1:21" ht="19.5" customHeight="1">
      <c r="A1078" s="864"/>
      <c r="B1078" s="904"/>
      <c r="C1078" s="895"/>
      <c r="D1078" s="896"/>
      <c r="E1078" s="897"/>
      <c r="F1078" s="906"/>
      <c r="G1078" s="907"/>
      <c r="H1078" s="908"/>
      <c r="I1078" s="909"/>
      <c r="J1078" s="909"/>
      <c r="K1078" s="1451"/>
      <c r="L1078" s="1451"/>
      <c r="M1078" s="1451"/>
      <c r="N1078" s="1451"/>
      <c r="O1078" s="1451"/>
      <c r="P1078" s="902"/>
      <c r="Q1078" s="903"/>
      <c r="R1078" s="1451"/>
      <c r="S1078" s="1451"/>
      <c r="T1078" s="904"/>
      <c r="U1078" s="1450"/>
    </row>
    <row r="1079" spans="1:21" ht="19.5" customHeight="1">
      <c r="A1079" s="864"/>
      <c r="B1079" s="904"/>
      <c r="C1079" s="895"/>
      <c r="D1079" s="896"/>
      <c r="E1079" s="897"/>
      <c r="F1079" s="906"/>
      <c r="G1079" s="907"/>
      <c r="H1079" s="908"/>
      <c r="I1079" s="909"/>
      <c r="J1079" s="909"/>
      <c r="K1079" s="1451"/>
      <c r="L1079" s="1451"/>
      <c r="M1079" s="1451"/>
      <c r="N1079" s="1451"/>
      <c r="O1079" s="1451"/>
      <c r="P1079" s="902"/>
      <c r="Q1079" s="905"/>
      <c r="R1079" s="1451"/>
      <c r="S1079" s="1451"/>
      <c r="T1079" s="904"/>
      <c r="U1079" s="1450"/>
    </row>
    <row r="1080" spans="1:21" ht="19.5" customHeight="1">
      <c r="A1080" s="864"/>
      <c r="B1080" s="910"/>
      <c r="C1080" s="911"/>
      <c r="D1080" s="896"/>
      <c r="E1080" s="897"/>
      <c r="F1080" s="906"/>
      <c r="G1080" s="907"/>
      <c r="H1080" s="908"/>
      <c r="I1080" s="909"/>
      <c r="J1080" s="909"/>
      <c r="K1080" s="1451"/>
      <c r="L1080" s="1451"/>
      <c r="M1080" s="1451"/>
      <c r="N1080" s="1451"/>
      <c r="O1080" s="1451"/>
      <c r="P1080" s="912"/>
      <c r="Q1080" s="913"/>
      <c r="R1080" s="1452"/>
      <c r="S1080" s="1452"/>
      <c r="T1080" s="910"/>
      <c r="U1080" s="1450"/>
    </row>
    <row r="1081" spans="1:21" ht="19.5" customHeight="1">
      <c r="A1081" s="914"/>
      <c r="B1081" s="915"/>
      <c r="C1081" s="916"/>
      <c r="D1081" s="917"/>
      <c r="E1081" s="918">
        <f>SUM(E1072:E1077)</f>
        <v>0</v>
      </c>
      <c r="F1081" s="919"/>
      <c r="G1081" s="920"/>
      <c r="H1081" s="921"/>
      <c r="I1081" s="922"/>
      <c r="J1081" s="922"/>
      <c r="K1081" s="1453"/>
      <c r="L1081" s="1453"/>
      <c r="M1081" s="1453"/>
      <c r="N1081" s="1453"/>
      <c r="O1081" s="1453"/>
      <c r="P1081" s="923"/>
      <c r="Q1081" s="924"/>
      <c r="R1081" s="1454"/>
      <c r="S1081" s="1454"/>
      <c r="T1081" s="915"/>
      <c r="U1081" s="1450"/>
    </row>
    <row r="1082" spans="1:21" ht="15.75" customHeight="1">
      <c r="A1082" s="864"/>
      <c r="B1082" s="773"/>
      <c r="C1082" s="773"/>
      <c r="D1082" s="925"/>
      <c r="E1082" s="926"/>
      <c r="F1082" s="927"/>
      <c r="G1082" s="928"/>
      <c r="H1082" s="259"/>
      <c r="I1082" s="259"/>
      <c r="J1082" s="928"/>
      <c r="K1082" s="929"/>
      <c r="L1082" s="929"/>
      <c r="M1082" s="929"/>
      <c r="N1082" s="929"/>
      <c r="O1082" s="928"/>
      <c r="P1082" s="930"/>
      <c r="Q1082" s="931"/>
      <c r="R1082" s="931"/>
      <c r="U1082" s="932"/>
    </row>
    <row r="1083" spans="1:21" ht="18.75" customHeight="1">
      <c r="A1083" s="864"/>
      <c r="B1083" s="773"/>
      <c r="C1083" s="773"/>
      <c r="D1083" s="773"/>
      <c r="E1083" s="773"/>
      <c r="F1083" s="773"/>
      <c r="G1083" s="773"/>
      <c r="H1083" s="773"/>
      <c r="I1083" s="773"/>
      <c r="J1083" s="773"/>
      <c r="K1083" s="773"/>
      <c r="P1083" s="1446" t="s">
        <v>804</v>
      </c>
      <c r="Q1083" s="1446"/>
      <c r="R1083" s="1446"/>
      <c r="S1083" s="1446"/>
      <c r="T1083" s="1446"/>
      <c r="U1083" s="1446"/>
    </row>
    <row r="1084" spans="1:21" ht="18.75" customHeight="1">
      <c r="A1084" s="1447" t="s">
        <v>805</v>
      </c>
      <c r="B1084" s="1447"/>
      <c r="C1084" s="933"/>
      <c r="D1084" s="933"/>
      <c r="E1084" s="933"/>
      <c r="F1084" s="933"/>
      <c r="P1084" s="855"/>
      <c r="Q1084" s="855"/>
      <c r="R1084" s="855"/>
      <c r="S1084" s="855"/>
      <c r="T1084" s="855"/>
      <c r="U1084" s="934"/>
    </row>
    <row r="1085" spans="1:21" ht="18.75" customHeight="1">
      <c r="A1085" s="854"/>
      <c r="B1085" s="855"/>
      <c r="P1085" s="855"/>
      <c r="Q1085" s="855"/>
      <c r="R1085" s="855"/>
      <c r="S1085" s="855"/>
      <c r="T1085" s="855"/>
      <c r="U1085" s="934"/>
    </row>
    <row r="1086" spans="1:21" ht="18.75" customHeight="1">
      <c r="A1086" s="854" t="s">
        <v>806</v>
      </c>
      <c r="B1086" s="855"/>
      <c r="C1086" s="867"/>
      <c r="D1086" s="941"/>
      <c r="E1086" s="933"/>
      <c r="F1086" s="933"/>
      <c r="P1086" s="855"/>
      <c r="Q1086" s="855"/>
      <c r="R1086" s="855"/>
      <c r="S1086" s="855"/>
      <c r="T1086" s="855"/>
      <c r="U1086" s="934"/>
    </row>
    <row r="1087" spans="1:21" ht="18.75" customHeight="1">
      <c r="A1087" s="854"/>
      <c r="B1087" s="855"/>
      <c r="C1087" s="937"/>
      <c r="P1087" s="855"/>
      <c r="Q1087" s="855"/>
      <c r="R1087" s="855"/>
      <c r="S1087" s="855"/>
      <c r="T1087" s="855"/>
      <c r="U1087" s="934"/>
    </row>
    <row r="1088" spans="1:21" ht="19.5" customHeight="1">
      <c r="A1088" s="938"/>
      <c r="B1088" s="939"/>
      <c r="C1088" s="940"/>
      <c r="D1088" s="453"/>
      <c r="E1088" s="453"/>
      <c r="F1088" s="453"/>
      <c r="G1088" s="453"/>
      <c r="H1088" s="453"/>
      <c r="I1088" s="453"/>
      <c r="J1088" s="453"/>
      <c r="K1088" s="453"/>
      <c r="L1088" s="453"/>
      <c r="M1088" s="453"/>
      <c r="N1088" s="453"/>
      <c r="O1088" s="453"/>
      <c r="P1088" s="1448" t="s">
        <v>807</v>
      </c>
      <c r="Q1088" s="1448"/>
      <c r="R1088" s="1448"/>
      <c r="S1088" s="1448"/>
      <c r="T1088" s="1448"/>
      <c r="U1088" s="1448"/>
    </row>
    <row r="1089" spans="1:21" ht="45.75" customHeight="1">
      <c r="A1089" s="1455"/>
      <c r="B1089" s="1455"/>
      <c r="C1089" s="1455"/>
      <c r="D1089" s="847"/>
      <c r="E1089" s="1456" t="s">
        <v>774</v>
      </c>
      <c r="F1089" s="1456"/>
      <c r="G1089" s="1456"/>
      <c r="H1089" s="1456"/>
      <c r="I1089" s="1456"/>
      <c r="J1089" s="1456"/>
      <c r="K1089" s="1456"/>
      <c r="L1089" s="1456"/>
      <c r="M1089" s="1456"/>
      <c r="N1089" s="1456"/>
      <c r="O1089" s="1456"/>
      <c r="P1089" s="1456"/>
      <c r="Q1089" s="1456"/>
      <c r="R1089" s="1456"/>
      <c r="S1089" s="848"/>
      <c r="T1089" s="1457" t="s">
        <v>775</v>
      </c>
      <c r="U1089" s="1457"/>
    </row>
    <row r="1090" spans="1:21" ht="18.75" customHeight="1">
      <c r="A1090" s="849"/>
      <c r="E1090" s="1458" t="s">
        <v>776</v>
      </c>
      <c r="F1090" s="1458"/>
      <c r="G1090" s="1458"/>
      <c r="H1090" s="1458"/>
      <c r="I1090" s="1458"/>
      <c r="J1090" s="1458"/>
      <c r="K1090" s="1458"/>
      <c r="L1090" s="1458"/>
      <c r="M1090" s="1458"/>
      <c r="N1090" s="1458"/>
      <c r="O1090" s="1458"/>
      <c r="P1090" s="1458"/>
      <c r="Q1090" s="1458"/>
      <c r="R1090" s="1458"/>
      <c r="U1090" s="456"/>
    </row>
    <row r="1091" spans="1:21" ht="18.75" customHeight="1">
      <c r="A1091" s="850"/>
      <c r="F1091" s="587"/>
      <c r="G1091" s="587"/>
      <c r="H1091" s="587"/>
      <c r="I1091" s="587"/>
      <c r="J1091" s="587"/>
      <c r="K1091" s="587"/>
      <c r="L1091" s="587"/>
      <c r="M1091" s="851"/>
      <c r="N1091" s="852"/>
      <c r="O1091" s="851"/>
      <c r="P1091" s="1459" t="s">
        <v>777</v>
      </c>
      <c r="Q1091" s="1459"/>
      <c r="R1091" s="1459"/>
      <c r="S1091" s="1459"/>
      <c r="T1091" s="1459"/>
      <c r="U1091" s="1459"/>
    </row>
    <row r="1092" spans="1:21" ht="15" customHeight="1">
      <c r="A1092" s="849"/>
      <c r="E1092" s="1287" t="s">
        <v>778</v>
      </c>
      <c r="F1092" s="1287"/>
      <c r="G1092" s="1287"/>
      <c r="H1092" s="1287"/>
      <c r="I1092" s="1287"/>
      <c r="J1092" s="1287"/>
      <c r="K1092" s="1287"/>
      <c r="L1092" s="1287"/>
      <c r="M1092" s="1287"/>
      <c r="N1092" s="1287"/>
      <c r="O1092" s="1287"/>
      <c r="P1092" s="1287"/>
      <c r="Q1092" s="1287"/>
      <c r="R1092" s="1287"/>
      <c r="U1092" s="456"/>
    </row>
    <row r="1093" spans="1:21" ht="18.75" customHeight="1">
      <c r="A1093" s="849"/>
      <c r="E1093" s="1286" t="s">
        <v>779</v>
      </c>
      <c r="F1093" s="1286"/>
      <c r="G1093" s="1286"/>
      <c r="H1093" s="1286"/>
      <c r="I1093" s="1286"/>
      <c r="J1093" s="1286"/>
      <c r="K1093" s="1286"/>
      <c r="L1093" s="1286"/>
      <c r="M1093" s="1286"/>
      <c r="N1093" s="1286"/>
      <c r="O1093" s="1286"/>
      <c r="P1093" s="1286"/>
      <c r="Q1093" s="1286"/>
      <c r="R1093" s="1286"/>
      <c r="U1093" s="853"/>
    </row>
    <row r="1094" spans="1:21" ht="23.25" customHeight="1">
      <c r="A1094" s="854" t="s">
        <v>780</v>
      </c>
      <c r="B1094" s="855"/>
      <c r="C1094" s="855"/>
      <c r="D1094" s="856" t="s">
        <v>856</v>
      </c>
      <c r="E1094" s="857"/>
      <c r="F1094" s="858"/>
      <c r="G1094" s="859"/>
      <c r="H1094" s="859"/>
      <c r="I1094" s="859"/>
      <c r="J1094" s="859"/>
      <c r="K1094" s="859"/>
      <c r="L1094" s="860"/>
      <c r="M1094" s="1460"/>
      <c r="N1094" s="1460"/>
      <c r="O1094" s="1460"/>
      <c r="P1094" s="1461" t="s">
        <v>781</v>
      </c>
      <c r="Q1094" s="1461"/>
      <c r="R1094" s="1461"/>
      <c r="S1094" s="855"/>
      <c r="T1094" s="861">
        <v>46312</v>
      </c>
      <c r="U1094" s="456"/>
    </row>
    <row r="1095" spans="1:21" ht="23.25" customHeight="1">
      <c r="A1095" s="854"/>
      <c r="B1095" s="862"/>
      <c r="C1095" s="862"/>
      <c r="D1095" s="862"/>
      <c r="E1095" s="163"/>
      <c r="F1095" s="863"/>
      <c r="G1095" s="863"/>
      <c r="H1095" s="863"/>
      <c r="I1095" s="863"/>
      <c r="J1095" s="863"/>
      <c r="K1095" s="863"/>
      <c r="U1095" s="456"/>
    </row>
    <row r="1096" spans="1:21" ht="21" customHeight="1">
      <c r="A1096" s="864" t="s">
        <v>782</v>
      </c>
      <c r="B1096" s="865"/>
      <c r="C1096" s="866"/>
      <c r="D1096" s="867"/>
      <c r="E1096" s="868"/>
      <c r="F1096" s="869"/>
      <c r="G1096" s="869"/>
      <c r="H1096" s="869"/>
      <c r="I1096" s="870"/>
      <c r="J1096" s="870"/>
      <c r="P1096" s="1462"/>
      <c r="Q1096" s="1462"/>
      <c r="R1096" s="1462"/>
      <c r="S1096" s="1462"/>
      <c r="T1096" s="871"/>
      <c r="U1096" s="456"/>
    </row>
    <row r="1097" spans="1:21" ht="21" customHeight="1">
      <c r="A1097" s="872"/>
      <c r="B1097" s="873"/>
      <c r="C1097" s="869"/>
      <c r="D1097" s="869"/>
      <c r="E1097" s="869"/>
      <c r="F1097" s="869"/>
      <c r="G1097" s="869"/>
      <c r="H1097" s="869"/>
      <c r="I1097" s="870"/>
      <c r="J1097" s="870"/>
      <c r="U1097" s="456"/>
    </row>
    <row r="1098" spans="1:21" ht="15" customHeight="1">
      <c r="A1098" s="1463" t="s">
        <v>783</v>
      </c>
      <c r="B1098" s="1463"/>
      <c r="C1098" s="1463"/>
      <c r="D1098" s="1463"/>
      <c r="E1098" s="1463"/>
      <c r="F1098" s="1463"/>
      <c r="G1098" s="1463"/>
      <c r="H1098" s="1463"/>
      <c r="I1098" s="1463"/>
      <c r="J1098" s="1463"/>
      <c r="K1098" s="1463"/>
      <c r="L1098" s="1463"/>
      <c r="M1098" s="1463"/>
      <c r="N1098" s="1463"/>
      <c r="O1098" s="1463"/>
      <c r="P1098" s="1463"/>
      <c r="Q1098" s="1463"/>
      <c r="R1098" s="1463"/>
      <c r="S1098" s="1463"/>
      <c r="T1098" s="1463"/>
      <c r="U1098" s="1463"/>
    </row>
    <row r="1099" spans="1:21" ht="15" customHeight="1">
      <c r="A1099" s="1463"/>
      <c r="B1099" s="1463"/>
      <c r="C1099" s="1463"/>
      <c r="D1099" s="1463"/>
      <c r="E1099" s="1463"/>
      <c r="F1099" s="1463"/>
      <c r="G1099" s="1463"/>
      <c r="H1099" s="1463"/>
      <c r="I1099" s="1463"/>
      <c r="J1099" s="1463"/>
      <c r="K1099" s="1463"/>
      <c r="L1099" s="1463"/>
      <c r="M1099" s="1463"/>
      <c r="N1099" s="1463"/>
      <c r="O1099" s="1463"/>
      <c r="P1099" s="1463"/>
      <c r="Q1099" s="1463"/>
      <c r="R1099" s="1463"/>
      <c r="S1099" s="1463"/>
      <c r="T1099" s="1463"/>
      <c r="U1099" s="1463"/>
    </row>
    <row r="1100" spans="1:21" ht="18" customHeight="1">
      <c r="A1100" s="1464" t="s">
        <v>784</v>
      </c>
      <c r="B1100" s="1464"/>
      <c r="C1100" s="1464"/>
      <c r="D1100" s="1464"/>
      <c r="E1100" s="1464"/>
      <c r="F1100" s="1464"/>
      <c r="G1100" s="1464"/>
      <c r="H1100" s="1464"/>
      <c r="I1100" s="1464"/>
      <c r="J1100" s="1464"/>
      <c r="K1100" s="1464"/>
      <c r="L1100" s="1464"/>
      <c r="M1100" s="1464"/>
      <c r="N1100" s="1464"/>
      <c r="O1100" s="1464"/>
      <c r="P1100" s="1464"/>
      <c r="Q1100" s="1464"/>
      <c r="R1100" s="1464"/>
      <c r="S1100" s="1464"/>
      <c r="T1100" s="1464"/>
      <c r="U1100" s="1464"/>
    </row>
    <row r="1101" spans="1:21" ht="23.25" customHeight="1">
      <c r="A1101" s="1465" t="s">
        <v>785</v>
      </c>
      <c r="B1101" s="1465"/>
      <c r="C1101" s="1465"/>
      <c r="D1101" s="1465"/>
      <c r="E1101" s="1465"/>
      <c r="F1101" s="1465"/>
      <c r="G1101" s="1465"/>
      <c r="H1101" s="1465"/>
      <c r="I1101" s="1465"/>
      <c r="J1101" s="1465"/>
      <c r="K1101" s="1465"/>
      <c r="L1101" s="1465"/>
      <c r="M1101" s="1465"/>
      <c r="N1101" s="1465"/>
      <c r="O1101" s="1465"/>
      <c r="P1101" s="1465"/>
      <c r="Q1101" s="1465"/>
      <c r="R1101" s="1465"/>
      <c r="S1101" s="1465"/>
      <c r="T1101" s="1465"/>
      <c r="U1101" s="1465"/>
    </row>
    <row r="1102" spans="1:21" ht="21.75" customHeight="1">
      <c r="A1102" s="874"/>
      <c r="B1102" s="875"/>
      <c r="C1102" s="875"/>
      <c r="D1102" s="875"/>
      <c r="E1102" s="875"/>
      <c r="F1102" s="875"/>
      <c r="G1102" s="875"/>
      <c r="H1102" s="875"/>
      <c r="I1102" s="875"/>
      <c r="J1102" s="875"/>
      <c r="K1102" s="875"/>
      <c r="L1102" s="875"/>
      <c r="M1102" s="875"/>
      <c r="N1102" s="875"/>
      <c r="O1102" s="875"/>
      <c r="P1102" s="875"/>
      <c r="Q1102" s="875"/>
      <c r="R1102" s="875"/>
      <c r="S1102" s="875"/>
      <c r="T1102" s="875"/>
      <c r="U1102" s="876"/>
    </row>
    <row r="1103" spans="1:21" ht="15" customHeight="1">
      <c r="A1103" s="1466" t="s">
        <v>786</v>
      </c>
      <c r="B1103" s="1467" t="s">
        <v>787</v>
      </c>
      <c r="C1103" s="1468" t="s">
        <v>788</v>
      </c>
      <c r="D1103" s="1468" t="s">
        <v>789</v>
      </c>
      <c r="E1103" s="1469" t="s">
        <v>790</v>
      </c>
      <c r="F1103" s="1468" t="s">
        <v>791</v>
      </c>
      <c r="G1103" s="1468"/>
      <c r="H1103" s="1468"/>
      <c r="I1103" s="1468"/>
      <c r="J1103" s="1468"/>
      <c r="K1103" s="1468"/>
      <c r="L1103" s="1468"/>
      <c r="M1103" s="1468"/>
      <c r="N1103" s="1468"/>
      <c r="O1103" s="1468"/>
      <c r="P1103" s="1470"/>
      <c r="Q1103" s="1470"/>
      <c r="R1103" s="1470"/>
      <c r="S1103" s="1470"/>
      <c r="T1103" s="1470"/>
      <c r="U1103" s="1470"/>
    </row>
    <row r="1104" spans="1:21" ht="15.75" customHeight="1">
      <c r="A1104" s="1466"/>
      <c r="B1104" s="1467"/>
      <c r="C1104" s="1468"/>
      <c r="D1104" s="1468"/>
      <c r="E1104" s="1469"/>
      <c r="F1104" s="1468"/>
      <c r="G1104" s="1468"/>
      <c r="H1104" s="1468"/>
      <c r="I1104" s="1468"/>
      <c r="J1104" s="1468"/>
      <c r="K1104" s="1468"/>
      <c r="L1104" s="1468"/>
      <c r="M1104" s="1468"/>
      <c r="N1104" s="1468"/>
      <c r="O1104" s="1468"/>
      <c r="P1104" s="1470"/>
      <c r="Q1104" s="1470"/>
      <c r="R1104" s="1470"/>
      <c r="S1104" s="1470"/>
      <c r="T1104" s="1470"/>
      <c r="U1104" s="1470"/>
    </row>
    <row r="1105" spans="1:21" ht="48" customHeight="1">
      <c r="A1105" s="1466"/>
      <c r="B1105" s="1467"/>
      <c r="C1105" s="1468"/>
      <c r="D1105" s="1468"/>
      <c r="E1105" s="1469"/>
      <c r="F1105" s="878" t="s">
        <v>792</v>
      </c>
      <c r="G1105" s="877" t="s">
        <v>793</v>
      </c>
      <c r="H1105" s="878" t="s">
        <v>794</v>
      </c>
      <c r="I1105" s="879" t="s">
        <v>795</v>
      </c>
      <c r="J1105" s="880" t="s">
        <v>796</v>
      </c>
      <c r="K1105" s="1468" t="s">
        <v>797</v>
      </c>
      <c r="L1105" s="1468"/>
      <c r="M1105" s="1468"/>
      <c r="N1105" s="1468"/>
      <c r="O1105" s="1468"/>
      <c r="P1105" s="881" t="s">
        <v>798</v>
      </c>
      <c r="Q1105" s="882" t="s">
        <v>799</v>
      </c>
      <c r="R1105" s="1469" t="s">
        <v>800</v>
      </c>
      <c r="S1105" s="1469"/>
      <c r="T1105" s="877" t="s">
        <v>801</v>
      </c>
      <c r="U1105" s="879" t="s">
        <v>104</v>
      </c>
    </row>
    <row r="1106" spans="1:21" ht="19.5" customHeight="1">
      <c r="A1106" s="883"/>
      <c r="B1106" s="884" t="str">
        <f>IF('BIS Doc'!AC519=130, "130 × 130", IF('BIS Doc'!AC519=160, "160 × 160", IF('BIS Doc'!AC519=110, "110 × 110", "Value not 130, 160, or 110")))</f>
        <v>Value not 130, 160, or 110</v>
      </c>
      <c r="C1106" s="885">
        <f>'BIS Doc'!W519</f>
        <v>0</v>
      </c>
      <c r="D1106" s="886"/>
      <c r="E1106" s="887">
        <f>'BIS Doc'!AE519</f>
        <v>0</v>
      </c>
      <c r="F1106" s="888">
        <f ca="1">'BIS Doc'!F519</f>
        <v>0</v>
      </c>
      <c r="G1106" s="888">
        <f ca="1">'BIS Doc'!J519</f>
        <v>0</v>
      </c>
      <c r="H1106" s="888">
        <f ca="1">'BIS Doc'!G519</f>
        <v>0.56144053170767028</v>
      </c>
      <c r="I1106" s="889">
        <f ca="1">'BIS Doc'!H519</f>
        <v>0</v>
      </c>
      <c r="J1106" s="889">
        <f ca="1">'BIS Doc'!I519</f>
        <v>0</v>
      </c>
      <c r="K1106" s="1449" t="str">
        <f t="shared" ref="K1106:K1111" ca="1" si="32">IF(H1106&lt;0.6, "IS 14650 CPS 10748/GR2", "IS 14650 CPS 10748/GR3")</f>
        <v>IS 14650 CPS 10748/GR2</v>
      </c>
      <c r="L1106" s="1449"/>
      <c r="M1106" s="1449"/>
      <c r="N1106" s="1449"/>
      <c r="O1106" s="1449"/>
      <c r="P1106" s="890"/>
      <c r="Q1106" s="891"/>
      <c r="R1106" s="1449"/>
      <c r="S1106" s="1449"/>
      <c r="T1106" s="892"/>
      <c r="U1106" s="1450" t="s">
        <v>802</v>
      </c>
    </row>
    <row r="1107" spans="1:21" ht="19.5" customHeight="1">
      <c r="A1107" s="893"/>
      <c r="B1107" s="894" t="str">
        <f>IF('BIS Doc'!AC521=130, "130 × 130", IF('BIS Doc'!AC521=160, "160 × 160", IF('BIS Doc'!AC521=110, "110 × 110", "Value not 130, 160, or 110")))</f>
        <v>Value not 130, 160, or 110</v>
      </c>
      <c r="C1107" s="895">
        <f>'BIS Doc'!W521</f>
        <v>0</v>
      </c>
      <c r="D1107" s="896"/>
      <c r="E1107" s="897">
        <f>'BIS Doc'!AE521</f>
        <v>0</v>
      </c>
      <c r="F1107" s="898">
        <f ca="1">'BIS Doc'!F521</f>
        <v>0</v>
      </c>
      <c r="G1107" s="899">
        <f ca="1">'BIS Doc'!J521</f>
        <v>0</v>
      </c>
      <c r="H1107" s="900">
        <f ca="1">'BIS Doc'!G521</f>
        <v>0.56117136581123295</v>
      </c>
      <c r="I1107" s="901">
        <f ca="1">'BIS Doc'!H521</f>
        <v>0</v>
      </c>
      <c r="J1107" s="901">
        <f ca="1">'BIS Doc'!I521</f>
        <v>0</v>
      </c>
      <c r="K1107" s="1451" t="str">
        <f t="shared" ca="1" si="32"/>
        <v>IS 14650 CPS 10748/GR2</v>
      </c>
      <c r="L1107" s="1451"/>
      <c r="M1107" s="1451"/>
      <c r="N1107" s="1451"/>
      <c r="O1107" s="1451"/>
      <c r="P1107" s="902"/>
      <c r="Q1107" s="903"/>
      <c r="R1107" s="1451"/>
      <c r="S1107" s="1451"/>
      <c r="T1107" s="904"/>
      <c r="U1107" s="1450"/>
    </row>
    <row r="1108" spans="1:21" ht="19.5" customHeight="1">
      <c r="A1108" s="864"/>
      <c r="B1108" s="894" t="str">
        <f>IF('BIS Doc'!AC523=130, "130 × 130", IF('BIS Doc'!AC523=160, "160 × 160", IF('BIS Doc'!AC523=110, "110 × 110", "Value not 130, 160, or 110")))</f>
        <v>Value not 130, 160, or 110</v>
      </c>
      <c r="C1108" s="895">
        <f>'BIS Doc'!W523</f>
        <v>0</v>
      </c>
      <c r="D1108" s="896" t="s">
        <v>803</v>
      </c>
      <c r="E1108" s="897">
        <f>'BIS Doc'!AE523</f>
        <v>0</v>
      </c>
      <c r="F1108" s="898">
        <f ca="1">'BIS Doc'!F523</f>
        <v>0</v>
      </c>
      <c r="G1108" s="899">
        <f ca="1">'BIS Doc'!J523</f>
        <v>0</v>
      </c>
      <c r="H1108" s="900">
        <f ca="1">'BIS Doc'!G523</f>
        <v>0.54600661025927255</v>
      </c>
      <c r="I1108" s="901">
        <f ca="1">'BIS Doc'!H523</f>
        <v>0</v>
      </c>
      <c r="J1108" s="901">
        <f ca="1">'BIS Doc'!I523</f>
        <v>0</v>
      </c>
      <c r="K1108" s="1451" t="str">
        <f t="shared" ca="1" si="32"/>
        <v>IS 14650 CPS 10748/GR2</v>
      </c>
      <c r="L1108" s="1451"/>
      <c r="M1108" s="1451"/>
      <c r="N1108" s="1451"/>
      <c r="O1108" s="1451"/>
      <c r="P1108" s="902"/>
      <c r="Q1108" s="905"/>
      <c r="R1108" s="1451"/>
      <c r="S1108" s="1451"/>
      <c r="T1108" s="904"/>
      <c r="U1108" s="1450"/>
    </row>
    <row r="1109" spans="1:21" ht="19.5" customHeight="1">
      <c r="A1109" s="864"/>
      <c r="B1109" s="894" t="str">
        <f>IF('BIS Doc'!AC525=130, "130 × 130", IF('BIS Doc'!AC525=160, "160 × 160", IF('BIS Doc'!AC525=110, "110 × 110", "Value not 130, 160, or 110")))</f>
        <v>Value not 130, 160, or 110</v>
      </c>
      <c r="C1109" s="895">
        <f>'BIS Doc'!W525</f>
        <v>0</v>
      </c>
      <c r="D1109" s="896"/>
      <c r="E1109" s="897">
        <f>'BIS Doc'!AE525</f>
        <v>0</v>
      </c>
      <c r="F1109" s="898">
        <f ca="1">'BIS Doc'!F525</f>
        <v>0</v>
      </c>
      <c r="G1109" s="899">
        <f ca="1">'BIS Doc'!J525</f>
        <v>0</v>
      </c>
      <c r="H1109" s="900">
        <f ca="1">'BIS Doc'!G525</f>
        <v>0.53701835448207713</v>
      </c>
      <c r="I1109" s="901">
        <f ca="1">'BIS Doc'!H525</f>
        <v>0</v>
      </c>
      <c r="J1109" s="901">
        <f ca="1">'BIS Doc'!I525</f>
        <v>0</v>
      </c>
      <c r="K1109" s="1451" t="str">
        <f t="shared" ca="1" si="32"/>
        <v>IS 14650 CPS 10748/GR2</v>
      </c>
      <c r="L1109" s="1451"/>
      <c r="M1109" s="1451"/>
      <c r="N1109" s="1451"/>
      <c r="O1109" s="1451"/>
      <c r="P1109" s="902"/>
      <c r="Q1109" s="905"/>
      <c r="R1109" s="1451"/>
      <c r="S1109" s="1451"/>
      <c r="T1109" s="904"/>
      <c r="U1109" s="1450"/>
    </row>
    <row r="1110" spans="1:21" ht="19.5" customHeight="1">
      <c r="A1110" s="864"/>
      <c r="B1110" s="894" t="str">
        <f>IF('BIS Doc'!AC527=130, "130 × 130", IF('BIS Doc'!AC527=160, "160 × 160", IF('BIS Doc'!AC527=110, "110 × 110", "Value not 130, 160, or 110")))</f>
        <v>Value not 130, 160, or 110</v>
      </c>
      <c r="C1110" s="895">
        <f>'BIS Doc'!W527</f>
        <v>0</v>
      </c>
      <c r="D1110" s="896"/>
      <c r="E1110" s="897">
        <f>'BIS Doc'!AE527</f>
        <v>0</v>
      </c>
      <c r="F1110" s="898">
        <f ca="1">'BIS Doc'!F527</f>
        <v>0</v>
      </c>
      <c r="G1110" s="899">
        <f ca="1">'BIS Doc'!J527</f>
        <v>0</v>
      </c>
      <c r="H1110" s="900">
        <f ca="1">'BIS Doc'!G527</f>
        <v>0.58097069719866046</v>
      </c>
      <c r="I1110" s="901">
        <f ca="1">'BIS Doc'!H527</f>
        <v>0</v>
      </c>
      <c r="J1110" s="901">
        <f ca="1">'BIS Doc'!I527</f>
        <v>0</v>
      </c>
      <c r="K1110" s="1451" t="str">
        <f t="shared" ca="1" si="32"/>
        <v>IS 14650 CPS 10748/GR2</v>
      </c>
      <c r="L1110" s="1451"/>
      <c r="M1110" s="1451"/>
      <c r="N1110" s="1451"/>
      <c r="O1110" s="1451"/>
      <c r="P1110" s="902"/>
      <c r="Q1110" s="905"/>
      <c r="R1110" s="1451"/>
      <c r="S1110" s="1451"/>
      <c r="T1110" s="904"/>
      <c r="U1110" s="1450"/>
    </row>
    <row r="1111" spans="1:21" ht="19.5" customHeight="1">
      <c r="A1111" s="864"/>
      <c r="B1111" s="894" t="str">
        <f>IF('BIS Doc'!AC529=130, "130 × 130", IF('BIS Doc'!AC529=160, "160 × 160", IF('BIS Doc'!AC529=110, "110 × 110", "Value not 130, 160, or 110")))</f>
        <v>Value not 130, 160, or 110</v>
      </c>
      <c r="C1111" s="895">
        <f>'BIS Doc'!W529</f>
        <v>0</v>
      </c>
      <c r="D1111" s="896"/>
      <c r="E1111" s="897">
        <f>'BIS Doc'!AE529</f>
        <v>0</v>
      </c>
      <c r="F1111" s="898">
        <f ca="1">'BIS Doc'!F529</f>
        <v>0</v>
      </c>
      <c r="G1111" s="899">
        <f ca="1">'BIS Doc'!J529</f>
        <v>0</v>
      </c>
      <c r="H1111" s="900">
        <f ca="1">'BIS Doc'!G529</f>
        <v>0.5246107336972532</v>
      </c>
      <c r="I1111" s="901">
        <f ca="1">'BIS Doc'!H529</f>
        <v>0</v>
      </c>
      <c r="J1111" s="901">
        <f ca="1">'BIS Doc'!I529</f>
        <v>0</v>
      </c>
      <c r="K1111" s="1451" t="str">
        <f t="shared" ca="1" si="32"/>
        <v>IS 14650 CPS 10748/GR2</v>
      </c>
      <c r="L1111" s="1451"/>
      <c r="M1111" s="1451"/>
      <c r="N1111" s="1451"/>
      <c r="O1111" s="1451"/>
      <c r="P1111" s="902"/>
      <c r="Q1111" s="903"/>
      <c r="R1111" s="1451"/>
      <c r="S1111" s="1451"/>
      <c r="T1111" s="904"/>
      <c r="U1111" s="1450"/>
    </row>
    <row r="1112" spans="1:21" ht="19.5" customHeight="1">
      <c r="A1112" s="864"/>
      <c r="B1112" s="904"/>
      <c r="C1112" s="895"/>
      <c r="D1112" s="896"/>
      <c r="E1112" s="897"/>
      <c r="F1112" s="906"/>
      <c r="G1112" s="907"/>
      <c r="H1112" s="908"/>
      <c r="I1112" s="909"/>
      <c r="J1112" s="909"/>
      <c r="K1112" s="1451"/>
      <c r="L1112" s="1451"/>
      <c r="M1112" s="1451"/>
      <c r="N1112" s="1451"/>
      <c r="O1112" s="1451"/>
      <c r="P1112" s="902"/>
      <c r="Q1112" s="903"/>
      <c r="R1112" s="1451"/>
      <c r="S1112" s="1451"/>
      <c r="T1112" s="904"/>
      <c r="U1112" s="1450"/>
    </row>
    <row r="1113" spans="1:21" ht="19.5" customHeight="1">
      <c r="A1113" s="864"/>
      <c r="B1113" s="904"/>
      <c r="C1113" s="895"/>
      <c r="D1113" s="896"/>
      <c r="E1113" s="897"/>
      <c r="F1113" s="906"/>
      <c r="G1113" s="907"/>
      <c r="H1113" s="908"/>
      <c r="I1113" s="909"/>
      <c r="J1113" s="909"/>
      <c r="K1113" s="1451"/>
      <c r="L1113" s="1451"/>
      <c r="M1113" s="1451"/>
      <c r="N1113" s="1451"/>
      <c r="O1113" s="1451"/>
      <c r="P1113" s="902"/>
      <c r="Q1113" s="905"/>
      <c r="R1113" s="1451"/>
      <c r="S1113" s="1451"/>
      <c r="T1113" s="904"/>
      <c r="U1113" s="1450"/>
    </row>
    <row r="1114" spans="1:21" ht="19.5" customHeight="1">
      <c r="A1114" s="864"/>
      <c r="B1114" s="910"/>
      <c r="C1114" s="911"/>
      <c r="D1114" s="896"/>
      <c r="E1114" s="897"/>
      <c r="F1114" s="906"/>
      <c r="G1114" s="907"/>
      <c r="H1114" s="908"/>
      <c r="I1114" s="909"/>
      <c r="J1114" s="909"/>
      <c r="K1114" s="1451"/>
      <c r="L1114" s="1451"/>
      <c r="M1114" s="1451"/>
      <c r="N1114" s="1451"/>
      <c r="O1114" s="1451"/>
      <c r="P1114" s="912"/>
      <c r="Q1114" s="913"/>
      <c r="R1114" s="1452"/>
      <c r="S1114" s="1452"/>
      <c r="T1114" s="910"/>
      <c r="U1114" s="1450"/>
    </row>
    <row r="1115" spans="1:21" ht="19.5" customHeight="1">
      <c r="A1115" s="914"/>
      <c r="B1115" s="915"/>
      <c r="C1115" s="916"/>
      <c r="D1115" s="917"/>
      <c r="E1115" s="918">
        <f>SUM(E1106:E1111)</f>
        <v>0</v>
      </c>
      <c r="F1115" s="919"/>
      <c r="G1115" s="920"/>
      <c r="H1115" s="921"/>
      <c r="I1115" s="922"/>
      <c r="J1115" s="922"/>
      <c r="K1115" s="1453"/>
      <c r="L1115" s="1453"/>
      <c r="M1115" s="1453"/>
      <c r="N1115" s="1453"/>
      <c r="O1115" s="1453"/>
      <c r="P1115" s="923"/>
      <c r="Q1115" s="924"/>
      <c r="R1115" s="1454"/>
      <c r="S1115" s="1454"/>
      <c r="T1115" s="915"/>
      <c r="U1115" s="1450"/>
    </row>
    <row r="1116" spans="1:21" ht="15.75" customHeight="1">
      <c r="A1116" s="864"/>
      <c r="B1116" s="773"/>
      <c r="C1116" s="773"/>
      <c r="D1116" s="925"/>
      <c r="E1116" s="926"/>
      <c r="F1116" s="927"/>
      <c r="G1116" s="928"/>
      <c r="H1116" s="259"/>
      <c r="I1116" s="259"/>
      <c r="J1116" s="928"/>
      <c r="K1116" s="929"/>
      <c r="L1116" s="929"/>
      <c r="M1116" s="929"/>
      <c r="N1116" s="929"/>
      <c r="O1116" s="928"/>
      <c r="P1116" s="930"/>
      <c r="Q1116" s="931"/>
      <c r="R1116" s="931"/>
      <c r="U1116" s="932"/>
    </row>
    <row r="1117" spans="1:21" ht="18.75" customHeight="1">
      <c r="A1117" s="864"/>
      <c r="B1117" s="773"/>
      <c r="C1117" s="773"/>
      <c r="D1117" s="773"/>
      <c r="E1117" s="773"/>
      <c r="F1117" s="773"/>
      <c r="G1117" s="773"/>
      <c r="H1117" s="773"/>
      <c r="I1117" s="773"/>
      <c r="J1117" s="773"/>
      <c r="K1117" s="773"/>
      <c r="P1117" s="1446" t="s">
        <v>804</v>
      </c>
      <c r="Q1117" s="1446"/>
      <c r="R1117" s="1446"/>
      <c r="S1117" s="1446"/>
      <c r="T1117" s="1446"/>
      <c r="U1117" s="1446"/>
    </row>
    <row r="1118" spans="1:21" ht="18.75" customHeight="1">
      <c r="A1118" s="1447" t="s">
        <v>805</v>
      </c>
      <c r="B1118" s="1447"/>
      <c r="C1118" s="933"/>
      <c r="D1118" s="933"/>
      <c r="E1118" s="933"/>
      <c r="F1118" s="933"/>
      <c r="P1118" s="855"/>
      <c r="Q1118" s="855"/>
      <c r="R1118" s="855"/>
      <c r="S1118" s="855"/>
      <c r="T1118" s="855"/>
      <c r="U1118" s="934"/>
    </row>
    <row r="1119" spans="1:21" ht="18.75" customHeight="1">
      <c r="A1119" s="854"/>
      <c r="B1119" s="855"/>
      <c r="P1119" s="855"/>
      <c r="Q1119" s="855"/>
      <c r="R1119" s="855"/>
      <c r="S1119" s="855"/>
      <c r="T1119" s="855"/>
      <c r="U1119" s="934"/>
    </row>
    <row r="1120" spans="1:21" ht="18.75" customHeight="1">
      <c r="A1120" s="854" t="s">
        <v>806</v>
      </c>
      <c r="B1120" s="855"/>
      <c r="C1120" s="867"/>
      <c r="D1120" s="941"/>
      <c r="E1120" s="933"/>
      <c r="F1120" s="933"/>
      <c r="P1120" s="855"/>
      <c r="Q1120" s="855"/>
      <c r="R1120" s="855"/>
      <c r="S1120" s="855"/>
      <c r="T1120" s="855"/>
      <c r="U1120" s="934"/>
    </row>
    <row r="1121" spans="1:21" ht="18.75" customHeight="1">
      <c r="A1121" s="854"/>
      <c r="B1121" s="855"/>
      <c r="C1121" s="937"/>
      <c r="P1121" s="855"/>
      <c r="Q1121" s="855"/>
      <c r="R1121" s="855"/>
      <c r="S1121" s="855"/>
      <c r="T1121" s="855"/>
      <c r="U1121" s="934"/>
    </row>
    <row r="1122" spans="1:21" ht="19.5" customHeight="1">
      <c r="A1122" s="938"/>
      <c r="B1122" s="939"/>
      <c r="C1122" s="940"/>
      <c r="D1122" s="453"/>
      <c r="E1122" s="453"/>
      <c r="F1122" s="453"/>
      <c r="G1122" s="453"/>
      <c r="H1122" s="453"/>
      <c r="I1122" s="453"/>
      <c r="J1122" s="453"/>
      <c r="K1122" s="453"/>
      <c r="L1122" s="453"/>
      <c r="M1122" s="453"/>
      <c r="N1122" s="453"/>
      <c r="O1122" s="453"/>
      <c r="P1122" s="1448" t="s">
        <v>807</v>
      </c>
      <c r="Q1122" s="1448"/>
      <c r="R1122" s="1448"/>
      <c r="S1122" s="1448"/>
      <c r="T1122" s="1448"/>
      <c r="U1122" s="1448"/>
    </row>
    <row r="1123" spans="1:21" ht="45.75" customHeight="1">
      <c r="A1123" s="1455"/>
      <c r="B1123" s="1455"/>
      <c r="C1123" s="1455"/>
      <c r="D1123" s="847"/>
      <c r="E1123" s="1456" t="s">
        <v>774</v>
      </c>
      <c r="F1123" s="1456"/>
      <c r="G1123" s="1456"/>
      <c r="H1123" s="1456"/>
      <c r="I1123" s="1456"/>
      <c r="J1123" s="1456"/>
      <c r="K1123" s="1456"/>
      <c r="L1123" s="1456"/>
      <c r="M1123" s="1456"/>
      <c r="N1123" s="1456"/>
      <c r="O1123" s="1456"/>
      <c r="P1123" s="1456"/>
      <c r="Q1123" s="1456"/>
      <c r="R1123" s="1456"/>
      <c r="S1123" s="848"/>
      <c r="T1123" s="1457" t="s">
        <v>775</v>
      </c>
      <c r="U1123" s="1457"/>
    </row>
    <row r="1124" spans="1:21" ht="18.75" customHeight="1">
      <c r="A1124" s="849"/>
      <c r="E1124" s="1458" t="s">
        <v>776</v>
      </c>
      <c r="F1124" s="1458"/>
      <c r="G1124" s="1458"/>
      <c r="H1124" s="1458"/>
      <c r="I1124" s="1458"/>
      <c r="J1124" s="1458"/>
      <c r="K1124" s="1458"/>
      <c r="L1124" s="1458"/>
      <c r="M1124" s="1458"/>
      <c r="N1124" s="1458"/>
      <c r="O1124" s="1458"/>
      <c r="P1124" s="1458"/>
      <c r="Q1124" s="1458"/>
      <c r="R1124" s="1458"/>
      <c r="U1124" s="456"/>
    </row>
    <row r="1125" spans="1:21" ht="18.75" customHeight="1">
      <c r="A1125" s="850"/>
      <c r="F1125" s="587"/>
      <c r="G1125" s="587"/>
      <c r="H1125" s="587"/>
      <c r="I1125" s="587"/>
      <c r="J1125" s="587"/>
      <c r="K1125" s="587"/>
      <c r="L1125" s="587"/>
      <c r="M1125" s="851"/>
      <c r="N1125" s="852"/>
      <c r="O1125" s="851"/>
      <c r="P1125" s="1459" t="s">
        <v>777</v>
      </c>
      <c r="Q1125" s="1459"/>
      <c r="R1125" s="1459"/>
      <c r="S1125" s="1459"/>
      <c r="T1125" s="1459"/>
      <c r="U1125" s="1459"/>
    </row>
    <row r="1126" spans="1:21" ht="15" customHeight="1">
      <c r="A1126" s="849"/>
      <c r="E1126" s="1287" t="s">
        <v>778</v>
      </c>
      <c r="F1126" s="1287"/>
      <c r="G1126" s="1287"/>
      <c r="H1126" s="1287"/>
      <c r="I1126" s="1287"/>
      <c r="J1126" s="1287"/>
      <c r="K1126" s="1287"/>
      <c r="L1126" s="1287"/>
      <c r="M1126" s="1287"/>
      <c r="N1126" s="1287"/>
      <c r="O1126" s="1287"/>
      <c r="P1126" s="1287"/>
      <c r="Q1126" s="1287"/>
      <c r="R1126" s="1287"/>
      <c r="U1126" s="456"/>
    </row>
    <row r="1127" spans="1:21" ht="18.75" customHeight="1">
      <c r="A1127" s="849"/>
      <c r="E1127" s="1286" t="s">
        <v>779</v>
      </c>
      <c r="F1127" s="1286"/>
      <c r="G1127" s="1286"/>
      <c r="H1127" s="1286"/>
      <c r="I1127" s="1286"/>
      <c r="J1127" s="1286"/>
      <c r="K1127" s="1286"/>
      <c r="L1127" s="1286"/>
      <c r="M1127" s="1286"/>
      <c r="N1127" s="1286"/>
      <c r="O1127" s="1286"/>
      <c r="P1127" s="1286"/>
      <c r="Q1127" s="1286"/>
      <c r="R1127" s="1286"/>
      <c r="U1127" s="853"/>
    </row>
    <row r="1128" spans="1:21" ht="23.25" customHeight="1">
      <c r="A1128" s="854" t="s">
        <v>780</v>
      </c>
      <c r="B1128" s="855"/>
      <c r="C1128" s="855"/>
      <c r="D1128" s="856" t="s">
        <v>857</v>
      </c>
      <c r="E1128" s="857"/>
      <c r="F1128" s="858"/>
      <c r="G1128" s="859"/>
      <c r="H1128" s="859"/>
      <c r="I1128" s="859"/>
      <c r="J1128" s="859"/>
      <c r="K1128" s="859"/>
      <c r="L1128" s="860"/>
      <c r="M1128" s="1460"/>
      <c r="N1128" s="1460"/>
      <c r="O1128" s="1460"/>
      <c r="P1128" s="1461" t="s">
        <v>781</v>
      </c>
      <c r="Q1128" s="1461"/>
      <c r="R1128" s="1461"/>
      <c r="S1128" s="855"/>
      <c r="T1128" s="861">
        <v>46312</v>
      </c>
      <c r="U1128" s="456"/>
    </row>
    <row r="1129" spans="1:21" ht="23.25" customHeight="1">
      <c r="A1129" s="854"/>
      <c r="B1129" s="862"/>
      <c r="C1129" s="862"/>
      <c r="D1129" s="862"/>
      <c r="E1129" s="163"/>
      <c r="F1129" s="863"/>
      <c r="G1129" s="863"/>
      <c r="H1129" s="863"/>
      <c r="I1129" s="863"/>
      <c r="J1129" s="863"/>
      <c r="K1129" s="863"/>
      <c r="U1129" s="456"/>
    </row>
    <row r="1130" spans="1:21" ht="21" customHeight="1">
      <c r="A1130" s="864" t="s">
        <v>782</v>
      </c>
      <c r="B1130" s="865"/>
      <c r="C1130" s="866"/>
      <c r="D1130" s="867"/>
      <c r="E1130" s="868"/>
      <c r="F1130" s="869"/>
      <c r="G1130" s="869"/>
      <c r="H1130" s="869"/>
      <c r="I1130" s="870"/>
      <c r="J1130" s="870"/>
      <c r="P1130" s="1462"/>
      <c r="Q1130" s="1462"/>
      <c r="R1130" s="1462"/>
      <c r="S1130" s="1462"/>
      <c r="T1130" s="871"/>
      <c r="U1130" s="456"/>
    </row>
    <row r="1131" spans="1:21" ht="21" customHeight="1">
      <c r="A1131" s="872"/>
      <c r="B1131" s="873"/>
      <c r="C1131" s="869"/>
      <c r="D1131" s="869"/>
      <c r="E1131" s="869"/>
      <c r="F1131" s="869"/>
      <c r="G1131" s="869"/>
      <c r="H1131" s="869"/>
      <c r="I1131" s="870"/>
      <c r="J1131" s="870"/>
      <c r="U1131" s="456"/>
    </row>
    <row r="1132" spans="1:21" ht="15" customHeight="1">
      <c r="A1132" s="1463" t="s">
        <v>783</v>
      </c>
      <c r="B1132" s="1463"/>
      <c r="C1132" s="1463"/>
      <c r="D1132" s="1463"/>
      <c r="E1132" s="1463"/>
      <c r="F1132" s="1463"/>
      <c r="G1132" s="1463"/>
      <c r="H1132" s="1463"/>
      <c r="I1132" s="1463"/>
      <c r="J1132" s="1463"/>
      <c r="K1132" s="1463"/>
      <c r="L1132" s="1463"/>
      <c r="M1132" s="1463"/>
      <c r="N1132" s="1463"/>
      <c r="O1132" s="1463"/>
      <c r="P1132" s="1463"/>
      <c r="Q1132" s="1463"/>
      <c r="R1132" s="1463"/>
      <c r="S1132" s="1463"/>
      <c r="T1132" s="1463"/>
      <c r="U1132" s="1463"/>
    </row>
    <row r="1133" spans="1:21" ht="15" customHeight="1">
      <c r="A1133" s="1463"/>
      <c r="B1133" s="1463"/>
      <c r="C1133" s="1463"/>
      <c r="D1133" s="1463"/>
      <c r="E1133" s="1463"/>
      <c r="F1133" s="1463"/>
      <c r="G1133" s="1463"/>
      <c r="H1133" s="1463"/>
      <c r="I1133" s="1463"/>
      <c r="J1133" s="1463"/>
      <c r="K1133" s="1463"/>
      <c r="L1133" s="1463"/>
      <c r="M1133" s="1463"/>
      <c r="N1133" s="1463"/>
      <c r="O1133" s="1463"/>
      <c r="P1133" s="1463"/>
      <c r="Q1133" s="1463"/>
      <c r="R1133" s="1463"/>
      <c r="S1133" s="1463"/>
      <c r="T1133" s="1463"/>
      <c r="U1133" s="1463"/>
    </row>
    <row r="1134" spans="1:21" ht="18" customHeight="1">
      <c r="A1134" s="1464" t="s">
        <v>784</v>
      </c>
      <c r="B1134" s="1464"/>
      <c r="C1134" s="1464"/>
      <c r="D1134" s="1464"/>
      <c r="E1134" s="1464"/>
      <c r="F1134" s="1464"/>
      <c r="G1134" s="1464"/>
      <c r="H1134" s="1464"/>
      <c r="I1134" s="1464"/>
      <c r="J1134" s="1464"/>
      <c r="K1134" s="1464"/>
      <c r="L1134" s="1464"/>
      <c r="M1134" s="1464"/>
      <c r="N1134" s="1464"/>
      <c r="O1134" s="1464"/>
      <c r="P1134" s="1464"/>
      <c r="Q1134" s="1464"/>
      <c r="R1134" s="1464"/>
      <c r="S1134" s="1464"/>
      <c r="T1134" s="1464"/>
      <c r="U1134" s="1464"/>
    </row>
    <row r="1135" spans="1:21" ht="23.25" customHeight="1">
      <c r="A1135" s="1465" t="s">
        <v>785</v>
      </c>
      <c r="B1135" s="1465"/>
      <c r="C1135" s="1465"/>
      <c r="D1135" s="1465"/>
      <c r="E1135" s="1465"/>
      <c r="F1135" s="1465"/>
      <c r="G1135" s="1465"/>
      <c r="H1135" s="1465"/>
      <c r="I1135" s="1465"/>
      <c r="J1135" s="1465"/>
      <c r="K1135" s="1465"/>
      <c r="L1135" s="1465"/>
      <c r="M1135" s="1465"/>
      <c r="N1135" s="1465"/>
      <c r="O1135" s="1465"/>
      <c r="P1135" s="1465"/>
      <c r="Q1135" s="1465"/>
      <c r="R1135" s="1465"/>
      <c r="S1135" s="1465"/>
      <c r="T1135" s="1465"/>
      <c r="U1135" s="1465"/>
    </row>
    <row r="1136" spans="1:21" ht="21.75" customHeight="1">
      <c r="A1136" s="874"/>
      <c r="B1136" s="875"/>
      <c r="C1136" s="875"/>
      <c r="D1136" s="875"/>
      <c r="E1136" s="875"/>
      <c r="F1136" s="875"/>
      <c r="G1136" s="875"/>
      <c r="H1136" s="875"/>
      <c r="I1136" s="875"/>
      <c r="J1136" s="875"/>
      <c r="K1136" s="875"/>
      <c r="L1136" s="875"/>
      <c r="M1136" s="875"/>
      <c r="N1136" s="875"/>
      <c r="O1136" s="875"/>
      <c r="P1136" s="875"/>
      <c r="Q1136" s="875"/>
      <c r="R1136" s="875"/>
      <c r="S1136" s="875"/>
      <c r="T1136" s="875"/>
      <c r="U1136" s="876"/>
    </row>
    <row r="1137" spans="1:21" ht="15" customHeight="1">
      <c r="A1137" s="1466" t="s">
        <v>786</v>
      </c>
      <c r="B1137" s="1467" t="s">
        <v>787</v>
      </c>
      <c r="C1137" s="1468" t="s">
        <v>788</v>
      </c>
      <c r="D1137" s="1468" t="s">
        <v>789</v>
      </c>
      <c r="E1137" s="1469" t="s">
        <v>790</v>
      </c>
      <c r="F1137" s="1468" t="s">
        <v>791</v>
      </c>
      <c r="G1137" s="1468"/>
      <c r="H1137" s="1468"/>
      <c r="I1137" s="1468"/>
      <c r="J1137" s="1468"/>
      <c r="K1137" s="1468"/>
      <c r="L1137" s="1468"/>
      <c r="M1137" s="1468"/>
      <c r="N1137" s="1468"/>
      <c r="O1137" s="1468"/>
      <c r="P1137" s="1470"/>
      <c r="Q1137" s="1470"/>
      <c r="R1137" s="1470"/>
      <c r="S1137" s="1470"/>
      <c r="T1137" s="1470"/>
      <c r="U1137" s="1470"/>
    </row>
    <row r="1138" spans="1:21" ht="15.75" customHeight="1">
      <c r="A1138" s="1466"/>
      <c r="B1138" s="1467"/>
      <c r="C1138" s="1468"/>
      <c r="D1138" s="1468"/>
      <c r="E1138" s="1469"/>
      <c r="F1138" s="1468"/>
      <c r="G1138" s="1468"/>
      <c r="H1138" s="1468"/>
      <c r="I1138" s="1468"/>
      <c r="J1138" s="1468"/>
      <c r="K1138" s="1468"/>
      <c r="L1138" s="1468"/>
      <c r="M1138" s="1468"/>
      <c r="N1138" s="1468"/>
      <c r="O1138" s="1468"/>
      <c r="P1138" s="1470"/>
      <c r="Q1138" s="1470"/>
      <c r="R1138" s="1470"/>
      <c r="S1138" s="1470"/>
      <c r="T1138" s="1470"/>
      <c r="U1138" s="1470"/>
    </row>
    <row r="1139" spans="1:21" ht="48" customHeight="1">
      <c r="A1139" s="1466"/>
      <c r="B1139" s="1467"/>
      <c r="C1139" s="1468"/>
      <c r="D1139" s="1468"/>
      <c r="E1139" s="1469"/>
      <c r="F1139" s="878" t="s">
        <v>792</v>
      </c>
      <c r="G1139" s="877" t="s">
        <v>793</v>
      </c>
      <c r="H1139" s="878" t="s">
        <v>794</v>
      </c>
      <c r="I1139" s="879" t="s">
        <v>795</v>
      </c>
      <c r="J1139" s="880" t="s">
        <v>796</v>
      </c>
      <c r="K1139" s="1468" t="s">
        <v>797</v>
      </c>
      <c r="L1139" s="1468"/>
      <c r="M1139" s="1468"/>
      <c r="N1139" s="1468"/>
      <c r="O1139" s="1468"/>
      <c r="P1139" s="881" t="s">
        <v>798</v>
      </c>
      <c r="Q1139" s="882" t="s">
        <v>799</v>
      </c>
      <c r="R1139" s="1469" t="s">
        <v>800</v>
      </c>
      <c r="S1139" s="1469"/>
      <c r="T1139" s="877" t="s">
        <v>801</v>
      </c>
      <c r="U1139" s="879" t="s">
        <v>104</v>
      </c>
    </row>
    <row r="1140" spans="1:21" ht="19.5" customHeight="1">
      <c r="A1140" s="883"/>
      <c r="B1140" s="884" t="str">
        <f>IF('BIS Doc'!AC531=130, "130 × 130", IF('BIS Doc'!AC531=160, "160 × 160", IF('BIS Doc'!AC531=110, "110 × 110", "Value not 130, 160, or 110")))</f>
        <v>Value not 130, 160, or 110</v>
      </c>
      <c r="C1140" s="885">
        <f>'BIS Doc'!W531</f>
        <v>0</v>
      </c>
      <c r="D1140" s="886"/>
      <c r="E1140" s="887">
        <f>'BIS Doc'!AE531</f>
        <v>0</v>
      </c>
      <c r="F1140" s="888">
        <f ca="1">'BIS Doc'!F531</f>
        <v>0</v>
      </c>
      <c r="G1140" s="888">
        <f ca="1">'BIS Doc'!J531</f>
        <v>0</v>
      </c>
      <c r="H1140" s="888">
        <f ca="1">'BIS Doc'!G531</f>
        <v>0.50395055208134187</v>
      </c>
      <c r="I1140" s="889">
        <f ca="1">'BIS Doc'!H531</f>
        <v>0</v>
      </c>
      <c r="J1140" s="889">
        <f ca="1">'BIS Doc'!I531</f>
        <v>0</v>
      </c>
      <c r="K1140" s="1449" t="str">
        <f t="shared" ref="K1140:K1145" ca="1" si="33">IF(H1140&lt;0.6, "IS 14650 CPS 10748/GR2", "IS 14650 CPS 10748/GR3")</f>
        <v>IS 14650 CPS 10748/GR2</v>
      </c>
      <c r="L1140" s="1449"/>
      <c r="M1140" s="1449"/>
      <c r="N1140" s="1449"/>
      <c r="O1140" s="1449"/>
      <c r="P1140" s="890"/>
      <c r="Q1140" s="891"/>
      <c r="R1140" s="1449"/>
      <c r="S1140" s="1449"/>
      <c r="T1140" s="892"/>
      <c r="U1140" s="1450" t="s">
        <v>802</v>
      </c>
    </row>
    <row r="1141" spans="1:21" ht="19.5" customHeight="1">
      <c r="A1141" s="893"/>
      <c r="B1141" s="894" t="str">
        <f>IF('BIS Doc'!AC533=130, "130 × 130", IF('BIS Doc'!AC533=160, "160 × 160", IF('BIS Doc'!AC533=110, "110 × 110", "Value not 130, 160, or 110")))</f>
        <v>Value not 130, 160, or 110</v>
      </c>
      <c r="C1141" s="895">
        <f>'BIS Doc'!W533</f>
        <v>0</v>
      </c>
      <c r="D1141" s="896"/>
      <c r="E1141" s="897">
        <f>'BIS Doc'!AE533</f>
        <v>0</v>
      </c>
      <c r="F1141" s="898">
        <f ca="1">'BIS Doc'!F533</f>
        <v>0</v>
      </c>
      <c r="G1141" s="899">
        <f ca="1">'BIS Doc'!J533</f>
        <v>0</v>
      </c>
      <c r="H1141" s="900">
        <f ca="1">'BIS Doc'!G533</f>
        <v>0.56343542866191054</v>
      </c>
      <c r="I1141" s="901">
        <f ca="1">'BIS Doc'!H533</f>
        <v>0</v>
      </c>
      <c r="J1141" s="901">
        <f ca="1">'BIS Doc'!I533</f>
        <v>0</v>
      </c>
      <c r="K1141" s="1451" t="str">
        <f t="shared" ca="1" si="33"/>
        <v>IS 14650 CPS 10748/GR2</v>
      </c>
      <c r="L1141" s="1451"/>
      <c r="M1141" s="1451"/>
      <c r="N1141" s="1451"/>
      <c r="O1141" s="1451"/>
      <c r="P1141" s="902"/>
      <c r="Q1141" s="903"/>
      <c r="R1141" s="1451"/>
      <c r="S1141" s="1451"/>
      <c r="T1141" s="904"/>
      <c r="U1141" s="1450"/>
    </row>
    <row r="1142" spans="1:21" ht="19.5" customHeight="1">
      <c r="A1142" s="864"/>
      <c r="B1142" s="894" t="str">
        <f>IF('BIS Doc'!AC535=130, "130 × 130", IF('BIS Doc'!AC535=160, "160 × 160", IF('BIS Doc'!AC535=110, "110 × 110", "Value not 130, 160, or 110")))</f>
        <v>Value not 130, 160, or 110</v>
      </c>
      <c r="C1142" s="895">
        <f>'BIS Doc'!W535</f>
        <v>0</v>
      </c>
      <c r="D1142" s="896" t="s">
        <v>803</v>
      </c>
      <c r="E1142" s="897">
        <f>'BIS Doc'!AE535</f>
        <v>0</v>
      </c>
      <c r="F1142" s="898">
        <f ca="1">'BIS Doc'!F535</f>
        <v>0</v>
      </c>
      <c r="G1142" s="899">
        <f ca="1">'BIS Doc'!J535</f>
        <v>0</v>
      </c>
      <c r="H1142" s="900">
        <f ca="1">'BIS Doc'!G535</f>
        <v>0.56087776249731003</v>
      </c>
      <c r="I1142" s="901">
        <f ca="1">'BIS Doc'!H535</f>
        <v>0</v>
      </c>
      <c r="J1142" s="901">
        <f ca="1">'BIS Doc'!I535</f>
        <v>0</v>
      </c>
      <c r="K1142" s="1451" t="str">
        <f t="shared" ca="1" si="33"/>
        <v>IS 14650 CPS 10748/GR2</v>
      </c>
      <c r="L1142" s="1451"/>
      <c r="M1142" s="1451"/>
      <c r="N1142" s="1451"/>
      <c r="O1142" s="1451"/>
      <c r="P1142" s="902"/>
      <c r="Q1142" s="905"/>
      <c r="R1142" s="1451"/>
      <c r="S1142" s="1451"/>
      <c r="T1142" s="904"/>
      <c r="U1142" s="1450"/>
    </row>
    <row r="1143" spans="1:21" ht="19.5" customHeight="1">
      <c r="A1143" s="864"/>
      <c r="B1143" s="894" t="str">
        <f>IF('BIS Doc'!AC537=130, "130 × 130", IF('BIS Doc'!AC537=160, "160 × 160", IF('BIS Doc'!AC537=110, "110 × 110", "Value not 130, 160, or 110")))</f>
        <v>Value not 130, 160, or 110</v>
      </c>
      <c r="C1143" s="895">
        <f>'BIS Doc'!W537</f>
        <v>0</v>
      </c>
      <c r="D1143" s="896"/>
      <c r="E1143" s="897">
        <f>'BIS Doc'!AE537</f>
        <v>0</v>
      </c>
      <c r="F1143" s="898">
        <f ca="1">'BIS Doc'!F537</f>
        <v>0</v>
      </c>
      <c r="G1143" s="899">
        <f ca="1">'BIS Doc'!J537</f>
        <v>0</v>
      </c>
      <c r="H1143" s="900">
        <f ca="1">'BIS Doc'!G537</f>
        <v>0.57421081426141141</v>
      </c>
      <c r="I1143" s="901">
        <f ca="1">'BIS Doc'!H537</f>
        <v>0</v>
      </c>
      <c r="J1143" s="901">
        <f ca="1">'BIS Doc'!I537</f>
        <v>0</v>
      </c>
      <c r="K1143" s="1451" t="str">
        <f t="shared" ca="1" si="33"/>
        <v>IS 14650 CPS 10748/GR2</v>
      </c>
      <c r="L1143" s="1451"/>
      <c r="M1143" s="1451"/>
      <c r="N1143" s="1451"/>
      <c r="O1143" s="1451"/>
      <c r="P1143" s="902"/>
      <c r="Q1143" s="905"/>
      <c r="R1143" s="1451"/>
      <c r="S1143" s="1451"/>
      <c r="T1143" s="904"/>
      <c r="U1143" s="1450"/>
    </row>
    <row r="1144" spans="1:21" ht="19.5" customHeight="1">
      <c r="A1144" s="864"/>
      <c r="B1144" s="894" t="str">
        <f>IF('BIS Doc'!AC539=130, "130 × 130", IF('BIS Doc'!AC539=160, "160 × 160", IF('BIS Doc'!AC539=110, "110 × 110", "Value not 130, 160, or 110")))</f>
        <v>Value not 130, 160, or 110</v>
      </c>
      <c r="C1144" s="895">
        <f>'BIS Doc'!W539</f>
        <v>0</v>
      </c>
      <c r="D1144" s="896"/>
      <c r="E1144" s="897">
        <f>'BIS Doc'!AE539</f>
        <v>0</v>
      </c>
      <c r="F1144" s="898">
        <f ca="1">'BIS Doc'!F539</f>
        <v>0</v>
      </c>
      <c r="G1144" s="899">
        <f ca="1">'BIS Doc'!J539</f>
        <v>0</v>
      </c>
      <c r="H1144" s="900">
        <f ca="1">'BIS Doc'!G539</f>
        <v>0.52885607517278654</v>
      </c>
      <c r="I1144" s="901">
        <f ca="1">'BIS Doc'!H539</f>
        <v>0</v>
      </c>
      <c r="J1144" s="901">
        <f ca="1">'BIS Doc'!I539</f>
        <v>0</v>
      </c>
      <c r="K1144" s="1451" t="str">
        <f t="shared" ca="1" si="33"/>
        <v>IS 14650 CPS 10748/GR2</v>
      </c>
      <c r="L1144" s="1451"/>
      <c r="M1144" s="1451"/>
      <c r="N1144" s="1451"/>
      <c r="O1144" s="1451"/>
      <c r="P1144" s="902"/>
      <c r="Q1144" s="905"/>
      <c r="R1144" s="1451"/>
      <c r="S1144" s="1451"/>
      <c r="T1144" s="904"/>
      <c r="U1144" s="1450"/>
    </row>
    <row r="1145" spans="1:21" ht="19.5" customHeight="1">
      <c r="A1145" s="864"/>
      <c r="B1145" s="894" t="str">
        <f>IF('BIS Doc'!AC541=130, "130 × 130", IF('BIS Doc'!AC541=160, "160 × 160", IF('BIS Doc'!AC541=110, "110 × 110", "Value not 130, 160, or 110")))</f>
        <v>Value not 130, 160, or 110</v>
      </c>
      <c r="C1145" s="895">
        <f>'BIS Doc'!W541</f>
        <v>0</v>
      </c>
      <c r="D1145" s="896"/>
      <c r="E1145" s="897">
        <f>'BIS Doc'!AE541</f>
        <v>0</v>
      </c>
      <c r="F1145" s="898">
        <f ca="1">'BIS Doc'!F541</f>
        <v>0</v>
      </c>
      <c r="G1145" s="899">
        <f ca="1">'BIS Doc'!J541</f>
        <v>0</v>
      </c>
      <c r="H1145" s="900">
        <f ca="1">'BIS Doc'!G541</f>
        <v>0.56389668472951704</v>
      </c>
      <c r="I1145" s="901">
        <f ca="1">'BIS Doc'!H541</f>
        <v>0</v>
      </c>
      <c r="J1145" s="901">
        <f ca="1">'BIS Doc'!I541</f>
        <v>0</v>
      </c>
      <c r="K1145" s="1451" t="str">
        <f t="shared" ca="1" si="33"/>
        <v>IS 14650 CPS 10748/GR2</v>
      </c>
      <c r="L1145" s="1451"/>
      <c r="M1145" s="1451"/>
      <c r="N1145" s="1451"/>
      <c r="O1145" s="1451"/>
      <c r="P1145" s="902"/>
      <c r="Q1145" s="903"/>
      <c r="R1145" s="1451"/>
      <c r="S1145" s="1451"/>
      <c r="T1145" s="904"/>
      <c r="U1145" s="1450"/>
    </row>
    <row r="1146" spans="1:21" ht="19.5" customHeight="1">
      <c r="A1146" s="864"/>
      <c r="B1146" s="904"/>
      <c r="C1146" s="895"/>
      <c r="D1146" s="896"/>
      <c r="E1146" s="897"/>
      <c r="F1146" s="906"/>
      <c r="G1146" s="907"/>
      <c r="H1146" s="908"/>
      <c r="I1146" s="909"/>
      <c r="J1146" s="909"/>
      <c r="K1146" s="1451"/>
      <c r="L1146" s="1451"/>
      <c r="M1146" s="1451"/>
      <c r="N1146" s="1451"/>
      <c r="O1146" s="1451"/>
      <c r="P1146" s="902"/>
      <c r="Q1146" s="903"/>
      <c r="R1146" s="1451"/>
      <c r="S1146" s="1451"/>
      <c r="T1146" s="904"/>
      <c r="U1146" s="1450"/>
    </row>
    <row r="1147" spans="1:21" ht="19.5" customHeight="1">
      <c r="A1147" s="864"/>
      <c r="B1147" s="904"/>
      <c r="C1147" s="895"/>
      <c r="D1147" s="896"/>
      <c r="E1147" s="897"/>
      <c r="F1147" s="906"/>
      <c r="G1147" s="907"/>
      <c r="H1147" s="908"/>
      <c r="I1147" s="909"/>
      <c r="J1147" s="909"/>
      <c r="K1147" s="1451"/>
      <c r="L1147" s="1451"/>
      <c r="M1147" s="1451"/>
      <c r="N1147" s="1451"/>
      <c r="O1147" s="1451"/>
      <c r="P1147" s="902"/>
      <c r="Q1147" s="905"/>
      <c r="R1147" s="1451"/>
      <c r="S1147" s="1451"/>
      <c r="T1147" s="904"/>
      <c r="U1147" s="1450"/>
    </row>
    <row r="1148" spans="1:21" ht="19.5" customHeight="1">
      <c r="A1148" s="864"/>
      <c r="B1148" s="910"/>
      <c r="C1148" s="911"/>
      <c r="D1148" s="896"/>
      <c r="E1148" s="897"/>
      <c r="F1148" s="906"/>
      <c r="G1148" s="907"/>
      <c r="H1148" s="908"/>
      <c r="I1148" s="909"/>
      <c r="J1148" s="909"/>
      <c r="K1148" s="1451"/>
      <c r="L1148" s="1451"/>
      <c r="M1148" s="1451"/>
      <c r="N1148" s="1451"/>
      <c r="O1148" s="1451"/>
      <c r="P1148" s="912"/>
      <c r="Q1148" s="913"/>
      <c r="R1148" s="1452"/>
      <c r="S1148" s="1452"/>
      <c r="T1148" s="910"/>
      <c r="U1148" s="1450"/>
    </row>
    <row r="1149" spans="1:21" ht="19.5" customHeight="1">
      <c r="A1149" s="914"/>
      <c r="B1149" s="915"/>
      <c r="C1149" s="916"/>
      <c r="D1149" s="917"/>
      <c r="E1149" s="918">
        <f>SUM(E1140:E1145)</f>
        <v>0</v>
      </c>
      <c r="F1149" s="919"/>
      <c r="G1149" s="920"/>
      <c r="H1149" s="921"/>
      <c r="I1149" s="922"/>
      <c r="J1149" s="922"/>
      <c r="K1149" s="1453"/>
      <c r="L1149" s="1453"/>
      <c r="M1149" s="1453"/>
      <c r="N1149" s="1453"/>
      <c r="O1149" s="1453"/>
      <c r="P1149" s="923"/>
      <c r="Q1149" s="924"/>
      <c r="R1149" s="1454"/>
      <c r="S1149" s="1454"/>
      <c r="T1149" s="915"/>
      <c r="U1149" s="1450"/>
    </row>
    <row r="1150" spans="1:21" ht="15.75" customHeight="1">
      <c r="A1150" s="864"/>
      <c r="B1150" s="773"/>
      <c r="C1150" s="773"/>
      <c r="D1150" s="925"/>
      <c r="E1150" s="926"/>
      <c r="F1150" s="927"/>
      <c r="G1150" s="928"/>
      <c r="H1150" s="259"/>
      <c r="I1150" s="259"/>
      <c r="J1150" s="928"/>
      <c r="K1150" s="929"/>
      <c r="L1150" s="929"/>
      <c r="M1150" s="929"/>
      <c r="N1150" s="929"/>
      <c r="O1150" s="928"/>
      <c r="P1150" s="930"/>
      <c r="Q1150" s="931"/>
      <c r="R1150" s="931"/>
      <c r="U1150" s="932"/>
    </row>
    <row r="1151" spans="1:21" ht="18.75" customHeight="1">
      <c r="A1151" s="864"/>
      <c r="B1151" s="773"/>
      <c r="C1151" s="773"/>
      <c r="D1151" s="773"/>
      <c r="E1151" s="773"/>
      <c r="F1151" s="773"/>
      <c r="G1151" s="773"/>
      <c r="H1151" s="773"/>
      <c r="I1151" s="773"/>
      <c r="J1151" s="773"/>
      <c r="K1151" s="773"/>
      <c r="P1151" s="1446" t="s">
        <v>804</v>
      </c>
      <c r="Q1151" s="1446"/>
      <c r="R1151" s="1446"/>
      <c r="S1151" s="1446"/>
      <c r="T1151" s="1446"/>
      <c r="U1151" s="1446"/>
    </row>
    <row r="1152" spans="1:21" ht="18.75" customHeight="1">
      <c r="A1152" s="1447" t="s">
        <v>805</v>
      </c>
      <c r="B1152" s="1447"/>
      <c r="C1152" s="933"/>
      <c r="D1152" s="933"/>
      <c r="E1152" s="933"/>
      <c r="F1152" s="933"/>
      <c r="P1152" s="855"/>
      <c r="Q1152" s="855"/>
      <c r="R1152" s="855"/>
      <c r="S1152" s="855"/>
      <c r="T1152" s="855"/>
      <c r="U1152" s="934"/>
    </row>
    <row r="1153" spans="1:21" ht="18.75" customHeight="1">
      <c r="A1153" s="854"/>
      <c r="B1153" s="855"/>
      <c r="P1153" s="855"/>
      <c r="Q1153" s="855"/>
      <c r="R1153" s="855"/>
      <c r="S1153" s="855"/>
      <c r="T1153" s="855"/>
      <c r="U1153" s="934"/>
    </row>
    <row r="1154" spans="1:21" ht="18.75" customHeight="1">
      <c r="A1154" s="854" t="s">
        <v>806</v>
      </c>
      <c r="B1154" s="855"/>
      <c r="C1154" s="867"/>
      <c r="D1154" s="941"/>
      <c r="E1154" s="933"/>
      <c r="F1154" s="933"/>
      <c r="P1154" s="855"/>
      <c r="Q1154" s="855"/>
      <c r="R1154" s="855"/>
      <c r="S1154" s="855"/>
      <c r="T1154" s="855"/>
      <c r="U1154" s="934"/>
    </row>
    <row r="1155" spans="1:21" ht="18.75" customHeight="1">
      <c r="A1155" s="854"/>
      <c r="B1155" s="855"/>
      <c r="C1155" s="937"/>
      <c r="P1155" s="855"/>
      <c r="Q1155" s="855"/>
      <c r="R1155" s="855"/>
      <c r="S1155" s="855"/>
      <c r="T1155" s="855"/>
      <c r="U1155" s="934"/>
    </row>
    <row r="1156" spans="1:21" ht="19.5" customHeight="1">
      <c r="A1156" s="938"/>
      <c r="B1156" s="939"/>
      <c r="C1156" s="940"/>
      <c r="D1156" s="453"/>
      <c r="E1156" s="453"/>
      <c r="F1156" s="453"/>
      <c r="G1156" s="453"/>
      <c r="H1156" s="453"/>
      <c r="I1156" s="453"/>
      <c r="J1156" s="453"/>
      <c r="K1156" s="453"/>
      <c r="L1156" s="453"/>
      <c r="M1156" s="453"/>
      <c r="N1156" s="453"/>
      <c r="O1156" s="453"/>
      <c r="P1156" s="1448" t="s">
        <v>807</v>
      </c>
      <c r="Q1156" s="1448"/>
      <c r="R1156" s="1448"/>
      <c r="S1156" s="1448"/>
      <c r="T1156" s="1448"/>
      <c r="U1156" s="1448"/>
    </row>
    <row r="1157" spans="1:21" ht="45.75" customHeight="1">
      <c r="A1157" s="1455"/>
      <c r="B1157" s="1455"/>
      <c r="C1157" s="1455"/>
      <c r="D1157" s="847"/>
      <c r="E1157" s="1456" t="s">
        <v>774</v>
      </c>
      <c r="F1157" s="1456"/>
      <c r="G1157" s="1456"/>
      <c r="H1157" s="1456"/>
      <c r="I1157" s="1456"/>
      <c r="J1157" s="1456"/>
      <c r="K1157" s="1456"/>
      <c r="L1157" s="1456"/>
      <c r="M1157" s="1456"/>
      <c r="N1157" s="1456"/>
      <c r="O1157" s="1456"/>
      <c r="P1157" s="1456"/>
      <c r="Q1157" s="1456"/>
      <c r="R1157" s="1456"/>
      <c r="S1157" s="848"/>
      <c r="T1157" s="1457" t="s">
        <v>775</v>
      </c>
      <c r="U1157" s="1457"/>
    </row>
    <row r="1158" spans="1:21" ht="18.75" customHeight="1">
      <c r="A1158" s="849"/>
      <c r="E1158" s="1458" t="s">
        <v>776</v>
      </c>
      <c r="F1158" s="1458"/>
      <c r="G1158" s="1458"/>
      <c r="H1158" s="1458"/>
      <c r="I1158" s="1458"/>
      <c r="J1158" s="1458"/>
      <c r="K1158" s="1458"/>
      <c r="L1158" s="1458"/>
      <c r="M1158" s="1458"/>
      <c r="N1158" s="1458"/>
      <c r="O1158" s="1458"/>
      <c r="P1158" s="1458"/>
      <c r="Q1158" s="1458"/>
      <c r="R1158" s="1458"/>
      <c r="U1158" s="456"/>
    </row>
    <row r="1159" spans="1:21" ht="18.75" customHeight="1">
      <c r="A1159" s="850"/>
      <c r="F1159" s="587"/>
      <c r="G1159" s="587"/>
      <c r="H1159" s="587"/>
      <c r="I1159" s="587"/>
      <c r="J1159" s="587"/>
      <c r="K1159" s="587"/>
      <c r="L1159" s="587"/>
      <c r="M1159" s="851"/>
      <c r="N1159" s="852"/>
      <c r="O1159" s="851"/>
      <c r="P1159" s="1459" t="s">
        <v>777</v>
      </c>
      <c r="Q1159" s="1459"/>
      <c r="R1159" s="1459"/>
      <c r="S1159" s="1459"/>
      <c r="T1159" s="1459"/>
      <c r="U1159" s="1459"/>
    </row>
    <row r="1160" spans="1:21" ht="15" customHeight="1">
      <c r="A1160" s="849"/>
      <c r="E1160" s="1287" t="s">
        <v>778</v>
      </c>
      <c r="F1160" s="1287"/>
      <c r="G1160" s="1287"/>
      <c r="H1160" s="1287"/>
      <c r="I1160" s="1287"/>
      <c r="J1160" s="1287"/>
      <c r="K1160" s="1287"/>
      <c r="L1160" s="1287"/>
      <c r="M1160" s="1287"/>
      <c r="N1160" s="1287"/>
      <c r="O1160" s="1287"/>
      <c r="P1160" s="1287"/>
      <c r="Q1160" s="1287"/>
      <c r="R1160" s="1287"/>
      <c r="U1160" s="456"/>
    </row>
    <row r="1161" spans="1:21" ht="18.75" customHeight="1">
      <c r="A1161" s="849"/>
      <c r="E1161" s="1286" t="s">
        <v>779</v>
      </c>
      <c r="F1161" s="1286"/>
      <c r="G1161" s="1286"/>
      <c r="H1161" s="1286"/>
      <c r="I1161" s="1286"/>
      <c r="J1161" s="1286"/>
      <c r="K1161" s="1286"/>
      <c r="L1161" s="1286"/>
      <c r="M1161" s="1286"/>
      <c r="N1161" s="1286"/>
      <c r="O1161" s="1286"/>
      <c r="P1161" s="1286"/>
      <c r="Q1161" s="1286"/>
      <c r="R1161" s="1286"/>
      <c r="U1161" s="853"/>
    </row>
    <row r="1162" spans="1:21" ht="23.25" customHeight="1">
      <c r="A1162" s="854" t="s">
        <v>780</v>
      </c>
      <c r="B1162" s="855"/>
      <c r="C1162" s="855"/>
      <c r="D1162" s="856" t="s">
        <v>858</v>
      </c>
      <c r="E1162" s="857"/>
      <c r="F1162" s="858"/>
      <c r="G1162" s="859"/>
      <c r="H1162" s="859"/>
      <c r="I1162" s="859"/>
      <c r="J1162" s="859"/>
      <c r="K1162" s="859"/>
      <c r="L1162" s="860"/>
      <c r="M1162" s="1460"/>
      <c r="N1162" s="1460"/>
      <c r="O1162" s="1460"/>
      <c r="P1162" s="1461" t="s">
        <v>781</v>
      </c>
      <c r="Q1162" s="1461"/>
      <c r="R1162" s="1461"/>
      <c r="S1162" s="855"/>
      <c r="T1162" s="861">
        <v>46313</v>
      </c>
      <c r="U1162" s="456"/>
    </row>
    <row r="1163" spans="1:21" ht="23.25" customHeight="1">
      <c r="A1163" s="854"/>
      <c r="B1163" s="862"/>
      <c r="C1163" s="862"/>
      <c r="D1163" s="862"/>
      <c r="E1163" s="163"/>
      <c r="F1163" s="863"/>
      <c r="G1163" s="863"/>
      <c r="H1163" s="863"/>
      <c r="I1163" s="863"/>
      <c r="J1163" s="863"/>
      <c r="K1163" s="863"/>
      <c r="U1163" s="456"/>
    </row>
    <row r="1164" spans="1:21" ht="21" customHeight="1">
      <c r="A1164" s="864" t="s">
        <v>782</v>
      </c>
      <c r="B1164" s="865"/>
      <c r="C1164" s="866"/>
      <c r="D1164" s="867"/>
      <c r="E1164" s="868"/>
      <c r="F1164" s="869"/>
      <c r="G1164" s="869"/>
      <c r="H1164" s="869"/>
      <c r="I1164" s="870"/>
      <c r="J1164" s="870"/>
      <c r="P1164" s="1462"/>
      <c r="Q1164" s="1462"/>
      <c r="R1164" s="1462"/>
      <c r="S1164" s="1462"/>
      <c r="T1164" s="871"/>
      <c r="U1164" s="456"/>
    </row>
    <row r="1165" spans="1:21" ht="21" customHeight="1">
      <c r="A1165" s="872"/>
      <c r="B1165" s="873"/>
      <c r="C1165" s="869"/>
      <c r="D1165" s="869"/>
      <c r="E1165" s="869"/>
      <c r="F1165" s="869"/>
      <c r="G1165" s="869"/>
      <c r="H1165" s="869"/>
      <c r="I1165" s="870"/>
      <c r="J1165" s="870"/>
      <c r="U1165" s="456"/>
    </row>
    <row r="1166" spans="1:21" ht="15" customHeight="1">
      <c r="A1166" s="1463" t="s">
        <v>783</v>
      </c>
      <c r="B1166" s="1463"/>
      <c r="C1166" s="1463"/>
      <c r="D1166" s="1463"/>
      <c r="E1166" s="1463"/>
      <c r="F1166" s="1463"/>
      <c r="G1166" s="1463"/>
      <c r="H1166" s="1463"/>
      <c r="I1166" s="1463"/>
      <c r="J1166" s="1463"/>
      <c r="K1166" s="1463"/>
      <c r="L1166" s="1463"/>
      <c r="M1166" s="1463"/>
      <c r="N1166" s="1463"/>
      <c r="O1166" s="1463"/>
      <c r="P1166" s="1463"/>
      <c r="Q1166" s="1463"/>
      <c r="R1166" s="1463"/>
      <c r="S1166" s="1463"/>
      <c r="T1166" s="1463"/>
      <c r="U1166" s="1463"/>
    </row>
    <row r="1167" spans="1:21" ht="15" customHeight="1">
      <c r="A1167" s="1463"/>
      <c r="B1167" s="1463"/>
      <c r="C1167" s="1463"/>
      <c r="D1167" s="1463"/>
      <c r="E1167" s="1463"/>
      <c r="F1167" s="1463"/>
      <c r="G1167" s="1463"/>
      <c r="H1167" s="1463"/>
      <c r="I1167" s="1463"/>
      <c r="J1167" s="1463"/>
      <c r="K1167" s="1463"/>
      <c r="L1167" s="1463"/>
      <c r="M1167" s="1463"/>
      <c r="N1167" s="1463"/>
      <c r="O1167" s="1463"/>
      <c r="P1167" s="1463"/>
      <c r="Q1167" s="1463"/>
      <c r="R1167" s="1463"/>
      <c r="S1167" s="1463"/>
      <c r="T1167" s="1463"/>
      <c r="U1167" s="1463"/>
    </row>
    <row r="1168" spans="1:21" ht="18" customHeight="1">
      <c r="A1168" s="1464" t="s">
        <v>784</v>
      </c>
      <c r="B1168" s="1464"/>
      <c r="C1168" s="1464"/>
      <c r="D1168" s="1464"/>
      <c r="E1168" s="1464"/>
      <c r="F1168" s="1464"/>
      <c r="G1168" s="1464"/>
      <c r="H1168" s="1464"/>
      <c r="I1168" s="1464"/>
      <c r="J1168" s="1464"/>
      <c r="K1168" s="1464"/>
      <c r="L1168" s="1464"/>
      <c r="M1168" s="1464"/>
      <c r="N1168" s="1464"/>
      <c r="O1168" s="1464"/>
      <c r="P1168" s="1464"/>
      <c r="Q1168" s="1464"/>
      <c r="R1168" s="1464"/>
      <c r="S1168" s="1464"/>
      <c r="T1168" s="1464"/>
      <c r="U1168" s="1464"/>
    </row>
    <row r="1169" spans="1:21" ht="23.25" customHeight="1">
      <c r="A1169" s="1465" t="s">
        <v>785</v>
      </c>
      <c r="B1169" s="1465"/>
      <c r="C1169" s="1465"/>
      <c r="D1169" s="1465"/>
      <c r="E1169" s="1465"/>
      <c r="F1169" s="1465"/>
      <c r="G1169" s="1465"/>
      <c r="H1169" s="1465"/>
      <c r="I1169" s="1465"/>
      <c r="J1169" s="1465"/>
      <c r="K1169" s="1465"/>
      <c r="L1169" s="1465"/>
      <c r="M1169" s="1465"/>
      <c r="N1169" s="1465"/>
      <c r="O1169" s="1465"/>
      <c r="P1169" s="1465"/>
      <c r="Q1169" s="1465"/>
      <c r="R1169" s="1465"/>
      <c r="S1169" s="1465"/>
      <c r="T1169" s="1465"/>
      <c r="U1169" s="1465"/>
    </row>
    <row r="1170" spans="1:21" ht="21.75" customHeight="1">
      <c r="A1170" s="874"/>
      <c r="B1170" s="875"/>
      <c r="C1170" s="875"/>
      <c r="D1170" s="875"/>
      <c r="E1170" s="875"/>
      <c r="F1170" s="875"/>
      <c r="G1170" s="875"/>
      <c r="H1170" s="875"/>
      <c r="I1170" s="875"/>
      <c r="J1170" s="875"/>
      <c r="K1170" s="875"/>
      <c r="L1170" s="875"/>
      <c r="M1170" s="875"/>
      <c r="N1170" s="875"/>
      <c r="O1170" s="875"/>
      <c r="P1170" s="875"/>
      <c r="Q1170" s="875"/>
      <c r="R1170" s="875"/>
      <c r="S1170" s="875"/>
      <c r="T1170" s="875"/>
      <c r="U1170" s="876"/>
    </row>
    <row r="1171" spans="1:21" ht="15" customHeight="1">
      <c r="A1171" s="1466" t="s">
        <v>786</v>
      </c>
      <c r="B1171" s="1467" t="s">
        <v>787</v>
      </c>
      <c r="C1171" s="1468" t="s">
        <v>788</v>
      </c>
      <c r="D1171" s="1468" t="s">
        <v>789</v>
      </c>
      <c r="E1171" s="1469" t="s">
        <v>790</v>
      </c>
      <c r="F1171" s="1468" t="s">
        <v>791</v>
      </c>
      <c r="G1171" s="1468"/>
      <c r="H1171" s="1468"/>
      <c r="I1171" s="1468"/>
      <c r="J1171" s="1468"/>
      <c r="K1171" s="1468"/>
      <c r="L1171" s="1468"/>
      <c r="M1171" s="1468"/>
      <c r="N1171" s="1468"/>
      <c r="O1171" s="1468"/>
      <c r="P1171" s="1470"/>
      <c r="Q1171" s="1470"/>
      <c r="R1171" s="1470"/>
      <c r="S1171" s="1470"/>
      <c r="T1171" s="1470"/>
      <c r="U1171" s="1470"/>
    </row>
    <row r="1172" spans="1:21" ht="15.75" customHeight="1">
      <c r="A1172" s="1466"/>
      <c r="B1172" s="1467"/>
      <c r="C1172" s="1468"/>
      <c r="D1172" s="1468"/>
      <c r="E1172" s="1469"/>
      <c r="F1172" s="1468"/>
      <c r="G1172" s="1468"/>
      <c r="H1172" s="1468"/>
      <c r="I1172" s="1468"/>
      <c r="J1172" s="1468"/>
      <c r="K1172" s="1468"/>
      <c r="L1172" s="1468"/>
      <c r="M1172" s="1468"/>
      <c r="N1172" s="1468"/>
      <c r="O1172" s="1468"/>
      <c r="P1172" s="1470"/>
      <c r="Q1172" s="1470"/>
      <c r="R1172" s="1470"/>
      <c r="S1172" s="1470"/>
      <c r="T1172" s="1470"/>
      <c r="U1172" s="1470"/>
    </row>
    <row r="1173" spans="1:21" ht="48" customHeight="1">
      <c r="A1173" s="1466"/>
      <c r="B1173" s="1467"/>
      <c r="C1173" s="1468"/>
      <c r="D1173" s="1468"/>
      <c r="E1173" s="1469"/>
      <c r="F1173" s="878" t="s">
        <v>792</v>
      </c>
      <c r="G1173" s="877" t="s">
        <v>793</v>
      </c>
      <c r="H1173" s="878" t="s">
        <v>794</v>
      </c>
      <c r="I1173" s="879" t="s">
        <v>795</v>
      </c>
      <c r="J1173" s="880" t="s">
        <v>796</v>
      </c>
      <c r="K1173" s="1468" t="s">
        <v>797</v>
      </c>
      <c r="L1173" s="1468"/>
      <c r="M1173" s="1468"/>
      <c r="N1173" s="1468"/>
      <c r="O1173" s="1468"/>
      <c r="P1173" s="881" t="s">
        <v>798</v>
      </c>
      <c r="Q1173" s="882" t="s">
        <v>799</v>
      </c>
      <c r="R1173" s="1469" t="s">
        <v>800</v>
      </c>
      <c r="S1173" s="1469"/>
      <c r="T1173" s="877" t="s">
        <v>801</v>
      </c>
      <c r="U1173" s="879" t="s">
        <v>104</v>
      </c>
    </row>
    <row r="1174" spans="1:21" ht="19.5" customHeight="1">
      <c r="A1174" s="883"/>
      <c r="B1174" s="884" t="str">
        <f>IF('BIS Doc'!AC551=130, "130 × 130", IF('BIS Doc'!AC551=160, "160 × 160", IF('BIS Doc'!AC551=110, "110 × 110", "Value not 130, 160, or 110")))</f>
        <v>Value not 130, 160, or 110</v>
      </c>
      <c r="C1174" s="885">
        <f>'BIS Doc'!W551</f>
        <v>0</v>
      </c>
      <c r="D1174" s="886"/>
      <c r="E1174" s="887">
        <f>'BIS Doc'!AE551</f>
        <v>0</v>
      </c>
      <c r="F1174" s="888">
        <f ca="1">'BIS Doc'!F551</f>
        <v>0</v>
      </c>
      <c r="G1174" s="888">
        <f ca="1">'BIS Doc'!J551</f>
        <v>0</v>
      </c>
      <c r="H1174" s="888">
        <f ca="1">'BIS Doc'!G551</f>
        <v>0.5590035219461007</v>
      </c>
      <c r="I1174" s="889">
        <f ca="1">'BIS Doc'!H551</f>
        <v>0</v>
      </c>
      <c r="J1174" s="889">
        <f ca="1">'BIS Doc'!I551</f>
        <v>0</v>
      </c>
      <c r="K1174" s="1449" t="str">
        <f t="shared" ref="K1174:K1179" ca="1" si="34">IF(H1174&lt;0.6, "IS 14650 CPS 10748/GR2", "IS 14650 CPS 10748/GR3")</f>
        <v>IS 14650 CPS 10748/GR2</v>
      </c>
      <c r="L1174" s="1449"/>
      <c r="M1174" s="1449"/>
      <c r="N1174" s="1449"/>
      <c r="O1174" s="1449"/>
      <c r="P1174" s="890"/>
      <c r="Q1174" s="891"/>
      <c r="R1174" s="1449"/>
      <c r="S1174" s="1449"/>
      <c r="T1174" s="892"/>
      <c r="U1174" s="1450" t="s">
        <v>802</v>
      </c>
    </row>
    <row r="1175" spans="1:21" ht="19.5" customHeight="1">
      <c r="A1175" s="893"/>
      <c r="B1175" s="894" t="str">
        <f>IF('BIS Doc'!AC553=130, "130 × 130", IF('BIS Doc'!AC553=160, "160 × 160", IF('BIS Doc'!AC553=110, "110 × 110", "Value not 130, 160, or 110")))</f>
        <v>Value not 130, 160, or 110</v>
      </c>
      <c r="C1175" s="895">
        <f>'BIS Doc'!W553</f>
        <v>0</v>
      </c>
      <c r="D1175" s="896"/>
      <c r="E1175" s="897">
        <f>'BIS Doc'!AE553</f>
        <v>0</v>
      </c>
      <c r="F1175" s="898">
        <f ca="1">'BIS Doc'!F553</f>
        <v>0</v>
      </c>
      <c r="G1175" s="899">
        <f ca="1">'BIS Doc'!J553</f>
        <v>0</v>
      </c>
      <c r="H1175" s="900">
        <f ca="1">'BIS Doc'!G553</f>
        <v>0.55263602603852513</v>
      </c>
      <c r="I1175" s="901">
        <f ca="1">'BIS Doc'!H553</f>
        <v>0</v>
      </c>
      <c r="J1175" s="901">
        <f ca="1">'BIS Doc'!I553</f>
        <v>0</v>
      </c>
      <c r="K1175" s="1451" t="str">
        <f t="shared" ca="1" si="34"/>
        <v>IS 14650 CPS 10748/GR2</v>
      </c>
      <c r="L1175" s="1451"/>
      <c r="M1175" s="1451"/>
      <c r="N1175" s="1451"/>
      <c r="O1175" s="1451"/>
      <c r="P1175" s="902"/>
      <c r="Q1175" s="903"/>
      <c r="R1175" s="1451"/>
      <c r="S1175" s="1451"/>
      <c r="T1175" s="904"/>
      <c r="U1175" s="1450"/>
    </row>
    <row r="1176" spans="1:21" ht="19.5" customHeight="1">
      <c r="A1176" s="864"/>
      <c r="B1176" s="894" t="str">
        <f>IF('BIS Doc'!AC555=130, "130 × 130", IF('BIS Doc'!AC555=160, "160 × 160", IF('BIS Doc'!AC555=110, "110 × 110", "Value not 130, 160, or 110")))</f>
        <v>Value not 130, 160, or 110</v>
      </c>
      <c r="C1176" s="895">
        <f>'BIS Doc'!W555</f>
        <v>0</v>
      </c>
      <c r="D1176" s="896" t="s">
        <v>803</v>
      </c>
      <c r="E1176" s="897">
        <f>'BIS Doc'!AE555</f>
        <v>0</v>
      </c>
      <c r="F1176" s="898">
        <f ca="1">'BIS Doc'!F555</f>
        <v>0</v>
      </c>
      <c r="G1176" s="899">
        <f ca="1">'BIS Doc'!J555</f>
        <v>0</v>
      </c>
      <c r="H1176" s="900">
        <f ca="1">'BIS Doc'!G555</f>
        <v>0.57356028186956354</v>
      </c>
      <c r="I1176" s="901">
        <f ca="1">'BIS Doc'!H555</f>
        <v>0</v>
      </c>
      <c r="J1176" s="901">
        <f ca="1">'BIS Doc'!I555</f>
        <v>0</v>
      </c>
      <c r="K1176" s="1451" t="str">
        <f t="shared" ca="1" si="34"/>
        <v>IS 14650 CPS 10748/GR2</v>
      </c>
      <c r="L1176" s="1451"/>
      <c r="M1176" s="1451"/>
      <c r="N1176" s="1451"/>
      <c r="O1176" s="1451"/>
      <c r="P1176" s="902"/>
      <c r="Q1176" s="905"/>
      <c r="R1176" s="1451"/>
      <c r="S1176" s="1451"/>
      <c r="T1176" s="904"/>
      <c r="U1176" s="1450"/>
    </row>
    <row r="1177" spans="1:21" ht="19.5" customHeight="1">
      <c r="A1177" s="864"/>
      <c r="B1177" s="894" t="str">
        <f>IF('BIS Doc'!AC557=130, "130 × 130", IF('BIS Doc'!AC557=160, "160 × 160", IF('BIS Doc'!AC557=110, "110 × 110", "Value not 130, 160, or 110")))</f>
        <v>Value not 130, 160, or 110</v>
      </c>
      <c r="C1177" s="895">
        <f>'BIS Doc'!W557</f>
        <v>0</v>
      </c>
      <c r="D1177" s="896"/>
      <c r="E1177" s="897">
        <f>'BIS Doc'!AE557</f>
        <v>0</v>
      </c>
      <c r="F1177" s="898">
        <f ca="1">'BIS Doc'!F557</f>
        <v>0</v>
      </c>
      <c r="G1177" s="899">
        <f ca="1">'BIS Doc'!J557</f>
        <v>0</v>
      </c>
      <c r="H1177" s="900">
        <f ca="1">'BIS Doc'!G557</f>
        <v>0.54144276833321381</v>
      </c>
      <c r="I1177" s="901">
        <f ca="1">'BIS Doc'!H557</f>
        <v>0</v>
      </c>
      <c r="J1177" s="901">
        <f ca="1">'BIS Doc'!I557</f>
        <v>0</v>
      </c>
      <c r="K1177" s="1451" t="str">
        <f t="shared" ca="1" si="34"/>
        <v>IS 14650 CPS 10748/GR2</v>
      </c>
      <c r="L1177" s="1451"/>
      <c r="M1177" s="1451"/>
      <c r="N1177" s="1451"/>
      <c r="O1177" s="1451"/>
      <c r="P1177" s="902"/>
      <c r="Q1177" s="905"/>
      <c r="R1177" s="1451"/>
      <c r="S1177" s="1451"/>
      <c r="T1177" s="904"/>
      <c r="U1177" s="1450"/>
    </row>
    <row r="1178" spans="1:21" ht="19.5" customHeight="1">
      <c r="A1178" s="864"/>
      <c r="B1178" s="894" t="str">
        <f>IF('BIS Doc'!AC559=130, "130 × 130", IF('BIS Doc'!AC559=160, "160 × 160", IF('BIS Doc'!AC559=110, "110 × 110", "Value not 130, 160, or 110")))</f>
        <v>Value not 130, 160, or 110</v>
      </c>
      <c r="C1178" s="895">
        <f>'BIS Doc'!W559</f>
        <v>0</v>
      </c>
      <c r="D1178" s="896"/>
      <c r="E1178" s="897">
        <f>'BIS Doc'!AE559</f>
        <v>0</v>
      </c>
      <c r="F1178" s="898">
        <f ca="1">'BIS Doc'!F559</f>
        <v>0</v>
      </c>
      <c r="G1178" s="899">
        <f ca="1">'BIS Doc'!J559</f>
        <v>0</v>
      </c>
      <c r="H1178" s="900">
        <f ca="1">'BIS Doc'!G559</f>
        <v>0.55146269910742052</v>
      </c>
      <c r="I1178" s="901">
        <f ca="1">'BIS Doc'!H559</f>
        <v>0</v>
      </c>
      <c r="J1178" s="901">
        <f ca="1">'BIS Doc'!I559</f>
        <v>0</v>
      </c>
      <c r="K1178" s="1451" t="str">
        <f t="shared" ca="1" si="34"/>
        <v>IS 14650 CPS 10748/GR2</v>
      </c>
      <c r="L1178" s="1451"/>
      <c r="M1178" s="1451"/>
      <c r="N1178" s="1451"/>
      <c r="O1178" s="1451"/>
      <c r="P1178" s="902"/>
      <c r="Q1178" s="905"/>
      <c r="R1178" s="1451"/>
      <c r="S1178" s="1451"/>
      <c r="T1178" s="904"/>
      <c r="U1178" s="1450"/>
    </row>
    <row r="1179" spans="1:21" ht="19.5" customHeight="1">
      <c r="A1179" s="864"/>
      <c r="B1179" s="894" t="str">
        <f>IF('BIS Doc'!AC561=130, "130 × 130", IF('BIS Doc'!AC561=160, "160 × 160", IF('BIS Doc'!AC561=110, "110 × 110", "Value not 130, 160, or 110")))</f>
        <v>Value not 130, 160, or 110</v>
      </c>
      <c r="C1179" s="895">
        <f>'BIS Doc'!W561</f>
        <v>0</v>
      </c>
      <c r="D1179" s="896"/>
      <c r="E1179" s="897">
        <f>'BIS Doc'!AE561</f>
        <v>0</v>
      </c>
      <c r="F1179" s="898">
        <f ca="1">'BIS Doc'!F561</f>
        <v>0</v>
      </c>
      <c r="G1179" s="899">
        <f ca="1">'BIS Doc'!J561</f>
        <v>0</v>
      </c>
      <c r="H1179" s="900">
        <f ca="1">'BIS Doc'!G561</f>
        <v>0.59163056106225487</v>
      </c>
      <c r="I1179" s="901">
        <f ca="1">'BIS Doc'!H561</f>
        <v>0</v>
      </c>
      <c r="J1179" s="901">
        <f ca="1">'BIS Doc'!I561</f>
        <v>0</v>
      </c>
      <c r="K1179" s="1451" t="str">
        <f t="shared" ca="1" si="34"/>
        <v>IS 14650 CPS 10748/GR2</v>
      </c>
      <c r="L1179" s="1451"/>
      <c r="M1179" s="1451"/>
      <c r="N1179" s="1451"/>
      <c r="O1179" s="1451"/>
      <c r="P1179" s="902"/>
      <c r="Q1179" s="903"/>
      <c r="R1179" s="1451"/>
      <c r="S1179" s="1451"/>
      <c r="T1179" s="904"/>
      <c r="U1179" s="1450"/>
    </row>
    <row r="1180" spans="1:21" ht="19.5" customHeight="1">
      <c r="A1180" s="864"/>
      <c r="B1180" s="904"/>
      <c r="C1180" s="895"/>
      <c r="D1180" s="896"/>
      <c r="E1180" s="897"/>
      <c r="F1180" s="906"/>
      <c r="G1180" s="907"/>
      <c r="H1180" s="908"/>
      <c r="I1180" s="909"/>
      <c r="J1180" s="909"/>
      <c r="K1180" s="1451"/>
      <c r="L1180" s="1451"/>
      <c r="M1180" s="1451"/>
      <c r="N1180" s="1451"/>
      <c r="O1180" s="1451"/>
      <c r="P1180" s="902"/>
      <c r="Q1180" s="903"/>
      <c r="R1180" s="1451"/>
      <c r="S1180" s="1451"/>
      <c r="T1180" s="904"/>
      <c r="U1180" s="1450"/>
    </row>
    <row r="1181" spans="1:21" ht="19.5" customHeight="1">
      <c r="A1181" s="864"/>
      <c r="B1181" s="904"/>
      <c r="C1181" s="895"/>
      <c r="D1181" s="896"/>
      <c r="E1181" s="897"/>
      <c r="F1181" s="906"/>
      <c r="G1181" s="907"/>
      <c r="H1181" s="908"/>
      <c r="I1181" s="909"/>
      <c r="J1181" s="909"/>
      <c r="K1181" s="1451"/>
      <c r="L1181" s="1451"/>
      <c r="M1181" s="1451"/>
      <c r="N1181" s="1451"/>
      <c r="O1181" s="1451"/>
      <c r="P1181" s="902"/>
      <c r="Q1181" s="905"/>
      <c r="R1181" s="1451"/>
      <c r="S1181" s="1451"/>
      <c r="T1181" s="904"/>
      <c r="U1181" s="1450"/>
    </row>
    <row r="1182" spans="1:21" ht="19.5" customHeight="1">
      <c r="A1182" s="864"/>
      <c r="B1182" s="910"/>
      <c r="C1182" s="911"/>
      <c r="D1182" s="896"/>
      <c r="E1182" s="897"/>
      <c r="F1182" s="906"/>
      <c r="G1182" s="907"/>
      <c r="H1182" s="908"/>
      <c r="I1182" s="909"/>
      <c r="J1182" s="909"/>
      <c r="K1182" s="1451"/>
      <c r="L1182" s="1451"/>
      <c r="M1182" s="1451"/>
      <c r="N1182" s="1451"/>
      <c r="O1182" s="1451"/>
      <c r="P1182" s="912"/>
      <c r="Q1182" s="913"/>
      <c r="R1182" s="1452"/>
      <c r="S1182" s="1452"/>
      <c r="T1182" s="910"/>
      <c r="U1182" s="1450"/>
    </row>
    <row r="1183" spans="1:21" ht="19.5" customHeight="1">
      <c r="A1183" s="914"/>
      <c r="B1183" s="915"/>
      <c r="C1183" s="916"/>
      <c r="D1183" s="917"/>
      <c r="E1183" s="918">
        <f>SUM(E1174:E1179)</f>
        <v>0</v>
      </c>
      <c r="F1183" s="919"/>
      <c r="G1183" s="920"/>
      <c r="H1183" s="921"/>
      <c r="I1183" s="922"/>
      <c r="J1183" s="922"/>
      <c r="K1183" s="1453"/>
      <c r="L1183" s="1453"/>
      <c r="M1183" s="1453"/>
      <c r="N1183" s="1453"/>
      <c r="O1183" s="1453"/>
      <c r="P1183" s="923"/>
      <c r="Q1183" s="924"/>
      <c r="R1183" s="1454"/>
      <c r="S1183" s="1454"/>
      <c r="T1183" s="915"/>
      <c r="U1183" s="1450"/>
    </row>
    <row r="1184" spans="1:21" ht="15.75" customHeight="1">
      <c r="A1184" s="864"/>
      <c r="B1184" s="773"/>
      <c r="C1184" s="773"/>
      <c r="D1184" s="925"/>
      <c r="E1184" s="926"/>
      <c r="F1184" s="927"/>
      <c r="G1184" s="928"/>
      <c r="H1184" s="259"/>
      <c r="I1184" s="259"/>
      <c r="J1184" s="928"/>
      <c r="K1184" s="929"/>
      <c r="L1184" s="929"/>
      <c r="M1184" s="929"/>
      <c r="N1184" s="929"/>
      <c r="O1184" s="928"/>
      <c r="P1184" s="930"/>
      <c r="Q1184" s="931"/>
      <c r="R1184" s="931"/>
      <c r="U1184" s="932"/>
    </row>
    <row r="1185" spans="1:21" ht="18.75" customHeight="1">
      <c r="A1185" s="864"/>
      <c r="B1185" s="773"/>
      <c r="C1185" s="773"/>
      <c r="D1185" s="773"/>
      <c r="E1185" s="773"/>
      <c r="F1185" s="773"/>
      <c r="G1185" s="773"/>
      <c r="H1185" s="773"/>
      <c r="I1185" s="773"/>
      <c r="J1185" s="773"/>
      <c r="K1185" s="773"/>
      <c r="P1185" s="1446" t="s">
        <v>804</v>
      </c>
      <c r="Q1185" s="1446"/>
      <c r="R1185" s="1446"/>
      <c r="S1185" s="1446"/>
      <c r="T1185" s="1446"/>
      <c r="U1185" s="1446"/>
    </row>
    <row r="1186" spans="1:21" ht="18.75" customHeight="1">
      <c r="A1186" s="1447" t="s">
        <v>805</v>
      </c>
      <c r="B1186" s="1447"/>
      <c r="C1186" s="933"/>
      <c r="D1186" s="933"/>
      <c r="E1186" s="933"/>
      <c r="F1186" s="933"/>
      <c r="P1186" s="855"/>
      <c r="Q1186" s="855"/>
      <c r="R1186" s="855"/>
      <c r="S1186" s="855"/>
      <c r="T1186" s="855"/>
      <c r="U1186" s="934"/>
    </row>
    <row r="1187" spans="1:21" ht="18.75" customHeight="1">
      <c r="A1187" s="854"/>
      <c r="B1187" s="855"/>
      <c r="P1187" s="855"/>
      <c r="Q1187" s="855"/>
      <c r="R1187" s="855"/>
      <c r="S1187" s="855"/>
      <c r="T1187" s="855"/>
      <c r="U1187" s="934"/>
    </row>
    <row r="1188" spans="1:21" ht="18.75" customHeight="1">
      <c r="A1188" s="854" t="s">
        <v>806</v>
      </c>
      <c r="B1188" s="855"/>
      <c r="C1188" s="867"/>
      <c r="D1188" s="941"/>
      <c r="E1188" s="933"/>
      <c r="F1188" s="933"/>
      <c r="P1188" s="855"/>
      <c r="Q1188" s="855"/>
      <c r="R1188" s="855"/>
      <c r="S1188" s="855"/>
      <c r="T1188" s="855"/>
      <c r="U1188" s="934"/>
    </row>
    <row r="1189" spans="1:21" ht="18.75" customHeight="1">
      <c r="A1189" s="854"/>
      <c r="B1189" s="855"/>
      <c r="C1189" s="937"/>
      <c r="P1189" s="855"/>
      <c r="Q1189" s="855"/>
      <c r="R1189" s="855"/>
      <c r="S1189" s="855"/>
      <c r="T1189" s="855"/>
      <c r="U1189" s="934"/>
    </row>
    <row r="1190" spans="1:21" ht="19.5" customHeight="1">
      <c r="A1190" s="938"/>
      <c r="B1190" s="939"/>
      <c r="C1190" s="940"/>
      <c r="D1190" s="453"/>
      <c r="E1190" s="453"/>
      <c r="F1190" s="453"/>
      <c r="G1190" s="453"/>
      <c r="H1190" s="453"/>
      <c r="I1190" s="453"/>
      <c r="J1190" s="453"/>
      <c r="K1190" s="453"/>
      <c r="L1190" s="453"/>
      <c r="M1190" s="453"/>
      <c r="N1190" s="453"/>
      <c r="O1190" s="453"/>
      <c r="P1190" s="1448" t="s">
        <v>807</v>
      </c>
      <c r="Q1190" s="1448"/>
      <c r="R1190" s="1448"/>
      <c r="S1190" s="1448"/>
      <c r="T1190" s="1448"/>
      <c r="U1190" s="1448"/>
    </row>
    <row r="1191" spans="1:21" ht="45.75" customHeight="1">
      <c r="A1191" s="1455"/>
      <c r="B1191" s="1455"/>
      <c r="C1191" s="1455"/>
      <c r="D1191" s="847"/>
      <c r="E1191" s="1456" t="s">
        <v>774</v>
      </c>
      <c r="F1191" s="1456"/>
      <c r="G1191" s="1456"/>
      <c r="H1191" s="1456"/>
      <c r="I1191" s="1456"/>
      <c r="J1191" s="1456"/>
      <c r="K1191" s="1456"/>
      <c r="L1191" s="1456"/>
      <c r="M1191" s="1456"/>
      <c r="N1191" s="1456"/>
      <c r="O1191" s="1456"/>
      <c r="P1191" s="1456"/>
      <c r="Q1191" s="1456"/>
      <c r="R1191" s="1456"/>
      <c r="S1191" s="848"/>
      <c r="T1191" s="1457" t="s">
        <v>775</v>
      </c>
      <c r="U1191" s="1457"/>
    </row>
    <row r="1192" spans="1:21" ht="18.75" customHeight="1">
      <c r="A1192" s="849"/>
      <c r="E1192" s="1458" t="s">
        <v>776</v>
      </c>
      <c r="F1192" s="1458"/>
      <c r="G1192" s="1458"/>
      <c r="H1192" s="1458"/>
      <c r="I1192" s="1458"/>
      <c r="J1192" s="1458"/>
      <c r="K1192" s="1458"/>
      <c r="L1192" s="1458"/>
      <c r="M1192" s="1458"/>
      <c r="N1192" s="1458"/>
      <c r="O1192" s="1458"/>
      <c r="P1192" s="1458"/>
      <c r="Q1192" s="1458"/>
      <c r="R1192" s="1458"/>
      <c r="U1192" s="456"/>
    </row>
    <row r="1193" spans="1:21" ht="18.75" customHeight="1">
      <c r="A1193" s="850"/>
      <c r="F1193" s="587"/>
      <c r="G1193" s="587"/>
      <c r="H1193" s="587"/>
      <c r="I1193" s="587"/>
      <c r="J1193" s="587"/>
      <c r="K1193" s="587"/>
      <c r="L1193" s="587"/>
      <c r="M1193" s="851"/>
      <c r="N1193" s="852"/>
      <c r="O1193" s="851"/>
      <c r="P1193" s="1459" t="s">
        <v>777</v>
      </c>
      <c r="Q1193" s="1459"/>
      <c r="R1193" s="1459"/>
      <c r="S1193" s="1459"/>
      <c r="T1193" s="1459"/>
      <c r="U1193" s="1459"/>
    </row>
    <row r="1194" spans="1:21" ht="15" customHeight="1">
      <c r="A1194" s="849"/>
      <c r="E1194" s="1287" t="s">
        <v>778</v>
      </c>
      <c r="F1194" s="1287"/>
      <c r="G1194" s="1287"/>
      <c r="H1194" s="1287"/>
      <c r="I1194" s="1287"/>
      <c r="J1194" s="1287"/>
      <c r="K1194" s="1287"/>
      <c r="L1194" s="1287"/>
      <c r="M1194" s="1287"/>
      <c r="N1194" s="1287"/>
      <c r="O1194" s="1287"/>
      <c r="P1194" s="1287"/>
      <c r="Q1194" s="1287"/>
      <c r="R1194" s="1287"/>
      <c r="U1194" s="456"/>
    </row>
    <row r="1195" spans="1:21" ht="18.75" customHeight="1">
      <c r="A1195" s="849"/>
      <c r="E1195" s="1286" t="s">
        <v>779</v>
      </c>
      <c r="F1195" s="1286"/>
      <c r="G1195" s="1286"/>
      <c r="H1195" s="1286"/>
      <c r="I1195" s="1286"/>
      <c r="J1195" s="1286"/>
      <c r="K1195" s="1286"/>
      <c r="L1195" s="1286"/>
      <c r="M1195" s="1286"/>
      <c r="N1195" s="1286"/>
      <c r="O1195" s="1286"/>
      <c r="P1195" s="1286"/>
      <c r="Q1195" s="1286"/>
      <c r="R1195" s="1286"/>
      <c r="U1195" s="853"/>
    </row>
    <row r="1196" spans="1:21" ht="23.25" customHeight="1">
      <c r="A1196" s="854" t="s">
        <v>780</v>
      </c>
      <c r="B1196" s="855"/>
      <c r="C1196" s="855"/>
      <c r="D1196" s="856" t="s">
        <v>859</v>
      </c>
      <c r="E1196" s="857"/>
      <c r="F1196" s="858"/>
      <c r="G1196" s="859"/>
      <c r="H1196" s="859"/>
      <c r="I1196" s="859"/>
      <c r="J1196" s="859"/>
      <c r="K1196" s="859"/>
      <c r="L1196" s="860"/>
      <c r="M1196" s="1460"/>
      <c r="N1196" s="1460"/>
      <c r="O1196" s="1460"/>
      <c r="P1196" s="1461" t="s">
        <v>781</v>
      </c>
      <c r="Q1196" s="1461"/>
      <c r="R1196" s="1461"/>
      <c r="S1196" s="855"/>
      <c r="T1196" s="861">
        <v>46313</v>
      </c>
      <c r="U1196" s="456"/>
    </row>
    <row r="1197" spans="1:21" ht="23.25" customHeight="1">
      <c r="A1197" s="854"/>
      <c r="B1197" s="862"/>
      <c r="C1197" s="862"/>
      <c r="D1197" s="862"/>
      <c r="E1197" s="163"/>
      <c r="F1197" s="863"/>
      <c r="G1197" s="863"/>
      <c r="H1197" s="863"/>
      <c r="I1197" s="863"/>
      <c r="J1197" s="863"/>
      <c r="K1197" s="863"/>
      <c r="U1197" s="456"/>
    </row>
    <row r="1198" spans="1:21" ht="21" customHeight="1">
      <c r="A1198" s="864" t="s">
        <v>782</v>
      </c>
      <c r="B1198" s="865"/>
      <c r="C1198" s="866"/>
      <c r="D1198" s="867"/>
      <c r="E1198" s="868"/>
      <c r="F1198" s="869"/>
      <c r="G1198" s="869"/>
      <c r="H1198" s="869"/>
      <c r="I1198" s="870"/>
      <c r="J1198" s="870"/>
      <c r="P1198" s="1462"/>
      <c r="Q1198" s="1462"/>
      <c r="R1198" s="1462"/>
      <c r="S1198" s="1462"/>
      <c r="T1198" s="871"/>
      <c r="U1198" s="456"/>
    </row>
    <row r="1199" spans="1:21" ht="21" customHeight="1">
      <c r="A1199" s="872"/>
      <c r="B1199" s="873"/>
      <c r="C1199" s="869"/>
      <c r="D1199" s="869"/>
      <c r="E1199" s="869"/>
      <c r="F1199" s="869"/>
      <c r="G1199" s="869"/>
      <c r="H1199" s="869"/>
      <c r="I1199" s="870"/>
      <c r="J1199" s="870"/>
      <c r="U1199" s="456"/>
    </row>
    <row r="1200" spans="1:21" ht="15" customHeight="1">
      <c r="A1200" s="1463" t="s">
        <v>783</v>
      </c>
      <c r="B1200" s="1463"/>
      <c r="C1200" s="1463"/>
      <c r="D1200" s="1463"/>
      <c r="E1200" s="1463"/>
      <c r="F1200" s="1463"/>
      <c r="G1200" s="1463"/>
      <c r="H1200" s="1463"/>
      <c r="I1200" s="1463"/>
      <c r="J1200" s="1463"/>
      <c r="K1200" s="1463"/>
      <c r="L1200" s="1463"/>
      <c r="M1200" s="1463"/>
      <c r="N1200" s="1463"/>
      <c r="O1200" s="1463"/>
      <c r="P1200" s="1463"/>
      <c r="Q1200" s="1463"/>
      <c r="R1200" s="1463"/>
      <c r="S1200" s="1463"/>
      <c r="T1200" s="1463"/>
      <c r="U1200" s="1463"/>
    </row>
    <row r="1201" spans="1:21" ht="15" customHeight="1">
      <c r="A1201" s="1463"/>
      <c r="B1201" s="1463"/>
      <c r="C1201" s="1463"/>
      <c r="D1201" s="1463"/>
      <c r="E1201" s="1463"/>
      <c r="F1201" s="1463"/>
      <c r="G1201" s="1463"/>
      <c r="H1201" s="1463"/>
      <c r="I1201" s="1463"/>
      <c r="J1201" s="1463"/>
      <c r="K1201" s="1463"/>
      <c r="L1201" s="1463"/>
      <c r="M1201" s="1463"/>
      <c r="N1201" s="1463"/>
      <c r="O1201" s="1463"/>
      <c r="P1201" s="1463"/>
      <c r="Q1201" s="1463"/>
      <c r="R1201" s="1463"/>
      <c r="S1201" s="1463"/>
      <c r="T1201" s="1463"/>
      <c r="U1201" s="1463"/>
    </row>
    <row r="1202" spans="1:21" ht="18" customHeight="1">
      <c r="A1202" s="1464" t="s">
        <v>784</v>
      </c>
      <c r="B1202" s="1464"/>
      <c r="C1202" s="1464"/>
      <c r="D1202" s="1464"/>
      <c r="E1202" s="1464"/>
      <c r="F1202" s="1464"/>
      <c r="G1202" s="1464"/>
      <c r="H1202" s="1464"/>
      <c r="I1202" s="1464"/>
      <c r="J1202" s="1464"/>
      <c r="K1202" s="1464"/>
      <c r="L1202" s="1464"/>
      <c r="M1202" s="1464"/>
      <c r="N1202" s="1464"/>
      <c r="O1202" s="1464"/>
      <c r="P1202" s="1464"/>
      <c r="Q1202" s="1464"/>
      <c r="R1202" s="1464"/>
      <c r="S1202" s="1464"/>
      <c r="T1202" s="1464"/>
      <c r="U1202" s="1464"/>
    </row>
    <row r="1203" spans="1:21" ht="23.25" customHeight="1">
      <c r="A1203" s="1465" t="s">
        <v>785</v>
      </c>
      <c r="B1203" s="1465"/>
      <c r="C1203" s="1465"/>
      <c r="D1203" s="1465"/>
      <c r="E1203" s="1465"/>
      <c r="F1203" s="1465"/>
      <c r="G1203" s="1465"/>
      <c r="H1203" s="1465"/>
      <c r="I1203" s="1465"/>
      <c r="J1203" s="1465"/>
      <c r="K1203" s="1465"/>
      <c r="L1203" s="1465"/>
      <c r="M1203" s="1465"/>
      <c r="N1203" s="1465"/>
      <c r="O1203" s="1465"/>
      <c r="P1203" s="1465"/>
      <c r="Q1203" s="1465"/>
      <c r="R1203" s="1465"/>
      <c r="S1203" s="1465"/>
      <c r="T1203" s="1465"/>
      <c r="U1203" s="1465"/>
    </row>
    <row r="1204" spans="1:21" ht="21.75" customHeight="1">
      <c r="A1204" s="874"/>
      <c r="B1204" s="875"/>
      <c r="C1204" s="875"/>
      <c r="D1204" s="875"/>
      <c r="E1204" s="875"/>
      <c r="F1204" s="875"/>
      <c r="G1204" s="875"/>
      <c r="H1204" s="875"/>
      <c r="I1204" s="875"/>
      <c r="J1204" s="875"/>
      <c r="K1204" s="875"/>
      <c r="L1204" s="875"/>
      <c r="M1204" s="875"/>
      <c r="N1204" s="875"/>
      <c r="O1204" s="875"/>
      <c r="P1204" s="875"/>
      <c r="Q1204" s="875"/>
      <c r="R1204" s="875"/>
      <c r="S1204" s="875"/>
      <c r="T1204" s="875"/>
      <c r="U1204" s="876"/>
    </row>
    <row r="1205" spans="1:21" ht="15" customHeight="1">
      <c r="A1205" s="1466" t="s">
        <v>786</v>
      </c>
      <c r="B1205" s="1467" t="s">
        <v>787</v>
      </c>
      <c r="C1205" s="1468" t="s">
        <v>788</v>
      </c>
      <c r="D1205" s="1468" t="s">
        <v>789</v>
      </c>
      <c r="E1205" s="1469" t="s">
        <v>790</v>
      </c>
      <c r="F1205" s="1468" t="s">
        <v>791</v>
      </c>
      <c r="G1205" s="1468"/>
      <c r="H1205" s="1468"/>
      <c r="I1205" s="1468"/>
      <c r="J1205" s="1468"/>
      <c r="K1205" s="1468"/>
      <c r="L1205" s="1468"/>
      <c r="M1205" s="1468"/>
      <c r="N1205" s="1468"/>
      <c r="O1205" s="1468"/>
      <c r="P1205" s="1470"/>
      <c r="Q1205" s="1470"/>
      <c r="R1205" s="1470"/>
      <c r="S1205" s="1470"/>
      <c r="T1205" s="1470"/>
      <c r="U1205" s="1470"/>
    </row>
    <row r="1206" spans="1:21" ht="15.75" customHeight="1">
      <c r="A1206" s="1466"/>
      <c r="B1206" s="1467"/>
      <c r="C1206" s="1468"/>
      <c r="D1206" s="1468"/>
      <c r="E1206" s="1469"/>
      <c r="F1206" s="1468"/>
      <c r="G1206" s="1468"/>
      <c r="H1206" s="1468"/>
      <c r="I1206" s="1468"/>
      <c r="J1206" s="1468"/>
      <c r="K1206" s="1468"/>
      <c r="L1206" s="1468"/>
      <c r="M1206" s="1468"/>
      <c r="N1206" s="1468"/>
      <c r="O1206" s="1468"/>
      <c r="P1206" s="1470"/>
      <c r="Q1206" s="1470"/>
      <c r="R1206" s="1470"/>
      <c r="S1206" s="1470"/>
      <c r="T1206" s="1470"/>
      <c r="U1206" s="1470"/>
    </row>
    <row r="1207" spans="1:21" ht="48" customHeight="1">
      <c r="A1207" s="1466"/>
      <c r="B1207" s="1467"/>
      <c r="C1207" s="1468"/>
      <c r="D1207" s="1468"/>
      <c r="E1207" s="1469"/>
      <c r="F1207" s="878" t="s">
        <v>792</v>
      </c>
      <c r="G1207" s="877" t="s">
        <v>793</v>
      </c>
      <c r="H1207" s="878" t="s">
        <v>794</v>
      </c>
      <c r="I1207" s="879" t="s">
        <v>795</v>
      </c>
      <c r="J1207" s="880" t="s">
        <v>796</v>
      </c>
      <c r="K1207" s="1468" t="s">
        <v>797</v>
      </c>
      <c r="L1207" s="1468"/>
      <c r="M1207" s="1468"/>
      <c r="N1207" s="1468"/>
      <c r="O1207" s="1468"/>
      <c r="P1207" s="881" t="s">
        <v>798</v>
      </c>
      <c r="Q1207" s="882" t="s">
        <v>799</v>
      </c>
      <c r="R1207" s="1469" t="s">
        <v>800</v>
      </c>
      <c r="S1207" s="1469"/>
      <c r="T1207" s="877" t="s">
        <v>801</v>
      </c>
      <c r="U1207" s="879" t="s">
        <v>104</v>
      </c>
    </row>
    <row r="1208" spans="1:21" ht="19.5" customHeight="1">
      <c r="A1208" s="883"/>
      <c r="B1208" s="884" t="str">
        <f>IF('BIS Doc'!AC563=130, "130 × 130", IF('BIS Doc'!AC563=160, "160 × 160", IF('BIS Doc'!AC563=110, "110 × 110", "Value not 130, 160, or 110")))</f>
        <v>Value not 130, 160, or 110</v>
      </c>
      <c r="C1208" s="885">
        <f>'BIS Doc'!W563</f>
        <v>0</v>
      </c>
      <c r="D1208" s="886"/>
      <c r="E1208" s="887">
        <f>'BIS Doc'!AE563</f>
        <v>0</v>
      </c>
      <c r="F1208" s="888">
        <f ca="1">'BIS Doc'!F563</f>
        <v>0</v>
      </c>
      <c r="G1208" s="888">
        <f ca="1">'BIS Doc'!J563</f>
        <v>0</v>
      </c>
      <c r="H1208" s="888">
        <f ca="1">'BIS Doc'!G563</f>
        <v>0.51589000471411883</v>
      </c>
      <c r="I1208" s="889">
        <f ca="1">'BIS Doc'!H563</f>
        <v>0</v>
      </c>
      <c r="J1208" s="889">
        <f ca="1">'BIS Doc'!I563</f>
        <v>0</v>
      </c>
      <c r="K1208" s="1449" t="str">
        <f t="shared" ref="K1208:K1213" ca="1" si="35">IF(H1208&lt;0.6, "IS 14650 CPS 10748/GR2", "IS 14650 CPS 10748/GR3")</f>
        <v>IS 14650 CPS 10748/GR2</v>
      </c>
      <c r="L1208" s="1449"/>
      <c r="M1208" s="1449"/>
      <c r="N1208" s="1449"/>
      <c r="O1208" s="1449"/>
      <c r="P1208" s="890"/>
      <c r="Q1208" s="891"/>
      <c r="R1208" s="1449"/>
      <c r="S1208" s="1449"/>
      <c r="T1208" s="892"/>
      <c r="U1208" s="1450" t="s">
        <v>802</v>
      </c>
    </row>
    <row r="1209" spans="1:21" ht="19.5" customHeight="1">
      <c r="A1209" s="893"/>
      <c r="B1209" s="894" t="str">
        <f>IF('BIS Doc'!AC565=130, "130 × 130", IF('BIS Doc'!AC565=160, "160 × 160", IF('BIS Doc'!AC565=110, "110 × 110", "Value not 130, 160, or 110")))</f>
        <v>Value not 130, 160, or 110</v>
      </c>
      <c r="C1209" s="895">
        <f>'BIS Doc'!W565</f>
        <v>0</v>
      </c>
      <c r="D1209" s="896"/>
      <c r="E1209" s="897">
        <f>'BIS Doc'!AE565</f>
        <v>0</v>
      </c>
      <c r="F1209" s="898">
        <f ca="1">'BIS Doc'!F565</f>
        <v>0</v>
      </c>
      <c r="G1209" s="899">
        <f ca="1">'BIS Doc'!J565</f>
        <v>0</v>
      </c>
      <c r="H1209" s="900">
        <f ca="1">'BIS Doc'!G565</f>
        <v>0.53629908626570821</v>
      </c>
      <c r="I1209" s="901">
        <f ca="1">'BIS Doc'!H565</f>
        <v>0</v>
      </c>
      <c r="J1209" s="901">
        <f ca="1">'BIS Doc'!I565</f>
        <v>0</v>
      </c>
      <c r="K1209" s="1451" t="str">
        <f t="shared" ca="1" si="35"/>
        <v>IS 14650 CPS 10748/GR2</v>
      </c>
      <c r="L1209" s="1451"/>
      <c r="M1209" s="1451"/>
      <c r="N1209" s="1451"/>
      <c r="O1209" s="1451"/>
      <c r="P1209" s="902"/>
      <c r="Q1209" s="903"/>
      <c r="R1209" s="1451"/>
      <c r="S1209" s="1451"/>
      <c r="T1209" s="904"/>
      <c r="U1209" s="1450"/>
    </row>
    <row r="1210" spans="1:21" ht="19.5" customHeight="1">
      <c r="A1210" s="864"/>
      <c r="B1210" s="894" t="str">
        <f>IF('BIS Doc'!AC567=130, "130 × 130", IF('BIS Doc'!AC567=160, "160 × 160", IF('BIS Doc'!AC567=110, "110 × 110", "Value not 130, 160, or 110")))</f>
        <v>Value not 130, 160, or 110</v>
      </c>
      <c r="C1210" s="895">
        <f>'BIS Doc'!W567</f>
        <v>0</v>
      </c>
      <c r="D1210" s="896" t="s">
        <v>803</v>
      </c>
      <c r="E1210" s="897">
        <f>'BIS Doc'!AE567</f>
        <v>0</v>
      </c>
      <c r="F1210" s="898">
        <f ca="1">'BIS Doc'!F567</f>
        <v>0</v>
      </c>
      <c r="G1210" s="899">
        <f ca="1">'BIS Doc'!J567</f>
        <v>0</v>
      </c>
      <c r="H1210" s="900">
        <f ca="1">'BIS Doc'!G567</f>
        <v>0.56415831650987114</v>
      </c>
      <c r="I1210" s="901">
        <f ca="1">'BIS Doc'!H567</f>
        <v>0</v>
      </c>
      <c r="J1210" s="901">
        <f ca="1">'BIS Doc'!I567</f>
        <v>0</v>
      </c>
      <c r="K1210" s="1451" t="str">
        <f t="shared" ca="1" si="35"/>
        <v>IS 14650 CPS 10748/GR2</v>
      </c>
      <c r="L1210" s="1451"/>
      <c r="M1210" s="1451"/>
      <c r="N1210" s="1451"/>
      <c r="O1210" s="1451"/>
      <c r="P1210" s="902"/>
      <c r="Q1210" s="905"/>
      <c r="R1210" s="1451"/>
      <c r="S1210" s="1451"/>
      <c r="T1210" s="904"/>
      <c r="U1210" s="1450"/>
    </row>
    <row r="1211" spans="1:21" ht="19.5" customHeight="1">
      <c r="A1211" s="864"/>
      <c r="B1211" s="894" t="str">
        <f>IF('BIS Doc'!AC569=130, "130 × 130", IF('BIS Doc'!AC569=160, "160 × 160", IF('BIS Doc'!AC569=110, "110 × 110", "Value not 130, 160, or 110")))</f>
        <v>Value not 130, 160, or 110</v>
      </c>
      <c r="C1211" s="895">
        <f>'BIS Doc'!W569</f>
        <v>0</v>
      </c>
      <c r="D1211" s="896"/>
      <c r="E1211" s="897">
        <f>'BIS Doc'!AE569</f>
        <v>0</v>
      </c>
      <c r="F1211" s="898">
        <f ca="1">'BIS Doc'!F569</f>
        <v>0</v>
      </c>
      <c r="G1211" s="899">
        <f ca="1">'BIS Doc'!J569</f>
        <v>0</v>
      </c>
      <c r="H1211" s="900">
        <f ca="1">'BIS Doc'!G569</f>
        <v>0.51005652435911741</v>
      </c>
      <c r="I1211" s="901">
        <f ca="1">'BIS Doc'!H569</f>
        <v>0</v>
      </c>
      <c r="J1211" s="901">
        <f ca="1">'BIS Doc'!I569</f>
        <v>0</v>
      </c>
      <c r="K1211" s="1451" t="str">
        <f t="shared" ca="1" si="35"/>
        <v>IS 14650 CPS 10748/GR2</v>
      </c>
      <c r="L1211" s="1451"/>
      <c r="M1211" s="1451"/>
      <c r="N1211" s="1451"/>
      <c r="O1211" s="1451"/>
      <c r="P1211" s="902"/>
      <c r="Q1211" s="905"/>
      <c r="R1211" s="1451"/>
      <c r="S1211" s="1451"/>
      <c r="T1211" s="904"/>
      <c r="U1211" s="1450"/>
    </row>
    <row r="1212" spans="1:21" ht="19.5" customHeight="1">
      <c r="A1212" s="864"/>
      <c r="B1212" s="894" t="str">
        <f>IF('BIS Doc'!AC571=130, "130 × 130", IF('BIS Doc'!AC571=160, "160 × 160", IF('BIS Doc'!AC571=110, "110 × 110", "Value not 130, 160, or 110")))</f>
        <v>Value not 130, 160, or 110</v>
      </c>
      <c r="C1212" s="895">
        <f>'BIS Doc'!W571</f>
        <v>0</v>
      </c>
      <c r="D1212" s="896"/>
      <c r="E1212" s="897">
        <f>'BIS Doc'!AE571</f>
        <v>0</v>
      </c>
      <c r="F1212" s="898">
        <f ca="1">'BIS Doc'!F571</f>
        <v>0</v>
      </c>
      <c r="G1212" s="899">
        <f ca="1">'BIS Doc'!J571</f>
        <v>0</v>
      </c>
      <c r="H1212" s="900">
        <f ca="1">'BIS Doc'!G571</f>
        <v>0.55926563651767225</v>
      </c>
      <c r="I1212" s="901">
        <f ca="1">'BIS Doc'!H571</f>
        <v>0</v>
      </c>
      <c r="J1212" s="901">
        <f ca="1">'BIS Doc'!I571</f>
        <v>0</v>
      </c>
      <c r="K1212" s="1451" t="str">
        <f t="shared" ca="1" si="35"/>
        <v>IS 14650 CPS 10748/GR2</v>
      </c>
      <c r="L1212" s="1451"/>
      <c r="M1212" s="1451"/>
      <c r="N1212" s="1451"/>
      <c r="O1212" s="1451"/>
      <c r="P1212" s="902"/>
      <c r="Q1212" s="905"/>
      <c r="R1212" s="1451"/>
      <c r="S1212" s="1451"/>
      <c r="T1212" s="904"/>
      <c r="U1212" s="1450"/>
    </row>
    <row r="1213" spans="1:21" ht="19.5" customHeight="1">
      <c r="A1213" s="864"/>
      <c r="B1213" s="894" t="str">
        <f>IF('BIS Doc'!AC573=130, "130 × 130", IF('BIS Doc'!AC573=160, "160 × 160", IF('BIS Doc'!AC573=110, "110 × 110", "Value not 130, 160, or 110")))</f>
        <v>Value not 130, 160, or 110</v>
      </c>
      <c r="C1213" s="895">
        <f>'BIS Doc'!W573</f>
        <v>0</v>
      </c>
      <c r="D1213" s="896"/>
      <c r="E1213" s="897">
        <f>'BIS Doc'!AE573</f>
        <v>0</v>
      </c>
      <c r="F1213" s="898">
        <f ca="1">'BIS Doc'!F573</f>
        <v>0</v>
      </c>
      <c r="G1213" s="899">
        <f ca="1">'BIS Doc'!J573</f>
        <v>0</v>
      </c>
      <c r="H1213" s="900">
        <f ca="1">'BIS Doc'!G573</f>
        <v>0.52705994713411397</v>
      </c>
      <c r="I1213" s="901">
        <f ca="1">'BIS Doc'!H573</f>
        <v>0</v>
      </c>
      <c r="J1213" s="901">
        <f ca="1">'BIS Doc'!I573</f>
        <v>0</v>
      </c>
      <c r="K1213" s="1451" t="str">
        <f t="shared" ca="1" si="35"/>
        <v>IS 14650 CPS 10748/GR2</v>
      </c>
      <c r="L1213" s="1451"/>
      <c r="M1213" s="1451"/>
      <c r="N1213" s="1451"/>
      <c r="O1213" s="1451"/>
      <c r="P1213" s="902"/>
      <c r="Q1213" s="903"/>
      <c r="R1213" s="1451"/>
      <c r="S1213" s="1451"/>
      <c r="T1213" s="904"/>
      <c r="U1213" s="1450"/>
    </row>
    <row r="1214" spans="1:21" ht="19.5" customHeight="1">
      <c r="A1214" s="864"/>
      <c r="B1214" s="904"/>
      <c r="C1214" s="895"/>
      <c r="D1214" s="896"/>
      <c r="E1214" s="897"/>
      <c r="F1214" s="906"/>
      <c r="G1214" s="907"/>
      <c r="H1214" s="908"/>
      <c r="I1214" s="909"/>
      <c r="J1214" s="909"/>
      <c r="K1214" s="1451"/>
      <c r="L1214" s="1451"/>
      <c r="M1214" s="1451"/>
      <c r="N1214" s="1451"/>
      <c r="O1214" s="1451"/>
      <c r="P1214" s="902"/>
      <c r="Q1214" s="903"/>
      <c r="R1214" s="1451"/>
      <c r="S1214" s="1451"/>
      <c r="T1214" s="904"/>
      <c r="U1214" s="1450"/>
    </row>
    <row r="1215" spans="1:21" ht="19.5" customHeight="1">
      <c r="A1215" s="864"/>
      <c r="B1215" s="904"/>
      <c r="C1215" s="895"/>
      <c r="D1215" s="896"/>
      <c r="E1215" s="897"/>
      <c r="F1215" s="906"/>
      <c r="G1215" s="907"/>
      <c r="H1215" s="908"/>
      <c r="I1215" s="909"/>
      <c r="J1215" s="909"/>
      <c r="K1215" s="1451"/>
      <c r="L1215" s="1451"/>
      <c r="M1215" s="1451"/>
      <c r="N1215" s="1451"/>
      <c r="O1215" s="1451"/>
      <c r="P1215" s="902"/>
      <c r="Q1215" s="905"/>
      <c r="R1215" s="1451"/>
      <c r="S1215" s="1451"/>
      <c r="T1215" s="904"/>
      <c r="U1215" s="1450"/>
    </row>
    <row r="1216" spans="1:21" ht="19.5" customHeight="1">
      <c r="A1216" s="864"/>
      <c r="B1216" s="910"/>
      <c r="C1216" s="911"/>
      <c r="D1216" s="896"/>
      <c r="E1216" s="897"/>
      <c r="F1216" s="906"/>
      <c r="G1216" s="907"/>
      <c r="H1216" s="908"/>
      <c r="I1216" s="909"/>
      <c r="J1216" s="909"/>
      <c r="K1216" s="1451"/>
      <c r="L1216" s="1451"/>
      <c r="M1216" s="1451"/>
      <c r="N1216" s="1451"/>
      <c r="O1216" s="1451"/>
      <c r="P1216" s="912"/>
      <c r="Q1216" s="913"/>
      <c r="R1216" s="1452"/>
      <c r="S1216" s="1452"/>
      <c r="T1216" s="910"/>
      <c r="U1216" s="1450"/>
    </row>
    <row r="1217" spans="1:21" ht="19.5" customHeight="1">
      <c r="A1217" s="914"/>
      <c r="B1217" s="915"/>
      <c r="C1217" s="916"/>
      <c r="D1217" s="917"/>
      <c r="E1217" s="918">
        <f>SUM(E1208:E1213)</f>
        <v>0</v>
      </c>
      <c r="F1217" s="919"/>
      <c r="G1217" s="920"/>
      <c r="H1217" s="921"/>
      <c r="I1217" s="922"/>
      <c r="J1217" s="922"/>
      <c r="K1217" s="1453"/>
      <c r="L1217" s="1453"/>
      <c r="M1217" s="1453"/>
      <c r="N1217" s="1453"/>
      <c r="O1217" s="1453"/>
      <c r="P1217" s="923"/>
      <c r="Q1217" s="924"/>
      <c r="R1217" s="1454"/>
      <c r="S1217" s="1454"/>
      <c r="T1217" s="915"/>
      <c r="U1217" s="1450"/>
    </row>
    <row r="1218" spans="1:21" ht="15.75" customHeight="1">
      <c r="A1218" s="864"/>
      <c r="B1218" s="773"/>
      <c r="C1218" s="773"/>
      <c r="D1218" s="925"/>
      <c r="E1218" s="926"/>
      <c r="F1218" s="927"/>
      <c r="G1218" s="928"/>
      <c r="H1218" s="259"/>
      <c r="I1218" s="259"/>
      <c r="J1218" s="928"/>
      <c r="K1218" s="929"/>
      <c r="L1218" s="929"/>
      <c r="M1218" s="929"/>
      <c r="N1218" s="929"/>
      <c r="O1218" s="928"/>
      <c r="P1218" s="930"/>
      <c r="Q1218" s="931"/>
      <c r="R1218" s="931"/>
      <c r="U1218" s="932"/>
    </row>
    <row r="1219" spans="1:21" ht="18.75" customHeight="1">
      <c r="A1219" s="864"/>
      <c r="B1219" s="773"/>
      <c r="C1219" s="773"/>
      <c r="D1219" s="773"/>
      <c r="E1219" s="773"/>
      <c r="F1219" s="773"/>
      <c r="G1219" s="773"/>
      <c r="H1219" s="773"/>
      <c r="I1219" s="773"/>
      <c r="J1219" s="773"/>
      <c r="K1219" s="773"/>
      <c r="P1219" s="1446" t="s">
        <v>804</v>
      </c>
      <c r="Q1219" s="1446"/>
      <c r="R1219" s="1446"/>
      <c r="S1219" s="1446"/>
      <c r="T1219" s="1446"/>
      <c r="U1219" s="1446"/>
    </row>
    <row r="1220" spans="1:21" ht="18.75" customHeight="1">
      <c r="A1220" s="1447" t="s">
        <v>805</v>
      </c>
      <c r="B1220" s="1447"/>
      <c r="C1220" s="933"/>
      <c r="D1220" s="933"/>
      <c r="E1220" s="933"/>
      <c r="F1220" s="933"/>
      <c r="P1220" s="855"/>
      <c r="Q1220" s="855"/>
      <c r="R1220" s="855"/>
      <c r="S1220" s="855"/>
      <c r="T1220" s="855"/>
      <c r="U1220" s="934"/>
    </row>
    <row r="1221" spans="1:21" ht="18.75" customHeight="1">
      <c r="A1221" s="854"/>
      <c r="B1221" s="855"/>
      <c r="P1221" s="855"/>
      <c r="Q1221" s="855"/>
      <c r="R1221" s="855"/>
      <c r="S1221" s="855"/>
      <c r="T1221" s="855"/>
      <c r="U1221" s="934"/>
    </row>
    <row r="1222" spans="1:21" ht="18.75" customHeight="1">
      <c r="A1222" s="854" t="s">
        <v>806</v>
      </c>
      <c r="B1222" s="855"/>
      <c r="C1222" s="867"/>
      <c r="D1222" s="941"/>
      <c r="E1222" s="933"/>
      <c r="F1222" s="933"/>
      <c r="P1222" s="855"/>
      <c r="Q1222" s="855"/>
      <c r="R1222" s="855"/>
      <c r="S1222" s="855"/>
      <c r="T1222" s="855"/>
      <c r="U1222" s="934"/>
    </row>
    <row r="1223" spans="1:21" ht="18.75" customHeight="1">
      <c r="A1223" s="854"/>
      <c r="B1223" s="855"/>
      <c r="C1223" s="937"/>
      <c r="P1223" s="855"/>
      <c r="Q1223" s="855"/>
      <c r="R1223" s="855"/>
      <c r="S1223" s="855"/>
      <c r="T1223" s="855"/>
      <c r="U1223" s="934"/>
    </row>
    <row r="1224" spans="1:21" ht="19.5" customHeight="1">
      <c r="A1224" s="938"/>
      <c r="B1224" s="939"/>
      <c r="C1224" s="940"/>
      <c r="D1224" s="453"/>
      <c r="E1224" s="453"/>
      <c r="F1224" s="453"/>
      <c r="G1224" s="453"/>
      <c r="H1224" s="453"/>
      <c r="I1224" s="453"/>
      <c r="J1224" s="453"/>
      <c r="K1224" s="453"/>
      <c r="L1224" s="453"/>
      <c r="M1224" s="453"/>
      <c r="N1224" s="453"/>
      <c r="O1224" s="453"/>
      <c r="P1224" s="1448" t="s">
        <v>807</v>
      </c>
      <c r="Q1224" s="1448"/>
      <c r="R1224" s="1448"/>
      <c r="S1224" s="1448"/>
      <c r="T1224" s="1448"/>
      <c r="U1224" s="1448"/>
    </row>
    <row r="1225" spans="1:21" ht="45.75" customHeight="1">
      <c r="A1225" s="1455"/>
      <c r="B1225" s="1455"/>
      <c r="C1225" s="1455"/>
      <c r="D1225" s="847"/>
      <c r="E1225" s="1456" t="s">
        <v>774</v>
      </c>
      <c r="F1225" s="1456"/>
      <c r="G1225" s="1456"/>
      <c r="H1225" s="1456"/>
      <c r="I1225" s="1456"/>
      <c r="J1225" s="1456"/>
      <c r="K1225" s="1456"/>
      <c r="L1225" s="1456"/>
      <c r="M1225" s="1456"/>
      <c r="N1225" s="1456"/>
      <c r="O1225" s="1456"/>
      <c r="P1225" s="1456"/>
      <c r="Q1225" s="1456"/>
      <c r="R1225" s="1456"/>
      <c r="S1225" s="848"/>
      <c r="T1225" s="1457" t="s">
        <v>775</v>
      </c>
      <c r="U1225" s="1457"/>
    </row>
    <row r="1226" spans="1:21" ht="18.75" customHeight="1">
      <c r="A1226" s="849"/>
      <c r="E1226" s="1458" t="s">
        <v>776</v>
      </c>
      <c r="F1226" s="1458"/>
      <c r="G1226" s="1458"/>
      <c r="H1226" s="1458"/>
      <c r="I1226" s="1458"/>
      <c r="J1226" s="1458"/>
      <c r="K1226" s="1458"/>
      <c r="L1226" s="1458"/>
      <c r="M1226" s="1458"/>
      <c r="N1226" s="1458"/>
      <c r="O1226" s="1458"/>
      <c r="P1226" s="1458"/>
      <c r="Q1226" s="1458"/>
      <c r="R1226" s="1458"/>
      <c r="U1226" s="456"/>
    </row>
    <row r="1227" spans="1:21" ht="18.75" customHeight="1">
      <c r="A1227" s="850"/>
      <c r="F1227" s="587"/>
      <c r="G1227" s="587"/>
      <c r="H1227" s="587"/>
      <c r="I1227" s="587"/>
      <c r="J1227" s="587"/>
      <c r="K1227" s="587"/>
      <c r="L1227" s="587"/>
      <c r="M1227" s="851"/>
      <c r="N1227" s="852"/>
      <c r="O1227" s="851"/>
      <c r="P1227" s="1459" t="s">
        <v>777</v>
      </c>
      <c r="Q1227" s="1459"/>
      <c r="R1227" s="1459"/>
      <c r="S1227" s="1459"/>
      <c r="T1227" s="1459"/>
      <c r="U1227" s="1459"/>
    </row>
    <row r="1228" spans="1:21" ht="15" customHeight="1">
      <c r="A1228" s="849"/>
      <c r="E1228" s="1287" t="s">
        <v>778</v>
      </c>
      <c r="F1228" s="1287"/>
      <c r="G1228" s="1287"/>
      <c r="H1228" s="1287"/>
      <c r="I1228" s="1287"/>
      <c r="J1228" s="1287"/>
      <c r="K1228" s="1287"/>
      <c r="L1228" s="1287"/>
      <c r="M1228" s="1287"/>
      <c r="N1228" s="1287"/>
      <c r="O1228" s="1287"/>
      <c r="P1228" s="1287"/>
      <c r="Q1228" s="1287"/>
      <c r="R1228" s="1287"/>
      <c r="U1228" s="456"/>
    </row>
    <row r="1229" spans="1:21" ht="18.75" customHeight="1">
      <c r="A1229" s="849"/>
      <c r="E1229" s="1286" t="s">
        <v>779</v>
      </c>
      <c r="F1229" s="1286"/>
      <c r="G1229" s="1286"/>
      <c r="H1229" s="1286"/>
      <c r="I1229" s="1286"/>
      <c r="J1229" s="1286"/>
      <c r="K1229" s="1286"/>
      <c r="L1229" s="1286"/>
      <c r="M1229" s="1286"/>
      <c r="N1229" s="1286"/>
      <c r="O1229" s="1286"/>
      <c r="P1229" s="1286"/>
      <c r="Q1229" s="1286"/>
      <c r="R1229" s="1286"/>
      <c r="U1229" s="853"/>
    </row>
    <row r="1230" spans="1:21" ht="23.25" customHeight="1">
      <c r="A1230" s="854" t="s">
        <v>780</v>
      </c>
      <c r="B1230" s="855"/>
      <c r="C1230" s="855"/>
      <c r="D1230" s="856" t="s">
        <v>860</v>
      </c>
      <c r="E1230" s="857"/>
      <c r="F1230" s="858"/>
      <c r="G1230" s="859"/>
      <c r="H1230" s="859"/>
      <c r="I1230" s="859"/>
      <c r="J1230" s="859"/>
      <c r="K1230" s="859"/>
      <c r="L1230" s="860"/>
      <c r="M1230" s="1460"/>
      <c r="N1230" s="1460"/>
      <c r="O1230" s="1460"/>
      <c r="P1230" s="1461" t="s">
        <v>781</v>
      </c>
      <c r="Q1230" s="1461"/>
      <c r="R1230" s="1461"/>
      <c r="S1230" s="855"/>
      <c r="T1230" s="861" t="s">
        <v>886</v>
      </c>
      <c r="U1230" s="456"/>
    </row>
    <row r="1231" spans="1:21" ht="23.25" customHeight="1">
      <c r="A1231" s="854"/>
      <c r="B1231" s="862"/>
      <c r="C1231" s="862"/>
      <c r="D1231" s="862"/>
      <c r="E1231" s="163"/>
      <c r="F1231" s="863"/>
      <c r="G1231" s="863"/>
      <c r="H1231" s="863"/>
      <c r="I1231" s="863"/>
      <c r="J1231" s="863"/>
      <c r="K1231" s="863"/>
      <c r="U1231" s="456"/>
    </row>
    <row r="1232" spans="1:21" ht="21" customHeight="1">
      <c r="A1232" s="864" t="s">
        <v>782</v>
      </c>
      <c r="B1232" s="865"/>
      <c r="C1232" s="866"/>
      <c r="D1232" s="867"/>
      <c r="E1232" s="868"/>
      <c r="F1232" s="869"/>
      <c r="G1232" s="869"/>
      <c r="H1232" s="869"/>
      <c r="I1232" s="870"/>
      <c r="J1232" s="870"/>
      <c r="P1232" s="1462"/>
      <c r="Q1232" s="1462"/>
      <c r="R1232" s="1462"/>
      <c r="S1232" s="1462"/>
      <c r="T1232" s="871"/>
      <c r="U1232" s="456"/>
    </row>
    <row r="1233" spans="1:21" ht="21" customHeight="1">
      <c r="A1233" s="872"/>
      <c r="B1233" s="873"/>
      <c r="C1233" s="869"/>
      <c r="D1233" s="869"/>
      <c r="E1233" s="869"/>
      <c r="F1233" s="869"/>
      <c r="G1233" s="869"/>
      <c r="H1233" s="869"/>
      <c r="I1233" s="870"/>
      <c r="J1233" s="870"/>
      <c r="U1233" s="456"/>
    </row>
    <row r="1234" spans="1:21" ht="15" customHeight="1">
      <c r="A1234" s="1463" t="s">
        <v>783</v>
      </c>
      <c r="B1234" s="1463"/>
      <c r="C1234" s="1463"/>
      <c r="D1234" s="1463"/>
      <c r="E1234" s="1463"/>
      <c r="F1234" s="1463"/>
      <c r="G1234" s="1463"/>
      <c r="H1234" s="1463"/>
      <c r="I1234" s="1463"/>
      <c r="J1234" s="1463"/>
      <c r="K1234" s="1463"/>
      <c r="L1234" s="1463"/>
      <c r="M1234" s="1463"/>
      <c r="N1234" s="1463"/>
      <c r="O1234" s="1463"/>
      <c r="P1234" s="1463"/>
      <c r="Q1234" s="1463"/>
      <c r="R1234" s="1463"/>
      <c r="S1234" s="1463"/>
      <c r="T1234" s="1463"/>
      <c r="U1234" s="1463"/>
    </row>
    <row r="1235" spans="1:21" ht="15" customHeight="1">
      <c r="A1235" s="1463"/>
      <c r="B1235" s="1463"/>
      <c r="C1235" s="1463"/>
      <c r="D1235" s="1463"/>
      <c r="E1235" s="1463"/>
      <c r="F1235" s="1463"/>
      <c r="G1235" s="1463"/>
      <c r="H1235" s="1463"/>
      <c r="I1235" s="1463"/>
      <c r="J1235" s="1463"/>
      <c r="K1235" s="1463"/>
      <c r="L1235" s="1463"/>
      <c r="M1235" s="1463"/>
      <c r="N1235" s="1463"/>
      <c r="O1235" s="1463"/>
      <c r="P1235" s="1463"/>
      <c r="Q1235" s="1463"/>
      <c r="R1235" s="1463"/>
      <c r="S1235" s="1463"/>
      <c r="T1235" s="1463"/>
      <c r="U1235" s="1463"/>
    </row>
    <row r="1236" spans="1:21" ht="18" customHeight="1">
      <c r="A1236" s="1464" t="s">
        <v>784</v>
      </c>
      <c r="B1236" s="1464"/>
      <c r="C1236" s="1464"/>
      <c r="D1236" s="1464"/>
      <c r="E1236" s="1464"/>
      <c r="F1236" s="1464"/>
      <c r="G1236" s="1464"/>
      <c r="H1236" s="1464"/>
      <c r="I1236" s="1464"/>
      <c r="J1236" s="1464"/>
      <c r="K1236" s="1464"/>
      <c r="L1236" s="1464"/>
      <c r="M1236" s="1464"/>
      <c r="N1236" s="1464"/>
      <c r="O1236" s="1464"/>
      <c r="P1236" s="1464"/>
      <c r="Q1236" s="1464"/>
      <c r="R1236" s="1464"/>
      <c r="S1236" s="1464"/>
      <c r="T1236" s="1464"/>
      <c r="U1236" s="1464"/>
    </row>
    <row r="1237" spans="1:21" ht="23.25" customHeight="1">
      <c r="A1237" s="1465" t="s">
        <v>785</v>
      </c>
      <c r="B1237" s="1465"/>
      <c r="C1237" s="1465"/>
      <c r="D1237" s="1465"/>
      <c r="E1237" s="1465"/>
      <c r="F1237" s="1465"/>
      <c r="G1237" s="1465"/>
      <c r="H1237" s="1465"/>
      <c r="I1237" s="1465"/>
      <c r="J1237" s="1465"/>
      <c r="K1237" s="1465"/>
      <c r="L1237" s="1465"/>
      <c r="M1237" s="1465"/>
      <c r="N1237" s="1465"/>
      <c r="O1237" s="1465"/>
      <c r="P1237" s="1465"/>
      <c r="Q1237" s="1465"/>
      <c r="R1237" s="1465"/>
      <c r="S1237" s="1465"/>
      <c r="T1237" s="1465"/>
      <c r="U1237" s="1465"/>
    </row>
    <row r="1238" spans="1:21" ht="21.75" customHeight="1">
      <c r="A1238" s="874"/>
      <c r="B1238" s="875"/>
      <c r="C1238" s="875"/>
      <c r="D1238" s="875"/>
      <c r="E1238" s="875"/>
      <c r="F1238" s="875"/>
      <c r="G1238" s="875"/>
      <c r="H1238" s="875"/>
      <c r="I1238" s="875"/>
      <c r="J1238" s="875"/>
      <c r="K1238" s="875"/>
      <c r="L1238" s="875"/>
      <c r="M1238" s="875"/>
      <c r="N1238" s="875"/>
      <c r="O1238" s="875"/>
      <c r="P1238" s="875"/>
      <c r="Q1238" s="875"/>
      <c r="R1238" s="875"/>
      <c r="S1238" s="875"/>
      <c r="T1238" s="875"/>
      <c r="U1238" s="876"/>
    </row>
    <row r="1239" spans="1:21" ht="15" customHeight="1">
      <c r="A1239" s="1466" t="s">
        <v>786</v>
      </c>
      <c r="B1239" s="1467" t="s">
        <v>787</v>
      </c>
      <c r="C1239" s="1468" t="s">
        <v>788</v>
      </c>
      <c r="D1239" s="1468" t="s">
        <v>789</v>
      </c>
      <c r="E1239" s="1469" t="s">
        <v>790</v>
      </c>
      <c r="F1239" s="1468" t="s">
        <v>791</v>
      </c>
      <c r="G1239" s="1468"/>
      <c r="H1239" s="1468"/>
      <c r="I1239" s="1468"/>
      <c r="J1239" s="1468"/>
      <c r="K1239" s="1468"/>
      <c r="L1239" s="1468"/>
      <c r="M1239" s="1468"/>
      <c r="N1239" s="1468"/>
      <c r="O1239" s="1468"/>
      <c r="P1239" s="1470"/>
      <c r="Q1239" s="1470"/>
      <c r="R1239" s="1470"/>
      <c r="S1239" s="1470"/>
      <c r="T1239" s="1470"/>
      <c r="U1239" s="1470"/>
    </row>
    <row r="1240" spans="1:21" ht="15.75" customHeight="1">
      <c r="A1240" s="1466"/>
      <c r="B1240" s="1467"/>
      <c r="C1240" s="1468"/>
      <c r="D1240" s="1468"/>
      <c r="E1240" s="1469"/>
      <c r="F1240" s="1468"/>
      <c r="G1240" s="1468"/>
      <c r="H1240" s="1468"/>
      <c r="I1240" s="1468"/>
      <c r="J1240" s="1468"/>
      <c r="K1240" s="1468"/>
      <c r="L1240" s="1468"/>
      <c r="M1240" s="1468"/>
      <c r="N1240" s="1468"/>
      <c r="O1240" s="1468"/>
      <c r="P1240" s="1470"/>
      <c r="Q1240" s="1470"/>
      <c r="R1240" s="1470"/>
      <c r="S1240" s="1470"/>
      <c r="T1240" s="1470"/>
      <c r="U1240" s="1470"/>
    </row>
    <row r="1241" spans="1:21" ht="48" customHeight="1">
      <c r="A1241" s="1466"/>
      <c r="B1241" s="1467"/>
      <c r="C1241" s="1468"/>
      <c r="D1241" s="1468"/>
      <c r="E1241" s="1469"/>
      <c r="F1241" s="878" t="s">
        <v>792</v>
      </c>
      <c r="G1241" s="877" t="s">
        <v>793</v>
      </c>
      <c r="H1241" s="878" t="s">
        <v>794</v>
      </c>
      <c r="I1241" s="879" t="s">
        <v>795</v>
      </c>
      <c r="J1241" s="880" t="s">
        <v>796</v>
      </c>
      <c r="K1241" s="1468" t="s">
        <v>797</v>
      </c>
      <c r="L1241" s="1468"/>
      <c r="M1241" s="1468"/>
      <c r="N1241" s="1468"/>
      <c r="O1241" s="1468"/>
      <c r="P1241" s="881" t="s">
        <v>798</v>
      </c>
      <c r="Q1241" s="882" t="s">
        <v>799</v>
      </c>
      <c r="R1241" s="1469" t="s">
        <v>800</v>
      </c>
      <c r="S1241" s="1469"/>
      <c r="T1241" s="877" t="s">
        <v>801</v>
      </c>
      <c r="U1241" s="879" t="s">
        <v>104</v>
      </c>
    </row>
    <row r="1242" spans="1:21" ht="19.5" customHeight="1">
      <c r="A1242" s="883"/>
      <c r="B1242" s="884" t="str">
        <f>IF('BIS Doc'!AC583=130, "130 × 130", IF('BIS Doc'!AC583=160, "160 × 160", IF('BIS Doc'!AC583=110, "110 × 110", "Value not 130, 160, or 110")))</f>
        <v>Value not 130, 160, or 110</v>
      </c>
      <c r="C1242" s="885">
        <f>'BIS Doc'!W583</f>
        <v>0</v>
      </c>
      <c r="D1242" s="886"/>
      <c r="E1242" s="887">
        <f>'BIS Doc'!AE583</f>
        <v>0</v>
      </c>
      <c r="F1242" s="888">
        <f ca="1">'BIS Doc'!F583</f>
        <v>0</v>
      </c>
      <c r="G1242" s="888">
        <f ca="1">'BIS Doc'!J583</f>
        <v>0</v>
      </c>
      <c r="H1242" s="888">
        <f ca="1">'BIS Doc'!G583</f>
        <v>0.54514788148600368</v>
      </c>
      <c r="I1242" s="889">
        <f ca="1">'BIS Doc'!H583</f>
        <v>0</v>
      </c>
      <c r="J1242" s="889">
        <f ca="1">'BIS Doc'!I583</f>
        <v>0</v>
      </c>
      <c r="K1242" s="1449" t="str">
        <f t="shared" ref="K1242:K1247" ca="1" si="36">IF(H1242&lt;0.6, "IS 14650 CPS 10748/GR2", "IS 14650 CPS 10748/GR3")</f>
        <v>IS 14650 CPS 10748/GR2</v>
      </c>
      <c r="L1242" s="1449"/>
      <c r="M1242" s="1449"/>
      <c r="N1242" s="1449"/>
      <c r="O1242" s="1449"/>
      <c r="P1242" s="890"/>
      <c r="Q1242" s="891"/>
      <c r="R1242" s="1449"/>
      <c r="S1242" s="1449"/>
      <c r="T1242" s="892"/>
      <c r="U1242" s="1450" t="s">
        <v>802</v>
      </c>
    </row>
    <row r="1243" spans="1:21" ht="19.5" customHeight="1">
      <c r="A1243" s="893"/>
      <c r="B1243" s="894" t="str">
        <f>IF('BIS Doc'!AC585=130, "130 × 130", IF('BIS Doc'!AC585=160, "160 × 160", IF('BIS Doc'!AC585=110, "110 × 110", "Value not 130, 160, or 110")))</f>
        <v>Value not 130, 160, or 110</v>
      </c>
      <c r="C1243" s="895">
        <f>'BIS Doc'!W585</f>
        <v>0</v>
      </c>
      <c r="D1243" s="896"/>
      <c r="E1243" s="897">
        <f>'BIS Doc'!AE585</f>
        <v>0</v>
      </c>
      <c r="F1243" s="898">
        <f ca="1">'BIS Doc'!F585</f>
        <v>0</v>
      </c>
      <c r="G1243" s="899">
        <f ca="1">'BIS Doc'!J585</f>
        <v>0</v>
      </c>
      <c r="H1243" s="900">
        <f ca="1">'BIS Doc'!G585</f>
        <v>0.5555622260121833</v>
      </c>
      <c r="I1243" s="901">
        <f ca="1">'BIS Doc'!H585</f>
        <v>0</v>
      </c>
      <c r="J1243" s="901">
        <f ca="1">'BIS Doc'!I585</f>
        <v>0</v>
      </c>
      <c r="K1243" s="1451" t="str">
        <f t="shared" ca="1" si="36"/>
        <v>IS 14650 CPS 10748/GR2</v>
      </c>
      <c r="L1243" s="1451"/>
      <c r="M1243" s="1451"/>
      <c r="N1243" s="1451"/>
      <c r="O1243" s="1451"/>
      <c r="P1243" s="902"/>
      <c r="Q1243" s="903"/>
      <c r="R1243" s="1451"/>
      <c r="S1243" s="1451"/>
      <c r="T1243" s="904"/>
      <c r="U1243" s="1450"/>
    </row>
    <row r="1244" spans="1:21" ht="19.5" customHeight="1">
      <c r="A1244" s="864"/>
      <c r="B1244" s="894" t="str">
        <f>IF('BIS Doc'!AC587=130, "130 × 130", IF('BIS Doc'!AC587=160, "160 × 160", IF('BIS Doc'!AC587=110, "110 × 110", "Value not 130, 160, or 110")))</f>
        <v>Value not 130, 160, or 110</v>
      </c>
      <c r="C1244" s="895">
        <f>'BIS Doc'!W587</f>
        <v>0</v>
      </c>
      <c r="D1244" s="896" t="s">
        <v>803</v>
      </c>
      <c r="E1244" s="897">
        <f>'BIS Doc'!AE587</f>
        <v>0</v>
      </c>
      <c r="F1244" s="898">
        <f ca="1">'BIS Doc'!F587</f>
        <v>0</v>
      </c>
      <c r="G1244" s="899">
        <f ca="1">'BIS Doc'!J587</f>
        <v>0</v>
      </c>
      <c r="H1244" s="900">
        <f ca="1">'BIS Doc'!G587</f>
        <v>0.51202180484202564</v>
      </c>
      <c r="I1244" s="901">
        <f ca="1">'BIS Doc'!H587</f>
        <v>0</v>
      </c>
      <c r="J1244" s="901">
        <f ca="1">'BIS Doc'!I587</f>
        <v>0</v>
      </c>
      <c r="K1244" s="1451" t="str">
        <f t="shared" ca="1" si="36"/>
        <v>IS 14650 CPS 10748/GR2</v>
      </c>
      <c r="L1244" s="1451"/>
      <c r="M1244" s="1451"/>
      <c r="N1244" s="1451"/>
      <c r="O1244" s="1451"/>
      <c r="P1244" s="902"/>
      <c r="Q1244" s="905"/>
      <c r="R1244" s="1451"/>
      <c r="S1244" s="1451"/>
      <c r="T1244" s="904"/>
      <c r="U1244" s="1450"/>
    </row>
    <row r="1245" spans="1:21" ht="19.5" customHeight="1">
      <c r="A1245" s="864"/>
      <c r="B1245" s="894" t="str">
        <f>IF('BIS Doc'!AC589=130, "130 × 130", IF('BIS Doc'!AC589=160, "160 × 160", IF('BIS Doc'!AC589=110, "110 × 110", "Value not 130, 160, or 110")))</f>
        <v>Value not 130, 160, or 110</v>
      </c>
      <c r="C1245" s="895">
        <f>'BIS Doc'!W589</f>
        <v>0</v>
      </c>
      <c r="D1245" s="896"/>
      <c r="E1245" s="897">
        <f>'BIS Doc'!AE589</f>
        <v>0</v>
      </c>
      <c r="F1245" s="898">
        <f ca="1">'BIS Doc'!F589</f>
        <v>0</v>
      </c>
      <c r="G1245" s="899">
        <f ca="1">'BIS Doc'!J589</f>
        <v>0</v>
      </c>
      <c r="H1245" s="900">
        <f ca="1">'BIS Doc'!G589</f>
        <v>0.52070375206449893</v>
      </c>
      <c r="I1245" s="901">
        <f ca="1">'BIS Doc'!H589</f>
        <v>0</v>
      </c>
      <c r="J1245" s="901">
        <f ca="1">'BIS Doc'!I589</f>
        <v>0</v>
      </c>
      <c r="K1245" s="1451" t="str">
        <f t="shared" ca="1" si="36"/>
        <v>IS 14650 CPS 10748/GR2</v>
      </c>
      <c r="L1245" s="1451"/>
      <c r="M1245" s="1451"/>
      <c r="N1245" s="1451"/>
      <c r="O1245" s="1451"/>
      <c r="P1245" s="902"/>
      <c r="Q1245" s="905"/>
      <c r="R1245" s="1451"/>
      <c r="S1245" s="1451"/>
      <c r="T1245" s="904"/>
      <c r="U1245" s="1450"/>
    </row>
    <row r="1246" spans="1:21" ht="19.5" customHeight="1">
      <c r="A1246" s="864"/>
      <c r="B1246" s="894" t="str">
        <f>IF('BIS Doc'!AC591=130, "130 × 130", IF('BIS Doc'!AC591=160, "160 × 160", IF('BIS Doc'!AC591=110, "110 × 110", "Value not 130, 160, or 110")))</f>
        <v>Value not 130, 160, or 110</v>
      </c>
      <c r="C1246" s="895">
        <f>'BIS Doc'!W591</f>
        <v>0</v>
      </c>
      <c r="D1246" s="896"/>
      <c r="E1246" s="897">
        <f>'BIS Doc'!AE591</f>
        <v>0</v>
      </c>
      <c r="F1246" s="898">
        <f ca="1">'BIS Doc'!F591</f>
        <v>0</v>
      </c>
      <c r="G1246" s="899">
        <f ca="1">'BIS Doc'!J591</f>
        <v>0</v>
      </c>
      <c r="H1246" s="900">
        <f ca="1">'BIS Doc'!G591</f>
        <v>0.50956129403295181</v>
      </c>
      <c r="I1246" s="901">
        <f ca="1">'BIS Doc'!H591</f>
        <v>0</v>
      </c>
      <c r="J1246" s="901">
        <f ca="1">'BIS Doc'!I591</f>
        <v>0</v>
      </c>
      <c r="K1246" s="1451" t="str">
        <f t="shared" ca="1" si="36"/>
        <v>IS 14650 CPS 10748/GR2</v>
      </c>
      <c r="L1246" s="1451"/>
      <c r="M1246" s="1451"/>
      <c r="N1246" s="1451"/>
      <c r="O1246" s="1451"/>
      <c r="P1246" s="902"/>
      <c r="Q1246" s="905"/>
      <c r="R1246" s="1451"/>
      <c r="S1246" s="1451"/>
      <c r="T1246" s="904"/>
      <c r="U1246" s="1450"/>
    </row>
    <row r="1247" spans="1:21" ht="19.5" customHeight="1">
      <c r="A1247" s="864"/>
      <c r="B1247" s="894" t="str">
        <f>IF('BIS Doc'!AC593=130, "130 × 130", IF('BIS Doc'!AC593=160, "160 × 160", IF('BIS Doc'!AC593=110, "110 × 110", "Value not 130, 160, or 110")))</f>
        <v>Value not 130, 160, or 110</v>
      </c>
      <c r="C1247" s="895">
        <f>'BIS Doc'!W593</f>
        <v>0</v>
      </c>
      <c r="D1247" s="896"/>
      <c r="E1247" s="897">
        <f>'BIS Doc'!AE593</f>
        <v>0</v>
      </c>
      <c r="F1247" s="898">
        <f ca="1">'BIS Doc'!F593</f>
        <v>0</v>
      </c>
      <c r="G1247" s="899">
        <f ca="1">'BIS Doc'!J593</f>
        <v>0</v>
      </c>
      <c r="H1247" s="900">
        <f ca="1">'BIS Doc'!G593</f>
        <v>0.55790463541882107</v>
      </c>
      <c r="I1247" s="901">
        <f ca="1">'BIS Doc'!H593</f>
        <v>0</v>
      </c>
      <c r="J1247" s="901">
        <f ca="1">'BIS Doc'!I593</f>
        <v>0</v>
      </c>
      <c r="K1247" s="1451" t="str">
        <f t="shared" ca="1" si="36"/>
        <v>IS 14650 CPS 10748/GR2</v>
      </c>
      <c r="L1247" s="1451"/>
      <c r="M1247" s="1451"/>
      <c r="N1247" s="1451"/>
      <c r="O1247" s="1451"/>
      <c r="P1247" s="902"/>
      <c r="Q1247" s="903"/>
      <c r="R1247" s="1451"/>
      <c r="S1247" s="1451"/>
      <c r="T1247" s="904"/>
      <c r="U1247" s="1450"/>
    </row>
    <row r="1248" spans="1:21" ht="19.5" customHeight="1">
      <c r="A1248" s="864"/>
      <c r="B1248" s="904"/>
      <c r="C1248" s="895"/>
      <c r="D1248" s="896"/>
      <c r="E1248" s="897"/>
      <c r="F1248" s="906"/>
      <c r="G1248" s="907"/>
      <c r="H1248" s="908"/>
      <c r="I1248" s="909"/>
      <c r="J1248" s="909"/>
      <c r="K1248" s="1451"/>
      <c r="L1248" s="1451"/>
      <c r="M1248" s="1451"/>
      <c r="N1248" s="1451"/>
      <c r="O1248" s="1451"/>
      <c r="P1248" s="902"/>
      <c r="Q1248" s="903"/>
      <c r="R1248" s="1451"/>
      <c r="S1248" s="1451"/>
      <c r="T1248" s="904"/>
      <c r="U1248" s="1450"/>
    </row>
    <row r="1249" spans="1:21" ht="19.5" customHeight="1">
      <c r="A1249" s="864"/>
      <c r="B1249" s="904"/>
      <c r="C1249" s="895"/>
      <c r="D1249" s="896"/>
      <c r="E1249" s="897"/>
      <c r="F1249" s="906"/>
      <c r="G1249" s="907"/>
      <c r="H1249" s="908"/>
      <c r="I1249" s="909"/>
      <c r="J1249" s="909"/>
      <c r="K1249" s="1451"/>
      <c r="L1249" s="1451"/>
      <c r="M1249" s="1451"/>
      <c r="N1249" s="1451"/>
      <c r="O1249" s="1451"/>
      <c r="P1249" s="902"/>
      <c r="Q1249" s="905"/>
      <c r="R1249" s="1451"/>
      <c r="S1249" s="1451"/>
      <c r="T1249" s="904"/>
      <c r="U1249" s="1450"/>
    </row>
    <row r="1250" spans="1:21" ht="19.5" customHeight="1">
      <c r="A1250" s="864"/>
      <c r="B1250" s="910"/>
      <c r="C1250" s="911"/>
      <c r="D1250" s="896"/>
      <c r="E1250" s="897"/>
      <c r="F1250" s="906"/>
      <c r="G1250" s="907"/>
      <c r="H1250" s="908"/>
      <c r="I1250" s="909"/>
      <c r="J1250" s="909"/>
      <c r="K1250" s="1451"/>
      <c r="L1250" s="1451"/>
      <c r="M1250" s="1451"/>
      <c r="N1250" s="1451"/>
      <c r="O1250" s="1451"/>
      <c r="P1250" s="912"/>
      <c r="Q1250" s="913"/>
      <c r="R1250" s="1452"/>
      <c r="S1250" s="1452"/>
      <c r="T1250" s="910"/>
      <c r="U1250" s="1450"/>
    </row>
    <row r="1251" spans="1:21" ht="19.5" customHeight="1">
      <c r="A1251" s="914"/>
      <c r="B1251" s="915"/>
      <c r="C1251" s="916"/>
      <c r="D1251" s="917"/>
      <c r="E1251" s="918">
        <f>SUM(E1242:E1247)</f>
        <v>0</v>
      </c>
      <c r="F1251" s="919"/>
      <c r="G1251" s="920"/>
      <c r="H1251" s="921"/>
      <c r="I1251" s="922"/>
      <c r="J1251" s="922"/>
      <c r="K1251" s="1453"/>
      <c r="L1251" s="1453"/>
      <c r="M1251" s="1453"/>
      <c r="N1251" s="1453"/>
      <c r="O1251" s="1453"/>
      <c r="P1251" s="923"/>
      <c r="Q1251" s="924"/>
      <c r="R1251" s="1454"/>
      <c r="S1251" s="1454"/>
      <c r="T1251" s="915"/>
      <c r="U1251" s="1450"/>
    </row>
    <row r="1252" spans="1:21" ht="15.75" customHeight="1">
      <c r="A1252" s="864"/>
      <c r="B1252" s="773"/>
      <c r="C1252" s="773"/>
      <c r="D1252" s="925"/>
      <c r="E1252" s="926"/>
      <c r="F1252" s="927"/>
      <c r="G1252" s="928"/>
      <c r="H1252" s="259"/>
      <c r="I1252" s="259"/>
      <c r="J1252" s="928"/>
      <c r="K1252" s="929"/>
      <c r="L1252" s="929"/>
      <c r="M1252" s="929"/>
      <c r="N1252" s="929"/>
      <c r="O1252" s="928"/>
      <c r="P1252" s="930"/>
      <c r="Q1252" s="931"/>
      <c r="R1252" s="931"/>
      <c r="U1252" s="932"/>
    </row>
    <row r="1253" spans="1:21" ht="18.75" customHeight="1">
      <c r="A1253" s="864"/>
      <c r="B1253" s="773"/>
      <c r="C1253" s="773"/>
      <c r="D1253" s="773"/>
      <c r="E1253" s="773"/>
      <c r="F1253" s="773"/>
      <c r="G1253" s="773"/>
      <c r="H1253" s="773"/>
      <c r="I1253" s="773"/>
      <c r="J1253" s="773"/>
      <c r="K1253" s="773"/>
      <c r="P1253" s="1446" t="s">
        <v>804</v>
      </c>
      <c r="Q1253" s="1446"/>
      <c r="R1253" s="1446"/>
      <c r="S1253" s="1446"/>
      <c r="T1253" s="1446"/>
      <c r="U1253" s="1446"/>
    </row>
    <row r="1254" spans="1:21" ht="18.75" customHeight="1">
      <c r="A1254" s="1447" t="s">
        <v>805</v>
      </c>
      <c r="B1254" s="1447"/>
      <c r="C1254" s="933"/>
      <c r="D1254" s="933"/>
      <c r="E1254" s="933"/>
      <c r="F1254" s="933"/>
      <c r="P1254" s="855"/>
      <c r="Q1254" s="855"/>
      <c r="R1254" s="855"/>
      <c r="S1254" s="855"/>
      <c r="T1254" s="855"/>
      <c r="U1254" s="934"/>
    </row>
    <row r="1255" spans="1:21" ht="18.75" customHeight="1">
      <c r="A1255" s="854"/>
      <c r="B1255" s="855"/>
      <c r="P1255" s="855"/>
      <c r="Q1255" s="855"/>
      <c r="R1255" s="855"/>
      <c r="S1255" s="855"/>
      <c r="T1255" s="855"/>
      <c r="U1255" s="934"/>
    </row>
    <row r="1256" spans="1:21" ht="18.75" customHeight="1">
      <c r="A1256" s="854" t="s">
        <v>806</v>
      </c>
      <c r="B1256" s="855"/>
      <c r="C1256" s="867"/>
      <c r="D1256" s="941"/>
      <c r="E1256" s="933"/>
      <c r="F1256" s="933"/>
      <c r="P1256" s="855"/>
      <c r="Q1256" s="855"/>
      <c r="R1256" s="855"/>
      <c r="S1256" s="855"/>
      <c r="T1256" s="855"/>
      <c r="U1256" s="934"/>
    </row>
    <row r="1257" spans="1:21" ht="18.75" customHeight="1">
      <c r="A1257" s="854"/>
      <c r="B1257" s="855"/>
      <c r="C1257" s="937"/>
      <c r="P1257" s="855"/>
      <c r="Q1257" s="855"/>
      <c r="R1257" s="855"/>
      <c r="S1257" s="855"/>
      <c r="T1257" s="855"/>
      <c r="U1257" s="934"/>
    </row>
    <row r="1258" spans="1:21" ht="19.5" customHeight="1">
      <c r="A1258" s="938"/>
      <c r="B1258" s="939"/>
      <c r="C1258" s="940"/>
      <c r="D1258" s="453"/>
      <c r="E1258" s="453"/>
      <c r="F1258" s="453"/>
      <c r="G1258" s="453"/>
      <c r="H1258" s="453"/>
      <c r="I1258" s="453"/>
      <c r="J1258" s="453"/>
      <c r="K1258" s="453"/>
      <c r="L1258" s="453"/>
      <c r="M1258" s="453"/>
      <c r="N1258" s="453"/>
      <c r="O1258" s="453"/>
      <c r="P1258" s="1448" t="s">
        <v>807</v>
      </c>
      <c r="Q1258" s="1448"/>
      <c r="R1258" s="1448"/>
      <c r="S1258" s="1448"/>
      <c r="T1258" s="1448"/>
      <c r="U1258" s="1448"/>
    </row>
    <row r="1259" spans="1:21" ht="45.75" customHeight="1">
      <c r="A1259" s="1455"/>
      <c r="B1259" s="1455"/>
      <c r="C1259" s="1455"/>
      <c r="D1259" s="847"/>
      <c r="E1259" s="1456" t="s">
        <v>774</v>
      </c>
      <c r="F1259" s="1456"/>
      <c r="G1259" s="1456"/>
      <c r="H1259" s="1456"/>
      <c r="I1259" s="1456"/>
      <c r="J1259" s="1456"/>
      <c r="K1259" s="1456"/>
      <c r="L1259" s="1456"/>
      <c r="M1259" s="1456"/>
      <c r="N1259" s="1456"/>
      <c r="O1259" s="1456"/>
      <c r="P1259" s="1456"/>
      <c r="Q1259" s="1456"/>
      <c r="R1259" s="1456"/>
      <c r="S1259" s="848"/>
      <c r="T1259" s="1457" t="s">
        <v>775</v>
      </c>
      <c r="U1259" s="1457"/>
    </row>
    <row r="1260" spans="1:21" ht="18.75" customHeight="1">
      <c r="A1260" s="849"/>
      <c r="E1260" s="1458" t="s">
        <v>776</v>
      </c>
      <c r="F1260" s="1458"/>
      <c r="G1260" s="1458"/>
      <c r="H1260" s="1458"/>
      <c r="I1260" s="1458"/>
      <c r="J1260" s="1458"/>
      <c r="K1260" s="1458"/>
      <c r="L1260" s="1458"/>
      <c r="M1260" s="1458"/>
      <c r="N1260" s="1458"/>
      <c r="O1260" s="1458"/>
      <c r="P1260" s="1458"/>
      <c r="Q1260" s="1458"/>
      <c r="R1260" s="1458"/>
      <c r="U1260" s="456"/>
    </row>
    <row r="1261" spans="1:21" ht="18.75" customHeight="1">
      <c r="A1261" s="850"/>
      <c r="F1261" s="587"/>
      <c r="G1261" s="587"/>
      <c r="H1261" s="587"/>
      <c r="I1261" s="587"/>
      <c r="J1261" s="587"/>
      <c r="K1261" s="587"/>
      <c r="L1261" s="587"/>
      <c r="M1261" s="851"/>
      <c r="N1261" s="852"/>
      <c r="O1261" s="851"/>
      <c r="P1261" s="1459" t="s">
        <v>777</v>
      </c>
      <c r="Q1261" s="1459"/>
      <c r="R1261" s="1459"/>
      <c r="S1261" s="1459"/>
      <c r="T1261" s="1459"/>
      <c r="U1261" s="1459"/>
    </row>
    <row r="1262" spans="1:21" ht="15" customHeight="1">
      <c r="A1262" s="849"/>
      <c r="E1262" s="1287" t="s">
        <v>778</v>
      </c>
      <c r="F1262" s="1287"/>
      <c r="G1262" s="1287"/>
      <c r="H1262" s="1287"/>
      <c r="I1262" s="1287"/>
      <c r="J1262" s="1287"/>
      <c r="K1262" s="1287"/>
      <c r="L1262" s="1287"/>
      <c r="M1262" s="1287"/>
      <c r="N1262" s="1287"/>
      <c r="O1262" s="1287"/>
      <c r="P1262" s="1287"/>
      <c r="Q1262" s="1287"/>
      <c r="R1262" s="1287"/>
      <c r="U1262" s="456"/>
    </row>
    <row r="1263" spans="1:21" ht="18.75" customHeight="1">
      <c r="A1263" s="849"/>
      <c r="E1263" s="1286" t="s">
        <v>779</v>
      </c>
      <c r="F1263" s="1286"/>
      <c r="G1263" s="1286"/>
      <c r="H1263" s="1286"/>
      <c r="I1263" s="1286"/>
      <c r="J1263" s="1286"/>
      <c r="K1263" s="1286"/>
      <c r="L1263" s="1286"/>
      <c r="M1263" s="1286"/>
      <c r="N1263" s="1286"/>
      <c r="O1263" s="1286"/>
      <c r="P1263" s="1286"/>
      <c r="Q1263" s="1286"/>
      <c r="R1263" s="1286"/>
      <c r="U1263" s="853"/>
    </row>
    <row r="1264" spans="1:21" ht="23.25" customHeight="1">
      <c r="A1264" s="854" t="s">
        <v>780</v>
      </c>
      <c r="B1264" s="855"/>
      <c r="C1264" s="855"/>
      <c r="D1264" s="856" t="s">
        <v>861</v>
      </c>
      <c r="E1264" s="857"/>
      <c r="F1264" s="858"/>
      <c r="G1264" s="859"/>
      <c r="H1264" s="859"/>
      <c r="I1264" s="859"/>
      <c r="J1264" s="859"/>
      <c r="K1264" s="859"/>
      <c r="L1264" s="860"/>
      <c r="M1264" s="1460"/>
      <c r="N1264" s="1460"/>
      <c r="O1264" s="1460"/>
      <c r="P1264" s="1461" t="s">
        <v>781</v>
      </c>
      <c r="Q1264" s="1461"/>
      <c r="R1264" s="1461"/>
      <c r="S1264" s="855"/>
      <c r="T1264" s="861" t="s">
        <v>886</v>
      </c>
      <c r="U1264" s="456"/>
    </row>
    <row r="1265" spans="1:21" ht="23.25" customHeight="1">
      <c r="A1265" s="854"/>
      <c r="B1265" s="862"/>
      <c r="C1265" s="862"/>
      <c r="D1265" s="862"/>
      <c r="E1265" s="163"/>
      <c r="F1265" s="863"/>
      <c r="G1265" s="863"/>
      <c r="H1265" s="863"/>
      <c r="I1265" s="863"/>
      <c r="J1265" s="863"/>
      <c r="K1265" s="863"/>
      <c r="U1265" s="456"/>
    </row>
    <row r="1266" spans="1:21" ht="21" customHeight="1">
      <c r="A1266" s="864" t="s">
        <v>782</v>
      </c>
      <c r="B1266" s="865"/>
      <c r="C1266" s="866"/>
      <c r="D1266" s="867"/>
      <c r="E1266" s="868"/>
      <c r="F1266" s="869"/>
      <c r="G1266" s="869"/>
      <c r="H1266" s="869"/>
      <c r="I1266" s="870"/>
      <c r="J1266" s="870"/>
      <c r="P1266" s="1462"/>
      <c r="Q1266" s="1462"/>
      <c r="R1266" s="1462"/>
      <c r="S1266" s="1462"/>
      <c r="T1266" s="871"/>
      <c r="U1266" s="456"/>
    </row>
    <row r="1267" spans="1:21" ht="21" customHeight="1">
      <c r="A1267" s="872"/>
      <c r="B1267" s="873"/>
      <c r="C1267" s="869"/>
      <c r="D1267" s="869"/>
      <c r="E1267" s="869"/>
      <c r="F1267" s="869"/>
      <c r="G1267" s="869"/>
      <c r="H1267" s="869"/>
      <c r="I1267" s="870"/>
      <c r="J1267" s="870"/>
      <c r="U1267" s="456"/>
    </row>
    <row r="1268" spans="1:21" ht="15" customHeight="1">
      <c r="A1268" s="1463" t="s">
        <v>783</v>
      </c>
      <c r="B1268" s="1463"/>
      <c r="C1268" s="1463"/>
      <c r="D1268" s="1463"/>
      <c r="E1268" s="1463"/>
      <c r="F1268" s="1463"/>
      <c r="G1268" s="1463"/>
      <c r="H1268" s="1463"/>
      <c r="I1268" s="1463"/>
      <c r="J1268" s="1463"/>
      <c r="K1268" s="1463"/>
      <c r="L1268" s="1463"/>
      <c r="M1268" s="1463"/>
      <c r="N1268" s="1463"/>
      <c r="O1268" s="1463"/>
      <c r="P1268" s="1463"/>
      <c r="Q1268" s="1463"/>
      <c r="R1268" s="1463"/>
      <c r="S1268" s="1463"/>
      <c r="T1268" s="1463"/>
      <c r="U1268" s="1463"/>
    </row>
    <row r="1269" spans="1:21" ht="15" customHeight="1">
      <c r="A1269" s="1463"/>
      <c r="B1269" s="1463"/>
      <c r="C1269" s="1463"/>
      <c r="D1269" s="1463"/>
      <c r="E1269" s="1463"/>
      <c r="F1269" s="1463"/>
      <c r="G1269" s="1463"/>
      <c r="H1269" s="1463"/>
      <c r="I1269" s="1463"/>
      <c r="J1269" s="1463"/>
      <c r="K1269" s="1463"/>
      <c r="L1269" s="1463"/>
      <c r="M1269" s="1463"/>
      <c r="N1269" s="1463"/>
      <c r="O1269" s="1463"/>
      <c r="P1269" s="1463"/>
      <c r="Q1269" s="1463"/>
      <c r="R1269" s="1463"/>
      <c r="S1269" s="1463"/>
      <c r="T1269" s="1463"/>
      <c r="U1269" s="1463"/>
    </row>
    <row r="1270" spans="1:21" ht="18" customHeight="1">
      <c r="A1270" s="1464" t="s">
        <v>784</v>
      </c>
      <c r="B1270" s="1464"/>
      <c r="C1270" s="1464"/>
      <c r="D1270" s="1464"/>
      <c r="E1270" s="1464"/>
      <c r="F1270" s="1464"/>
      <c r="G1270" s="1464"/>
      <c r="H1270" s="1464"/>
      <c r="I1270" s="1464"/>
      <c r="J1270" s="1464"/>
      <c r="K1270" s="1464"/>
      <c r="L1270" s="1464"/>
      <c r="M1270" s="1464"/>
      <c r="N1270" s="1464"/>
      <c r="O1270" s="1464"/>
      <c r="P1270" s="1464"/>
      <c r="Q1270" s="1464"/>
      <c r="R1270" s="1464"/>
      <c r="S1270" s="1464"/>
      <c r="T1270" s="1464"/>
      <c r="U1270" s="1464"/>
    </row>
    <row r="1271" spans="1:21" ht="23.25" customHeight="1">
      <c r="A1271" s="1465" t="s">
        <v>785</v>
      </c>
      <c r="B1271" s="1465"/>
      <c r="C1271" s="1465"/>
      <c r="D1271" s="1465"/>
      <c r="E1271" s="1465"/>
      <c r="F1271" s="1465"/>
      <c r="G1271" s="1465"/>
      <c r="H1271" s="1465"/>
      <c r="I1271" s="1465"/>
      <c r="J1271" s="1465"/>
      <c r="K1271" s="1465"/>
      <c r="L1271" s="1465"/>
      <c r="M1271" s="1465"/>
      <c r="N1271" s="1465"/>
      <c r="O1271" s="1465"/>
      <c r="P1271" s="1465"/>
      <c r="Q1271" s="1465"/>
      <c r="R1271" s="1465"/>
      <c r="S1271" s="1465"/>
      <c r="T1271" s="1465"/>
      <c r="U1271" s="1465"/>
    </row>
    <row r="1272" spans="1:21" ht="21.75" customHeight="1">
      <c r="A1272" s="874"/>
      <c r="B1272" s="875"/>
      <c r="C1272" s="875"/>
      <c r="D1272" s="875"/>
      <c r="E1272" s="875"/>
      <c r="F1272" s="875"/>
      <c r="G1272" s="875"/>
      <c r="H1272" s="875"/>
      <c r="I1272" s="875"/>
      <c r="J1272" s="875"/>
      <c r="K1272" s="875"/>
      <c r="L1272" s="875"/>
      <c r="M1272" s="875"/>
      <c r="N1272" s="875"/>
      <c r="O1272" s="875"/>
      <c r="P1272" s="875"/>
      <c r="Q1272" s="875"/>
      <c r="R1272" s="875"/>
      <c r="S1272" s="875"/>
      <c r="T1272" s="875"/>
      <c r="U1272" s="876"/>
    </row>
    <row r="1273" spans="1:21" ht="15" customHeight="1">
      <c r="A1273" s="1466" t="s">
        <v>786</v>
      </c>
      <c r="B1273" s="1467" t="s">
        <v>787</v>
      </c>
      <c r="C1273" s="1468" t="s">
        <v>788</v>
      </c>
      <c r="D1273" s="1468" t="s">
        <v>789</v>
      </c>
      <c r="E1273" s="1469" t="s">
        <v>790</v>
      </c>
      <c r="F1273" s="1468" t="s">
        <v>791</v>
      </c>
      <c r="G1273" s="1468"/>
      <c r="H1273" s="1468"/>
      <c r="I1273" s="1468"/>
      <c r="J1273" s="1468"/>
      <c r="K1273" s="1468"/>
      <c r="L1273" s="1468"/>
      <c r="M1273" s="1468"/>
      <c r="N1273" s="1468"/>
      <c r="O1273" s="1468"/>
      <c r="P1273" s="1470"/>
      <c r="Q1273" s="1470"/>
      <c r="R1273" s="1470"/>
      <c r="S1273" s="1470"/>
      <c r="T1273" s="1470"/>
      <c r="U1273" s="1470"/>
    </row>
    <row r="1274" spans="1:21" ht="15.75" customHeight="1">
      <c r="A1274" s="1466"/>
      <c r="B1274" s="1467"/>
      <c r="C1274" s="1468"/>
      <c r="D1274" s="1468"/>
      <c r="E1274" s="1469"/>
      <c r="F1274" s="1468"/>
      <c r="G1274" s="1468"/>
      <c r="H1274" s="1468"/>
      <c r="I1274" s="1468"/>
      <c r="J1274" s="1468"/>
      <c r="K1274" s="1468"/>
      <c r="L1274" s="1468"/>
      <c r="M1274" s="1468"/>
      <c r="N1274" s="1468"/>
      <c r="O1274" s="1468"/>
      <c r="P1274" s="1470"/>
      <c r="Q1274" s="1470"/>
      <c r="R1274" s="1470"/>
      <c r="S1274" s="1470"/>
      <c r="T1274" s="1470"/>
      <c r="U1274" s="1470"/>
    </row>
    <row r="1275" spans="1:21" ht="48" customHeight="1">
      <c r="A1275" s="1466"/>
      <c r="B1275" s="1467"/>
      <c r="C1275" s="1468"/>
      <c r="D1275" s="1468"/>
      <c r="E1275" s="1469"/>
      <c r="F1275" s="878" t="s">
        <v>792</v>
      </c>
      <c r="G1275" s="877" t="s">
        <v>793</v>
      </c>
      <c r="H1275" s="878" t="s">
        <v>794</v>
      </c>
      <c r="I1275" s="879" t="s">
        <v>795</v>
      </c>
      <c r="J1275" s="880" t="s">
        <v>796</v>
      </c>
      <c r="K1275" s="1468" t="s">
        <v>797</v>
      </c>
      <c r="L1275" s="1468"/>
      <c r="M1275" s="1468"/>
      <c r="N1275" s="1468"/>
      <c r="O1275" s="1468"/>
      <c r="P1275" s="881" t="s">
        <v>798</v>
      </c>
      <c r="Q1275" s="882" t="s">
        <v>799</v>
      </c>
      <c r="R1275" s="1469" t="s">
        <v>800</v>
      </c>
      <c r="S1275" s="1469"/>
      <c r="T1275" s="877" t="s">
        <v>801</v>
      </c>
      <c r="U1275" s="879" t="s">
        <v>104</v>
      </c>
    </row>
    <row r="1276" spans="1:21" ht="19.5" customHeight="1">
      <c r="A1276" s="883"/>
      <c r="B1276" s="884" t="str">
        <f>IF('BIS Doc'!AC595=130, "130 × 130", IF('BIS Doc'!AC595=160, "160 × 160", IF('BIS Doc'!AC595=110, "110 × 110", "Value not 130, 160, or 110")))</f>
        <v>Value not 130, 160, or 110</v>
      </c>
      <c r="C1276" s="885">
        <f>'BIS Doc'!W595</f>
        <v>0</v>
      </c>
      <c r="D1276" s="886"/>
      <c r="E1276" s="887">
        <f>'BIS Doc'!AE595</f>
        <v>0</v>
      </c>
      <c r="F1276" s="888">
        <f ca="1">'BIS Doc'!F595</f>
        <v>0</v>
      </c>
      <c r="G1276" s="888">
        <f ca="1">'BIS Doc'!J595</f>
        <v>0</v>
      </c>
      <c r="H1276" s="888">
        <f ca="1">'BIS Doc'!G595</f>
        <v>0.50859489195197116</v>
      </c>
      <c r="I1276" s="889">
        <f ca="1">'BIS Doc'!H595</f>
        <v>0</v>
      </c>
      <c r="J1276" s="889">
        <f ca="1">'BIS Doc'!I595</f>
        <v>0</v>
      </c>
      <c r="K1276" s="1449" t="str">
        <f ca="1">IF(H1276&lt;0.6, "IS 14650 CPS 10748/GR2", "IS 14650 CPS 10748/GR3")</f>
        <v>IS 14650 CPS 10748/GR2</v>
      </c>
      <c r="L1276" s="1449"/>
      <c r="M1276" s="1449"/>
      <c r="N1276" s="1449"/>
      <c r="O1276" s="1449"/>
      <c r="P1276" s="890"/>
      <c r="Q1276" s="891"/>
      <c r="R1276" s="1449"/>
      <c r="S1276" s="1449"/>
      <c r="T1276" s="892"/>
      <c r="U1276" s="1450" t="s">
        <v>802</v>
      </c>
    </row>
    <row r="1277" spans="1:21" ht="19.5" customHeight="1">
      <c r="A1277" s="893"/>
      <c r="B1277" s="894" t="str">
        <f>IF('BIS Doc'!AC597=130, "130 × 130", IF('BIS Doc'!AC597=160, "160 × 160", IF('BIS Doc'!AC597=110, "110 × 110", "Value not 130, 160, or 110")))</f>
        <v>Value not 130, 160, or 110</v>
      </c>
      <c r="C1277" s="895">
        <f>'BIS Doc'!W597</f>
        <v>0</v>
      </c>
      <c r="D1277" s="896"/>
      <c r="E1277" s="897">
        <f>'BIS Doc'!AE597</f>
        <v>0</v>
      </c>
      <c r="F1277" s="898">
        <f ca="1">'BIS Doc'!F597</f>
        <v>0</v>
      </c>
      <c r="G1277" s="899">
        <f ca="1">'BIS Doc'!J597</f>
        <v>0</v>
      </c>
      <c r="H1277" s="900">
        <f ca="1">'BIS Doc'!G597</f>
        <v>0.55327251158051971</v>
      </c>
      <c r="I1277" s="901">
        <f ca="1">'BIS Doc'!H597</f>
        <v>0</v>
      </c>
      <c r="J1277" s="901">
        <f ca="1">'BIS Doc'!I597</f>
        <v>0</v>
      </c>
      <c r="K1277" s="1451" t="str">
        <f ca="1">IF(H1277&lt;0.6, "IS 14650 CPS 10748/GR2", "IS 14650 CPS 10748/GR3")</f>
        <v>IS 14650 CPS 10748/GR2</v>
      </c>
      <c r="L1277" s="1451"/>
      <c r="M1277" s="1451"/>
      <c r="N1277" s="1451"/>
      <c r="O1277" s="1451"/>
      <c r="P1277" s="902"/>
      <c r="Q1277" s="903"/>
      <c r="R1277" s="1451"/>
      <c r="S1277" s="1451"/>
      <c r="T1277" s="904"/>
      <c r="U1277" s="1450"/>
    </row>
    <row r="1278" spans="1:21" ht="19.5" customHeight="1">
      <c r="A1278" s="864"/>
      <c r="B1278" s="894" t="str">
        <f>IF('BIS Doc'!AC599=130, "130 × 130", IF('BIS Doc'!AC599=160, "160 × 160", IF('BIS Doc'!AC599=110, "110 × 110", "Value not 130, 160, or 110")))</f>
        <v>Value not 130, 160, or 110</v>
      </c>
      <c r="C1278" s="895">
        <f>'BIS Doc'!W599</f>
        <v>0</v>
      </c>
      <c r="D1278" s="896" t="s">
        <v>803</v>
      </c>
      <c r="E1278" s="897">
        <f>'BIS Doc'!AE599</f>
        <v>0</v>
      </c>
      <c r="F1278" s="898">
        <f ca="1">'BIS Doc'!F599</f>
        <v>0</v>
      </c>
      <c r="G1278" s="899">
        <f ca="1">'BIS Doc'!J599</f>
        <v>0</v>
      </c>
      <c r="H1278" s="900">
        <f ca="1">'BIS Doc'!G599</f>
        <v>0.5999956243459581</v>
      </c>
      <c r="I1278" s="901">
        <f ca="1">'BIS Doc'!H599</f>
        <v>0</v>
      </c>
      <c r="J1278" s="901">
        <f ca="1">'BIS Doc'!I599</f>
        <v>0</v>
      </c>
      <c r="K1278" s="1451" t="str">
        <f ca="1">IF(H1278&lt;0.6, "IS 14650 CPS 10748/GR2", "IS 14650 CPS 10748/GR3")</f>
        <v>IS 14650 CPS 10748/GR2</v>
      </c>
      <c r="L1278" s="1451"/>
      <c r="M1278" s="1451"/>
      <c r="N1278" s="1451"/>
      <c r="O1278" s="1451"/>
      <c r="P1278" s="902"/>
      <c r="Q1278" s="905"/>
      <c r="R1278" s="1451"/>
      <c r="S1278" s="1451"/>
      <c r="T1278" s="904"/>
      <c r="U1278" s="1450"/>
    </row>
    <row r="1279" spans="1:21" ht="19.5" customHeight="1">
      <c r="A1279" s="864"/>
      <c r="B1279" s="894" t="str">
        <f>IF('BIS Doc'!AC601=130, "130 × 130", IF('BIS Doc'!AC601=160, "160 × 160", IF('BIS Doc'!AC601=110, "110 × 110", "Value not 130, 160, or 110")))</f>
        <v>Value not 130, 160, or 110</v>
      </c>
      <c r="C1279" s="895">
        <f>'BIS Doc'!W601</f>
        <v>0</v>
      </c>
      <c r="D1279" s="896"/>
      <c r="E1279" s="897">
        <f>'BIS Doc'!AE601</f>
        <v>0</v>
      </c>
      <c r="F1279" s="898">
        <f ca="1">'BIS Doc'!F601</f>
        <v>0</v>
      </c>
      <c r="G1279" s="899">
        <f ca="1">'BIS Doc'!J601</f>
        <v>0</v>
      </c>
      <c r="H1279" s="900">
        <f ca="1">'BIS Doc'!G601</f>
        <v>0.52477336109382111</v>
      </c>
      <c r="I1279" s="901">
        <f ca="1">'BIS Doc'!H601</f>
        <v>0</v>
      </c>
      <c r="J1279" s="901">
        <f ca="1">'BIS Doc'!I601</f>
        <v>0</v>
      </c>
      <c r="K1279" s="1451" t="str">
        <f>IF(H1135&lt;0.6, "IS 14650 CPS 10748/GR2", "IS 14650 CPS 10748/GR3")</f>
        <v>IS 14650 CPS 10748/GR2</v>
      </c>
      <c r="L1279" s="1451"/>
      <c r="M1279" s="1451"/>
      <c r="N1279" s="1451"/>
      <c r="O1279" s="1451"/>
      <c r="P1279" s="902"/>
      <c r="Q1279" s="905"/>
      <c r="R1279" s="1451"/>
      <c r="S1279" s="1451"/>
      <c r="T1279" s="904"/>
      <c r="U1279" s="1450"/>
    </row>
    <row r="1280" spans="1:21" ht="19.5" customHeight="1">
      <c r="A1280" s="864"/>
      <c r="B1280" s="894" t="str">
        <f>IF('BIS Doc'!AC603=130, "130 × 130", IF('BIS Doc'!AC603=160, "160 × 160", IF('BIS Doc'!AC603=110, "110 × 110", "Value not 130, 160, or 110")))</f>
        <v>Value not 130, 160, or 110</v>
      </c>
      <c r="C1280" s="895">
        <f>'BIS Doc'!W603</f>
        <v>0</v>
      </c>
      <c r="D1280" s="896"/>
      <c r="E1280" s="897">
        <f>'BIS Doc'!AE603</f>
        <v>0</v>
      </c>
      <c r="F1280" s="898">
        <f ca="1">'BIS Doc'!F603</f>
        <v>0</v>
      </c>
      <c r="G1280" s="899">
        <f ca="1">'BIS Doc'!J603</f>
        <v>0</v>
      </c>
      <c r="H1280" s="900">
        <f ca="1">'BIS Doc'!G603</f>
        <v>0.5366744798886296</v>
      </c>
      <c r="I1280" s="901">
        <f ca="1">'BIS Doc'!H603</f>
        <v>0</v>
      </c>
      <c r="J1280" s="901">
        <f ca="1">'BIS Doc'!I603</f>
        <v>0</v>
      </c>
      <c r="K1280" s="1451" t="str">
        <f ca="1">IF(H1280&lt;0.6, "IS 14650 CPS 10748/GR2", "IS 14650 CPS 10748/GR3")</f>
        <v>IS 14650 CPS 10748/GR2</v>
      </c>
      <c r="L1280" s="1451"/>
      <c r="M1280" s="1451"/>
      <c r="N1280" s="1451"/>
      <c r="O1280" s="1451"/>
      <c r="P1280" s="902"/>
      <c r="Q1280" s="905"/>
      <c r="R1280" s="1451"/>
      <c r="S1280" s="1451"/>
      <c r="T1280" s="904"/>
      <c r="U1280" s="1450"/>
    </row>
    <row r="1281" spans="1:21" ht="19.5" customHeight="1">
      <c r="A1281" s="864"/>
      <c r="B1281" s="894" t="str">
        <f>IF('BIS Doc'!AC605=130, "130 × 130", IF('BIS Doc'!AC605=160, "160 × 160", IF('BIS Doc'!AC605=110, "110 × 110", "Value not 130, 160, or 110")))</f>
        <v>Value not 130, 160, or 110</v>
      </c>
      <c r="C1281" s="895">
        <f>'BIS Doc'!W605</f>
        <v>0</v>
      </c>
      <c r="D1281" s="896"/>
      <c r="E1281" s="897">
        <f>'BIS Doc'!AE605</f>
        <v>0</v>
      </c>
      <c r="F1281" s="898">
        <f ca="1">'BIS Doc'!F605</f>
        <v>0</v>
      </c>
      <c r="G1281" s="899">
        <f ca="1">'BIS Doc'!J605</f>
        <v>0</v>
      </c>
      <c r="H1281" s="900">
        <f ca="1">'BIS Doc'!G605</f>
        <v>0.58458130991135637</v>
      </c>
      <c r="I1281" s="901">
        <f ca="1">'BIS Doc'!H605</f>
        <v>0</v>
      </c>
      <c r="J1281" s="901">
        <f ca="1">'BIS Doc'!I605</f>
        <v>0</v>
      </c>
      <c r="K1281" s="1451" t="str">
        <f ca="1">IF(H1281&lt;0.6, "IS 14650 CPS 10748/GR2", "IS 14650 CPS 10748/GR3")</f>
        <v>IS 14650 CPS 10748/GR2</v>
      </c>
      <c r="L1281" s="1451"/>
      <c r="M1281" s="1451"/>
      <c r="N1281" s="1451"/>
      <c r="O1281" s="1451"/>
      <c r="P1281" s="902"/>
      <c r="Q1281" s="903"/>
      <c r="R1281" s="1451"/>
      <c r="S1281" s="1451"/>
      <c r="T1281" s="904"/>
      <c r="U1281" s="1450"/>
    </row>
    <row r="1282" spans="1:21" ht="19.5" customHeight="1">
      <c r="A1282" s="864"/>
      <c r="B1282" s="904"/>
      <c r="C1282" s="895"/>
      <c r="D1282" s="896"/>
      <c r="E1282" s="897"/>
      <c r="F1282" s="906"/>
      <c r="G1282" s="907"/>
      <c r="H1282" s="908"/>
      <c r="I1282" s="909"/>
      <c r="J1282" s="909"/>
      <c r="K1282" s="1451"/>
      <c r="L1282" s="1451"/>
      <c r="M1282" s="1451"/>
      <c r="N1282" s="1451"/>
      <c r="O1282" s="1451"/>
      <c r="P1282" s="902"/>
      <c r="Q1282" s="903"/>
      <c r="R1282" s="1451"/>
      <c r="S1282" s="1451"/>
      <c r="T1282" s="904"/>
      <c r="U1282" s="1450"/>
    </row>
    <row r="1283" spans="1:21" ht="19.5" customHeight="1">
      <c r="A1283" s="864"/>
      <c r="B1283" s="904"/>
      <c r="C1283" s="895"/>
      <c r="D1283" s="896"/>
      <c r="E1283" s="897"/>
      <c r="F1283" s="906"/>
      <c r="G1283" s="907"/>
      <c r="H1283" s="908"/>
      <c r="I1283" s="909"/>
      <c r="J1283" s="909"/>
      <c r="K1283" s="1451"/>
      <c r="L1283" s="1451"/>
      <c r="M1283" s="1451"/>
      <c r="N1283" s="1451"/>
      <c r="O1283" s="1451"/>
      <c r="P1283" s="902"/>
      <c r="Q1283" s="905"/>
      <c r="R1283" s="1451"/>
      <c r="S1283" s="1451"/>
      <c r="T1283" s="904"/>
      <c r="U1283" s="1450"/>
    </row>
    <row r="1284" spans="1:21" ht="19.5" customHeight="1">
      <c r="A1284" s="864"/>
      <c r="B1284" s="910"/>
      <c r="C1284" s="911"/>
      <c r="D1284" s="896"/>
      <c r="E1284" s="897"/>
      <c r="F1284" s="906"/>
      <c r="G1284" s="907"/>
      <c r="H1284" s="908"/>
      <c r="I1284" s="909"/>
      <c r="J1284" s="909"/>
      <c r="K1284" s="1451"/>
      <c r="L1284" s="1451"/>
      <c r="M1284" s="1451"/>
      <c r="N1284" s="1451"/>
      <c r="O1284" s="1451"/>
      <c r="P1284" s="912"/>
      <c r="Q1284" s="913"/>
      <c r="R1284" s="1452"/>
      <c r="S1284" s="1452"/>
      <c r="T1284" s="910"/>
      <c r="U1284" s="1450"/>
    </row>
    <row r="1285" spans="1:21" ht="19.5" customHeight="1">
      <c r="A1285" s="914"/>
      <c r="B1285" s="915"/>
      <c r="C1285" s="916"/>
      <c r="D1285" s="917"/>
      <c r="E1285" s="918">
        <f>SUM(E1276:E1281)</f>
        <v>0</v>
      </c>
      <c r="F1285" s="919"/>
      <c r="G1285" s="920"/>
      <c r="H1285" s="921"/>
      <c r="I1285" s="922"/>
      <c r="J1285" s="922"/>
      <c r="K1285" s="1453"/>
      <c r="L1285" s="1453"/>
      <c r="M1285" s="1453"/>
      <c r="N1285" s="1453"/>
      <c r="O1285" s="1453"/>
      <c r="P1285" s="923"/>
      <c r="Q1285" s="924"/>
      <c r="R1285" s="1454"/>
      <c r="S1285" s="1454"/>
      <c r="T1285" s="915"/>
      <c r="U1285" s="1450"/>
    </row>
    <row r="1286" spans="1:21" ht="15.75" customHeight="1">
      <c r="A1286" s="864"/>
      <c r="B1286" s="773"/>
      <c r="C1286" s="773"/>
      <c r="D1286" s="925"/>
      <c r="E1286" s="926"/>
      <c r="F1286" s="927"/>
      <c r="G1286" s="928"/>
      <c r="H1286" s="259"/>
      <c r="I1286" s="259"/>
      <c r="J1286" s="928"/>
      <c r="K1286" s="929"/>
      <c r="L1286" s="929"/>
      <c r="M1286" s="929"/>
      <c r="N1286" s="929"/>
      <c r="O1286" s="928"/>
      <c r="P1286" s="930"/>
      <c r="Q1286" s="931"/>
      <c r="R1286" s="931"/>
      <c r="U1286" s="932"/>
    </row>
    <row r="1287" spans="1:21" ht="18.75" customHeight="1">
      <c r="A1287" s="864"/>
      <c r="B1287" s="773"/>
      <c r="C1287" s="773"/>
      <c r="D1287" s="773"/>
      <c r="E1287" s="773"/>
      <c r="F1287" s="773"/>
      <c r="G1287" s="773"/>
      <c r="H1287" s="773"/>
      <c r="I1287" s="773"/>
      <c r="J1287" s="773"/>
      <c r="K1287" s="773"/>
      <c r="P1287" s="1446" t="s">
        <v>804</v>
      </c>
      <c r="Q1287" s="1446"/>
      <c r="R1287" s="1446"/>
      <c r="S1287" s="1446"/>
      <c r="T1287" s="1446"/>
      <c r="U1287" s="1446"/>
    </row>
    <row r="1288" spans="1:21" ht="18.75" customHeight="1">
      <c r="A1288" s="1447" t="s">
        <v>805</v>
      </c>
      <c r="B1288" s="1447"/>
      <c r="C1288" s="933"/>
      <c r="D1288" s="933"/>
      <c r="E1288" s="933"/>
      <c r="F1288" s="933"/>
      <c r="P1288" s="855"/>
      <c r="Q1288" s="855"/>
      <c r="R1288" s="855"/>
      <c r="S1288" s="855"/>
      <c r="T1288" s="855"/>
      <c r="U1288" s="934"/>
    </row>
    <row r="1289" spans="1:21" ht="18.75" customHeight="1">
      <c r="A1289" s="854"/>
      <c r="B1289" s="855"/>
      <c r="P1289" s="855"/>
      <c r="Q1289" s="855"/>
      <c r="R1289" s="855"/>
      <c r="S1289" s="855"/>
      <c r="T1289" s="855"/>
      <c r="U1289" s="934"/>
    </row>
    <row r="1290" spans="1:21" ht="18.75" customHeight="1">
      <c r="A1290" s="854" t="s">
        <v>806</v>
      </c>
      <c r="B1290" s="855"/>
      <c r="C1290" s="867"/>
      <c r="D1290" s="941"/>
      <c r="E1290" s="933"/>
      <c r="F1290" s="933"/>
      <c r="P1290" s="855"/>
      <c r="Q1290" s="855"/>
      <c r="R1290" s="855"/>
      <c r="S1290" s="855"/>
      <c r="T1290" s="855"/>
      <c r="U1290" s="934"/>
    </row>
    <row r="1291" spans="1:21" ht="18.75" customHeight="1">
      <c r="A1291" s="854"/>
      <c r="B1291" s="855"/>
      <c r="C1291" s="937"/>
      <c r="P1291" s="855"/>
      <c r="Q1291" s="855"/>
      <c r="R1291" s="855"/>
      <c r="S1291" s="855"/>
      <c r="T1291" s="855"/>
      <c r="U1291" s="934"/>
    </row>
    <row r="1292" spans="1:21" ht="19.5" customHeight="1">
      <c r="A1292" s="938"/>
      <c r="B1292" s="939"/>
      <c r="C1292" s="940"/>
      <c r="D1292" s="453"/>
      <c r="E1292" s="453"/>
      <c r="F1292" s="453"/>
      <c r="G1292" s="453"/>
      <c r="H1292" s="453"/>
      <c r="I1292" s="453"/>
      <c r="J1292" s="453"/>
      <c r="K1292" s="453"/>
      <c r="L1292" s="453"/>
      <c r="M1292" s="453"/>
      <c r="N1292" s="453"/>
      <c r="O1292" s="453"/>
      <c r="P1292" s="1448" t="s">
        <v>807</v>
      </c>
      <c r="Q1292" s="1448"/>
      <c r="R1292" s="1448"/>
      <c r="S1292" s="1448"/>
      <c r="T1292" s="1448"/>
      <c r="U1292" s="1448"/>
    </row>
    <row r="1293" spans="1:21" ht="45.75" customHeight="1">
      <c r="A1293" s="1455"/>
      <c r="B1293" s="1455"/>
      <c r="C1293" s="1455"/>
      <c r="D1293" s="847"/>
      <c r="E1293" s="1456" t="s">
        <v>774</v>
      </c>
      <c r="F1293" s="1456"/>
      <c r="G1293" s="1456"/>
      <c r="H1293" s="1456"/>
      <c r="I1293" s="1456"/>
      <c r="J1293" s="1456"/>
      <c r="K1293" s="1456"/>
      <c r="L1293" s="1456"/>
      <c r="M1293" s="1456"/>
      <c r="N1293" s="1456"/>
      <c r="O1293" s="1456"/>
      <c r="P1293" s="1456"/>
      <c r="Q1293" s="1456"/>
      <c r="R1293" s="1456"/>
      <c r="S1293" s="848"/>
      <c r="T1293" s="1457" t="s">
        <v>775</v>
      </c>
      <c r="U1293" s="1457"/>
    </row>
    <row r="1294" spans="1:21" ht="18.75" customHeight="1">
      <c r="A1294" s="849"/>
      <c r="E1294" s="1458" t="s">
        <v>776</v>
      </c>
      <c r="F1294" s="1458"/>
      <c r="G1294" s="1458"/>
      <c r="H1294" s="1458"/>
      <c r="I1294" s="1458"/>
      <c r="J1294" s="1458"/>
      <c r="K1294" s="1458"/>
      <c r="L1294" s="1458"/>
      <c r="M1294" s="1458"/>
      <c r="N1294" s="1458"/>
      <c r="O1294" s="1458"/>
      <c r="P1294" s="1458"/>
      <c r="Q1294" s="1458"/>
      <c r="R1294" s="1458"/>
      <c r="U1294" s="456"/>
    </row>
    <row r="1295" spans="1:21" ht="18.75" customHeight="1">
      <c r="A1295" s="850"/>
      <c r="F1295" s="587"/>
      <c r="G1295" s="587"/>
      <c r="H1295" s="587"/>
      <c r="I1295" s="587"/>
      <c r="J1295" s="587"/>
      <c r="K1295" s="587"/>
      <c r="L1295" s="587"/>
      <c r="M1295" s="851"/>
      <c r="N1295" s="852"/>
      <c r="O1295" s="851"/>
      <c r="P1295" s="1459" t="s">
        <v>777</v>
      </c>
      <c r="Q1295" s="1459"/>
      <c r="R1295" s="1459"/>
      <c r="S1295" s="1459"/>
      <c r="T1295" s="1459"/>
      <c r="U1295" s="1459"/>
    </row>
    <row r="1296" spans="1:21" ht="15" customHeight="1">
      <c r="A1296" s="849"/>
      <c r="E1296" s="1287" t="s">
        <v>778</v>
      </c>
      <c r="F1296" s="1287"/>
      <c r="G1296" s="1287"/>
      <c r="H1296" s="1287"/>
      <c r="I1296" s="1287"/>
      <c r="J1296" s="1287"/>
      <c r="K1296" s="1287"/>
      <c r="L1296" s="1287"/>
      <c r="M1296" s="1287"/>
      <c r="N1296" s="1287"/>
      <c r="O1296" s="1287"/>
      <c r="P1296" s="1287"/>
      <c r="Q1296" s="1287"/>
      <c r="R1296" s="1287"/>
      <c r="U1296" s="456"/>
    </row>
    <row r="1297" spans="1:21" ht="18.75" customHeight="1">
      <c r="A1297" s="849"/>
      <c r="E1297" s="1286" t="s">
        <v>779</v>
      </c>
      <c r="F1297" s="1286"/>
      <c r="G1297" s="1286"/>
      <c r="H1297" s="1286"/>
      <c r="I1297" s="1286"/>
      <c r="J1297" s="1286"/>
      <c r="K1297" s="1286"/>
      <c r="L1297" s="1286"/>
      <c r="M1297" s="1286"/>
      <c r="N1297" s="1286"/>
      <c r="O1297" s="1286"/>
      <c r="P1297" s="1286"/>
      <c r="Q1297" s="1286"/>
      <c r="R1297" s="1286"/>
      <c r="U1297" s="853"/>
    </row>
    <row r="1298" spans="1:21" ht="23.25" customHeight="1">
      <c r="A1298" s="854" t="s">
        <v>780</v>
      </c>
      <c r="B1298" s="855"/>
      <c r="C1298" s="855"/>
      <c r="D1298" s="856" t="s">
        <v>862</v>
      </c>
      <c r="E1298" s="857"/>
      <c r="F1298" s="858"/>
      <c r="G1298" s="859"/>
      <c r="H1298" s="859"/>
      <c r="I1298" s="859"/>
      <c r="J1298" s="859"/>
      <c r="K1298" s="859"/>
      <c r="L1298" s="860"/>
      <c r="M1298" s="1460"/>
      <c r="N1298" s="1460"/>
      <c r="O1298" s="1460"/>
      <c r="P1298" s="1461" t="s">
        <v>781</v>
      </c>
      <c r="Q1298" s="1461"/>
      <c r="R1298" s="1461"/>
      <c r="S1298" s="855"/>
      <c r="T1298" s="861">
        <v>46315</v>
      </c>
      <c r="U1298" s="456"/>
    </row>
    <row r="1299" spans="1:21" ht="23.25" customHeight="1">
      <c r="A1299" s="854"/>
      <c r="B1299" s="862"/>
      <c r="C1299" s="862"/>
      <c r="D1299" s="862"/>
      <c r="E1299" s="163"/>
      <c r="F1299" s="863"/>
      <c r="G1299" s="863"/>
      <c r="H1299" s="863"/>
      <c r="I1299" s="863"/>
      <c r="J1299" s="863"/>
      <c r="K1299" s="863"/>
      <c r="U1299" s="456"/>
    </row>
    <row r="1300" spans="1:21" ht="21" customHeight="1">
      <c r="A1300" s="864" t="s">
        <v>782</v>
      </c>
      <c r="B1300" s="865"/>
      <c r="C1300" s="866"/>
      <c r="D1300" s="867"/>
      <c r="E1300" s="868"/>
      <c r="F1300" s="869"/>
      <c r="G1300" s="869"/>
      <c r="H1300" s="869"/>
      <c r="I1300" s="870"/>
      <c r="J1300" s="870"/>
      <c r="P1300" s="1462"/>
      <c r="Q1300" s="1462"/>
      <c r="R1300" s="1462"/>
      <c r="S1300" s="1462"/>
      <c r="T1300" s="871"/>
      <c r="U1300" s="456"/>
    </row>
    <row r="1301" spans="1:21" ht="21" customHeight="1">
      <c r="A1301" s="872"/>
      <c r="B1301" s="873"/>
      <c r="C1301" s="869"/>
      <c r="D1301" s="869"/>
      <c r="E1301" s="869"/>
      <c r="F1301" s="869"/>
      <c r="G1301" s="869"/>
      <c r="H1301" s="869"/>
      <c r="I1301" s="870"/>
      <c r="J1301" s="870"/>
      <c r="U1301" s="456"/>
    </row>
    <row r="1302" spans="1:21" ht="15" customHeight="1">
      <c r="A1302" s="1463" t="s">
        <v>783</v>
      </c>
      <c r="B1302" s="1463"/>
      <c r="C1302" s="1463"/>
      <c r="D1302" s="1463"/>
      <c r="E1302" s="1463"/>
      <c r="F1302" s="1463"/>
      <c r="G1302" s="1463"/>
      <c r="H1302" s="1463"/>
      <c r="I1302" s="1463"/>
      <c r="J1302" s="1463"/>
      <c r="K1302" s="1463"/>
      <c r="L1302" s="1463"/>
      <c r="M1302" s="1463"/>
      <c r="N1302" s="1463"/>
      <c r="O1302" s="1463"/>
      <c r="P1302" s="1463"/>
      <c r="Q1302" s="1463"/>
      <c r="R1302" s="1463"/>
      <c r="S1302" s="1463"/>
      <c r="T1302" s="1463"/>
      <c r="U1302" s="1463"/>
    </row>
    <row r="1303" spans="1:21" ht="15" customHeight="1">
      <c r="A1303" s="1463"/>
      <c r="B1303" s="1463"/>
      <c r="C1303" s="1463"/>
      <c r="D1303" s="1463"/>
      <c r="E1303" s="1463"/>
      <c r="F1303" s="1463"/>
      <c r="G1303" s="1463"/>
      <c r="H1303" s="1463"/>
      <c r="I1303" s="1463"/>
      <c r="J1303" s="1463"/>
      <c r="K1303" s="1463"/>
      <c r="L1303" s="1463"/>
      <c r="M1303" s="1463"/>
      <c r="N1303" s="1463"/>
      <c r="O1303" s="1463"/>
      <c r="P1303" s="1463"/>
      <c r="Q1303" s="1463"/>
      <c r="R1303" s="1463"/>
      <c r="S1303" s="1463"/>
      <c r="T1303" s="1463"/>
      <c r="U1303" s="1463"/>
    </row>
    <row r="1304" spans="1:21" ht="18" customHeight="1">
      <c r="A1304" s="1464" t="s">
        <v>784</v>
      </c>
      <c r="B1304" s="1464"/>
      <c r="C1304" s="1464"/>
      <c r="D1304" s="1464"/>
      <c r="E1304" s="1464"/>
      <c r="F1304" s="1464"/>
      <c r="G1304" s="1464"/>
      <c r="H1304" s="1464"/>
      <c r="I1304" s="1464"/>
      <c r="J1304" s="1464"/>
      <c r="K1304" s="1464"/>
      <c r="L1304" s="1464"/>
      <c r="M1304" s="1464"/>
      <c r="N1304" s="1464"/>
      <c r="O1304" s="1464"/>
      <c r="P1304" s="1464"/>
      <c r="Q1304" s="1464"/>
      <c r="R1304" s="1464"/>
      <c r="S1304" s="1464"/>
      <c r="T1304" s="1464"/>
      <c r="U1304" s="1464"/>
    </row>
    <row r="1305" spans="1:21" ht="23.25" customHeight="1">
      <c r="A1305" s="1465" t="s">
        <v>785</v>
      </c>
      <c r="B1305" s="1465"/>
      <c r="C1305" s="1465"/>
      <c r="D1305" s="1465"/>
      <c r="E1305" s="1465"/>
      <c r="F1305" s="1465"/>
      <c r="G1305" s="1465"/>
      <c r="H1305" s="1465"/>
      <c r="I1305" s="1465"/>
      <c r="J1305" s="1465"/>
      <c r="K1305" s="1465"/>
      <c r="L1305" s="1465"/>
      <c r="M1305" s="1465"/>
      <c r="N1305" s="1465"/>
      <c r="O1305" s="1465"/>
      <c r="P1305" s="1465"/>
      <c r="Q1305" s="1465"/>
      <c r="R1305" s="1465"/>
      <c r="S1305" s="1465"/>
      <c r="T1305" s="1465"/>
      <c r="U1305" s="1465"/>
    </row>
    <row r="1306" spans="1:21" ht="21.75" customHeight="1">
      <c r="A1306" s="874"/>
      <c r="B1306" s="875"/>
      <c r="C1306" s="875"/>
      <c r="D1306" s="875"/>
      <c r="E1306" s="875"/>
      <c r="F1306" s="875"/>
      <c r="G1306" s="875"/>
      <c r="H1306" s="875"/>
      <c r="I1306" s="875"/>
      <c r="J1306" s="875"/>
      <c r="K1306" s="875"/>
      <c r="L1306" s="875"/>
      <c r="M1306" s="875"/>
      <c r="N1306" s="875"/>
      <c r="O1306" s="875"/>
      <c r="P1306" s="875"/>
      <c r="Q1306" s="875"/>
      <c r="R1306" s="875"/>
      <c r="S1306" s="875"/>
      <c r="T1306" s="875"/>
      <c r="U1306" s="876"/>
    </row>
    <row r="1307" spans="1:21" ht="15" customHeight="1">
      <c r="A1307" s="1466" t="s">
        <v>786</v>
      </c>
      <c r="B1307" s="1467" t="s">
        <v>787</v>
      </c>
      <c r="C1307" s="1468" t="s">
        <v>788</v>
      </c>
      <c r="D1307" s="1468" t="s">
        <v>789</v>
      </c>
      <c r="E1307" s="1469" t="s">
        <v>790</v>
      </c>
      <c r="F1307" s="1468" t="s">
        <v>791</v>
      </c>
      <c r="G1307" s="1468"/>
      <c r="H1307" s="1468"/>
      <c r="I1307" s="1468"/>
      <c r="J1307" s="1468"/>
      <c r="K1307" s="1468"/>
      <c r="L1307" s="1468"/>
      <c r="M1307" s="1468"/>
      <c r="N1307" s="1468"/>
      <c r="O1307" s="1468"/>
      <c r="P1307" s="1470"/>
      <c r="Q1307" s="1470"/>
      <c r="R1307" s="1470"/>
      <c r="S1307" s="1470"/>
      <c r="T1307" s="1470"/>
      <c r="U1307" s="1470"/>
    </row>
    <row r="1308" spans="1:21" ht="15.75" customHeight="1">
      <c r="A1308" s="1466"/>
      <c r="B1308" s="1467"/>
      <c r="C1308" s="1468"/>
      <c r="D1308" s="1468"/>
      <c r="E1308" s="1469"/>
      <c r="F1308" s="1468"/>
      <c r="G1308" s="1468"/>
      <c r="H1308" s="1468"/>
      <c r="I1308" s="1468"/>
      <c r="J1308" s="1468"/>
      <c r="K1308" s="1468"/>
      <c r="L1308" s="1468"/>
      <c r="M1308" s="1468"/>
      <c r="N1308" s="1468"/>
      <c r="O1308" s="1468"/>
      <c r="P1308" s="1470"/>
      <c r="Q1308" s="1470"/>
      <c r="R1308" s="1470"/>
      <c r="S1308" s="1470"/>
      <c r="T1308" s="1470"/>
      <c r="U1308" s="1470"/>
    </row>
    <row r="1309" spans="1:21" ht="48" customHeight="1">
      <c r="A1309" s="1466"/>
      <c r="B1309" s="1467"/>
      <c r="C1309" s="1468"/>
      <c r="D1309" s="1468"/>
      <c r="E1309" s="1469"/>
      <c r="F1309" s="878" t="s">
        <v>792</v>
      </c>
      <c r="G1309" s="877" t="s">
        <v>793</v>
      </c>
      <c r="H1309" s="878" t="s">
        <v>794</v>
      </c>
      <c r="I1309" s="879" t="s">
        <v>795</v>
      </c>
      <c r="J1309" s="880" t="s">
        <v>796</v>
      </c>
      <c r="K1309" s="1468" t="s">
        <v>797</v>
      </c>
      <c r="L1309" s="1468"/>
      <c r="M1309" s="1468"/>
      <c r="N1309" s="1468"/>
      <c r="O1309" s="1468"/>
      <c r="P1309" s="881" t="s">
        <v>798</v>
      </c>
      <c r="Q1309" s="882" t="s">
        <v>799</v>
      </c>
      <c r="R1309" s="1469" t="s">
        <v>800</v>
      </c>
      <c r="S1309" s="1469"/>
      <c r="T1309" s="877" t="s">
        <v>801</v>
      </c>
      <c r="U1309" s="879" t="s">
        <v>104</v>
      </c>
    </row>
    <row r="1310" spans="1:21" ht="19.5" customHeight="1">
      <c r="A1310" s="883"/>
      <c r="B1310" s="884" t="str">
        <f>IF('BIS Doc'!AC615=130, "130 × 130", IF('BIS Doc'!AC615=160, "160 × 160", IF('BIS Doc'!AC615=110, "110 × 110", "Value not 130, 160, or 110")))</f>
        <v>Value not 130, 160, or 110</v>
      </c>
      <c r="C1310" s="885">
        <f>'BIS Doc'!W615</f>
        <v>0</v>
      </c>
      <c r="D1310" s="886"/>
      <c r="E1310" s="887">
        <f>'BIS Doc'!AE615</f>
        <v>0</v>
      </c>
      <c r="F1310" s="888">
        <f ca="1">'BIS Doc'!F615</f>
        <v>0</v>
      </c>
      <c r="G1310" s="888">
        <f ca="1">'BIS Doc'!J615</f>
        <v>0</v>
      </c>
      <c r="H1310" s="888">
        <f ca="1">'BIS Doc'!G615</f>
        <v>0.58303303296322406</v>
      </c>
      <c r="I1310" s="889">
        <f ca="1">'BIS Doc'!H615</f>
        <v>0</v>
      </c>
      <c r="J1310" s="889">
        <f ca="1">'BIS Doc'!I615</f>
        <v>0</v>
      </c>
      <c r="K1310" s="1449" t="str">
        <f t="shared" ref="K1310:K1315" ca="1" si="37">IF(H1310&lt;0.6, "IS 14650 CPS 10748/GR2", "IS 14650 CPS 10748/GR3")</f>
        <v>IS 14650 CPS 10748/GR2</v>
      </c>
      <c r="L1310" s="1449"/>
      <c r="M1310" s="1449"/>
      <c r="N1310" s="1449"/>
      <c r="O1310" s="1449"/>
      <c r="P1310" s="890"/>
      <c r="Q1310" s="891"/>
      <c r="R1310" s="1449"/>
      <c r="S1310" s="1449"/>
      <c r="T1310" s="892"/>
      <c r="U1310" s="1450" t="s">
        <v>802</v>
      </c>
    </row>
    <row r="1311" spans="1:21" ht="19.5" customHeight="1">
      <c r="A1311" s="893"/>
      <c r="B1311" s="894" t="str">
        <f>IF('BIS Doc'!AC617=130, "130 × 130", IF('BIS Doc'!AC617=160, "160 × 160", IF('BIS Doc'!AC617=110, "110 × 110", "Value not 130, 160, or 110")))</f>
        <v>Value not 130, 160, or 110</v>
      </c>
      <c r="C1311" s="895">
        <f>'BIS Doc'!W617</f>
        <v>0</v>
      </c>
      <c r="D1311" s="896"/>
      <c r="E1311" s="897">
        <f>'BIS Doc'!AE617</f>
        <v>0</v>
      </c>
      <c r="F1311" s="898">
        <f ca="1">'BIS Doc'!F617</f>
        <v>0</v>
      </c>
      <c r="G1311" s="899">
        <f ca="1">'BIS Doc'!J617</f>
        <v>0</v>
      </c>
      <c r="H1311" s="900">
        <f ca="1">'BIS Doc'!G617</f>
        <v>0.59046502274792889</v>
      </c>
      <c r="I1311" s="901">
        <f ca="1">'BIS Doc'!H617</f>
        <v>0</v>
      </c>
      <c r="J1311" s="901">
        <f ca="1">'BIS Doc'!I617</f>
        <v>0</v>
      </c>
      <c r="K1311" s="1451" t="str">
        <f t="shared" ca="1" si="37"/>
        <v>IS 14650 CPS 10748/GR2</v>
      </c>
      <c r="L1311" s="1451"/>
      <c r="M1311" s="1451"/>
      <c r="N1311" s="1451"/>
      <c r="O1311" s="1451"/>
      <c r="P1311" s="902"/>
      <c r="Q1311" s="903"/>
      <c r="R1311" s="1451"/>
      <c r="S1311" s="1451"/>
      <c r="T1311" s="904"/>
      <c r="U1311" s="1450"/>
    </row>
    <row r="1312" spans="1:21" ht="19.5" customHeight="1">
      <c r="A1312" s="864"/>
      <c r="B1312" s="894" t="str">
        <f>IF('BIS Doc'!AC619=130, "130 × 130", IF('BIS Doc'!AC619=160, "160 × 160", IF('BIS Doc'!AC619=110, "110 × 110", "Value not 130, 160, or 110")))</f>
        <v>Value not 130, 160, or 110</v>
      </c>
      <c r="C1312" s="895">
        <f>'BIS Doc'!W619</f>
        <v>0</v>
      </c>
      <c r="D1312" s="896" t="s">
        <v>803</v>
      </c>
      <c r="E1312" s="897">
        <f>'BIS Doc'!AE619</f>
        <v>0</v>
      </c>
      <c r="F1312" s="898">
        <f ca="1">'BIS Doc'!F619</f>
        <v>0</v>
      </c>
      <c r="G1312" s="899">
        <f ca="1">'BIS Doc'!J619</f>
        <v>0</v>
      </c>
      <c r="H1312" s="900">
        <f ca="1">'BIS Doc'!G619</f>
        <v>0.56533179900138109</v>
      </c>
      <c r="I1312" s="901">
        <f ca="1">'BIS Doc'!H619</f>
        <v>0</v>
      </c>
      <c r="J1312" s="901">
        <f ca="1">'BIS Doc'!I619</f>
        <v>0</v>
      </c>
      <c r="K1312" s="1451" t="str">
        <f t="shared" ca="1" si="37"/>
        <v>IS 14650 CPS 10748/GR2</v>
      </c>
      <c r="L1312" s="1451"/>
      <c r="M1312" s="1451"/>
      <c r="N1312" s="1451"/>
      <c r="O1312" s="1451"/>
      <c r="P1312" s="902"/>
      <c r="Q1312" s="905"/>
      <c r="R1312" s="1451"/>
      <c r="S1312" s="1451"/>
      <c r="T1312" s="904"/>
      <c r="U1312" s="1450"/>
    </row>
    <row r="1313" spans="1:21" ht="19.5" customHeight="1">
      <c r="A1313" s="864"/>
      <c r="B1313" s="894" t="str">
        <f>IF('BIS Doc'!AC621=130, "130 × 130", IF('BIS Doc'!AC621=160, "160 × 160", IF('BIS Doc'!AC621=110, "110 × 110", "Value not 130, 160, or 110")))</f>
        <v>Value not 130, 160, or 110</v>
      </c>
      <c r="C1313" s="895">
        <f>'BIS Doc'!W621</f>
        <v>0</v>
      </c>
      <c r="D1313" s="896"/>
      <c r="E1313" s="897">
        <f>'BIS Doc'!AE621</f>
        <v>0</v>
      </c>
      <c r="F1313" s="898">
        <f ca="1">'BIS Doc'!F621</f>
        <v>0</v>
      </c>
      <c r="G1313" s="899">
        <f ca="1">'BIS Doc'!J621</f>
        <v>0</v>
      </c>
      <c r="H1313" s="900">
        <f ca="1">'BIS Doc'!G621</f>
        <v>0.59942390868179429</v>
      </c>
      <c r="I1313" s="901">
        <f ca="1">'BIS Doc'!H621</f>
        <v>0</v>
      </c>
      <c r="J1313" s="901">
        <f ca="1">'BIS Doc'!I621</f>
        <v>0</v>
      </c>
      <c r="K1313" s="1451" t="str">
        <f t="shared" ca="1" si="37"/>
        <v>IS 14650 CPS 10748/GR2</v>
      </c>
      <c r="L1313" s="1451"/>
      <c r="M1313" s="1451"/>
      <c r="N1313" s="1451"/>
      <c r="O1313" s="1451"/>
      <c r="P1313" s="902"/>
      <c r="Q1313" s="905"/>
      <c r="R1313" s="1451"/>
      <c r="S1313" s="1451"/>
      <c r="T1313" s="904"/>
      <c r="U1313" s="1450"/>
    </row>
    <row r="1314" spans="1:21" ht="19.5" customHeight="1">
      <c r="A1314" s="864"/>
      <c r="B1314" s="894" t="str">
        <f>IF('BIS Doc'!AC623=130, "130 × 130", IF('BIS Doc'!AC623=160, "160 × 160", IF('BIS Doc'!AC623=110, "110 × 110", "Value not 130, 160, or 110")))</f>
        <v>Value not 130, 160, or 110</v>
      </c>
      <c r="C1314" s="895">
        <f>'BIS Doc'!W623</f>
        <v>0</v>
      </c>
      <c r="D1314" s="896"/>
      <c r="E1314" s="897">
        <f>'BIS Doc'!AE623</f>
        <v>0</v>
      </c>
      <c r="F1314" s="898">
        <f ca="1">'BIS Doc'!F623</f>
        <v>0</v>
      </c>
      <c r="G1314" s="899">
        <f ca="1">'BIS Doc'!J623</f>
        <v>0</v>
      </c>
      <c r="H1314" s="900">
        <f ca="1">'BIS Doc'!G623</f>
        <v>0.54696476850740838</v>
      </c>
      <c r="I1314" s="901">
        <f ca="1">'BIS Doc'!H623</f>
        <v>0</v>
      </c>
      <c r="J1314" s="901">
        <f ca="1">'BIS Doc'!I623</f>
        <v>0</v>
      </c>
      <c r="K1314" s="1451" t="str">
        <f t="shared" ca="1" si="37"/>
        <v>IS 14650 CPS 10748/GR2</v>
      </c>
      <c r="L1314" s="1451"/>
      <c r="M1314" s="1451"/>
      <c r="N1314" s="1451"/>
      <c r="O1314" s="1451"/>
      <c r="P1314" s="902"/>
      <c r="Q1314" s="905"/>
      <c r="R1314" s="1451"/>
      <c r="S1314" s="1451"/>
      <c r="T1314" s="904"/>
      <c r="U1314" s="1450"/>
    </row>
    <row r="1315" spans="1:21" ht="19.5" customHeight="1">
      <c r="A1315" s="864"/>
      <c r="B1315" s="894" t="str">
        <f>IF('BIS Doc'!AC625=130, "130 × 130", IF('BIS Doc'!AC625=160, "160 × 160", IF('BIS Doc'!AC625=110, "110 × 110", "Value not 130, 160, or 110")))</f>
        <v>Value not 130, 160, or 110</v>
      </c>
      <c r="C1315" s="895">
        <f>'BIS Doc'!W625</f>
        <v>0</v>
      </c>
      <c r="D1315" s="896"/>
      <c r="E1315" s="897">
        <f>'BIS Doc'!AE625</f>
        <v>0</v>
      </c>
      <c r="F1315" s="898">
        <f ca="1">'BIS Doc'!F625</f>
        <v>0</v>
      </c>
      <c r="G1315" s="899">
        <f ca="1">'BIS Doc'!J625</f>
        <v>0</v>
      </c>
      <c r="H1315" s="900">
        <f ca="1">'BIS Doc'!G625</f>
        <v>0.5178539620189383</v>
      </c>
      <c r="I1315" s="901">
        <f ca="1">'BIS Doc'!H625</f>
        <v>0</v>
      </c>
      <c r="J1315" s="901">
        <f ca="1">'BIS Doc'!I625</f>
        <v>0</v>
      </c>
      <c r="K1315" s="1451" t="str">
        <f t="shared" ca="1" si="37"/>
        <v>IS 14650 CPS 10748/GR2</v>
      </c>
      <c r="L1315" s="1451"/>
      <c r="M1315" s="1451"/>
      <c r="N1315" s="1451"/>
      <c r="O1315" s="1451"/>
      <c r="P1315" s="902"/>
      <c r="Q1315" s="903"/>
      <c r="R1315" s="1451"/>
      <c r="S1315" s="1451"/>
      <c r="T1315" s="904"/>
      <c r="U1315" s="1450"/>
    </row>
    <row r="1316" spans="1:21" ht="19.5" customHeight="1">
      <c r="A1316" s="864"/>
      <c r="B1316" s="904"/>
      <c r="C1316" s="895"/>
      <c r="D1316" s="896"/>
      <c r="E1316" s="897"/>
      <c r="F1316" s="906"/>
      <c r="G1316" s="907"/>
      <c r="H1316" s="908"/>
      <c r="I1316" s="909"/>
      <c r="J1316" s="909"/>
      <c r="K1316" s="1451"/>
      <c r="L1316" s="1451"/>
      <c r="M1316" s="1451"/>
      <c r="N1316" s="1451"/>
      <c r="O1316" s="1451"/>
      <c r="P1316" s="902"/>
      <c r="Q1316" s="903"/>
      <c r="R1316" s="1451"/>
      <c r="S1316" s="1451"/>
      <c r="T1316" s="904"/>
      <c r="U1316" s="1450"/>
    </row>
    <row r="1317" spans="1:21" ht="19.5" customHeight="1">
      <c r="A1317" s="864"/>
      <c r="B1317" s="904"/>
      <c r="C1317" s="895"/>
      <c r="D1317" s="896"/>
      <c r="E1317" s="897"/>
      <c r="F1317" s="906"/>
      <c r="G1317" s="907"/>
      <c r="H1317" s="908"/>
      <c r="I1317" s="909"/>
      <c r="J1317" s="909"/>
      <c r="K1317" s="1451"/>
      <c r="L1317" s="1451"/>
      <c r="M1317" s="1451"/>
      <c r="N1317" s="1451"/>
      <c r="O1317" s="1451"/>
      <c r="P1317" s="902"/>
      <c r="Q1317" s="905"/>
      <c r="R1317" s="1451"/>
      <c r="S1317" s="1451"/>
      <c r="T1317" s="904"/>
      <c r="U1317" s="1450"/>
    </row>
    <row r="1318" spans="1:21" ht="19.5" customHeight="1">
      <c r="A1318" s="864"/>
      <c r="B1318" s="910"/>
      <c r="C1318" s="911"/>
      <c r="D1318" s="896"/>
      <c r="E1318" s="897"/>
      <c r="F1318" s="906"/>
      <c r="G1318" s="907"/>
      <c r="H1318" s="908"/>
      <c r="I1318" s="909"/>
      <c r="J1318" s="909"/>
      <c r="K1318" s="1451"/>
      <c r="L1318" s="1451"/>
      <c r="M1318" s="1451"/>
      <c r="N1318" s="1451"/>
      <c r="O1318" s="1451"/>
      <c r="P1318" s="912"/>
      <c r="Q1318" s="913"/>
      <c r="R1318" s="1452"/>
      <c r="S1318" s="1452"/>
      <c r="T1318" s="910"/>
      <c r="U1318" s="1450"/>
    </row>
    <row r="1319" spans="1:21" ht="19.5" customHeight="1">
      <c r="A1319" s="914"/>
      <c r="B1319" s="915"/>
      <c r="C1319" s="916"/>
      <c r="D1319" s="917"/>
      <c r="E1319" s="918">
        <f>SUM(E1310:E1315)</f>
        <v>0</v>
      </c>
      <c r="F1319" s="919"/>
      <c r="G1319" s="920"/>
      <c r="H1319" s="921"/>
      <c r="I1319" s="922"/>
      <c r="J1319" s="922"/>
      <c r="K1319" s="1453"/>
      <c r="L1319" s="1453"/>
      <c r="M1319" s="1453"/>
      <c r="N1319" s="1453"/>
      <c r="O1319" s="1453"/>
      <c r="P1319" s="923"/>
      <c r="Q1319" s="924"/>
      <c r="R1319" s="1454"/>
      <c r="S1319" s="1454"/>
      <c r="T1319" s="915"/>
      <c r="U1319" s="1450"/>
    </row>
    <row r="1320" spans="1:21" ht="15.75" customHeight="1">
      <c r="A1320" s="864"/>
      <c r="B1320" s="773"/>
      <c r="C1320" s="773"/>
      <c r="D1320" s="925"/>
      <c r="E1320" s="926"/>
      <c r="F1320" s="927"/>
      <c r="G1320" s="928"/>
      <c r="H1320" s="259"/>
      <c r="I1320" s="259"/>
      <c r="J1320" s="928"/>
      <c r="K1320" s="929"/>
      <c r="L1320" s="929"/>
      <c r="M1320" s="929"/>
      <c r="N1320" s="929"/>
      <c r="O1320" s="928"/>
      <c r="P1320" s="930"/>
      <c r="Q1320" s="931"/>
      <c r="R1320" s="931"/>
      <c r="U1320" s="932"/>
    </row>
    <row r="1321" spans="1:21" ht="18.75" customHeight="1">
      <c r="A1321" s="864"/>
      <c r="B1321" s="773"/>
      <c r="C1321" s="773"/>
      <c r="D1321" s="773"/>
      <c r="E1321" s="773"/>
      <c r="F1321" s="773"/>
      <c r="G1321" s="773"/>
      <c r="H1321" s="773"/>
      <c r="I1321" s="773"/>
      <c r="J1321" s="773"/>
      <c r="K1321" s="773"/>
      <c r="P1321" s="1446" t="s">
        <v>804</v>
      </c>
      <c r="Q1321" s="1446"/>
      <c r="R1321" s="1446"/>
      <c r="S1321" s="1446"/>
      <c r="T1321" s="1446"/>
      <c r="U1321" s="1446"/>
    </row>
    <row r="1322" spans="1:21" ht="18.75" customHeight="1">
      <c r="A1322" s="1447" t="s">
        <v>805</v>
      </c>
      <c r="B1322" s="1447"/>
      <c r="C1322" s="933"/>
      <c r="D1322" s="933"/>
      <c r="E1322" s="933"/>
      <c r="F1322" s="933"/>
      <c r="P1322" s="855"/>
      <c r="Q1322" s="855"/>
      <c r="R1322" s="855"/>
      <c r="S1322" s="855"/>
      <c r="T1322" s="855"/>
      <c r="U1322" s="934"/>
    </row>
    <row r="1323" spans="1:21" ht="18.75" customHeight="1">
      <c r="A1323" s="854"/>
      <c r="B1323" s="855"/>
      <c r="P1323" s="855"/>
      <c r="Q1323" s="855"/>
      <c r="R1323" s="855"/>
      <c r="S1323" s="855"/>
      <c r="T1323" s="855"/>
      <c r="U1323" s="934"/>
    </row>
    <row r="1324" spans="1:21" ht="18.75" customHeight="1">
      <c r="A1324" s="854" t="s">
        <v>806</v>
      </c>
      <c r="B1324" s="855"/>
      <c r="C1324" s="867"/>
      <c r="D1324" s="941"/>
      <c r="E1324" s="933"/>
      <c r="F1324" s="933"/>
      <c r="P1324" s="855"/>
      <c r="Q1324" s="855"/>
      <c r="R1324" s="855"/>
      <c r="S1324" s="855"/>
      <c r="T1324" s="855"/>
      <c r="U1324" s="934"/>
    </row>
    <row r="1325" spans="1:21" ht="18.75" customHeight="1">
      <c r="A1325" s="854"/>
      <c r="B1325" s="855"/>
      <c r="C1325" s="937"/>
      <c r="P1325" s="855"/>
      <c r="Q1325" s="855"/>
      <c r="R1325" s="855"/>
      <c r="S1325" s="855"/>
      <c r="T1325" s="855"/>
      <c r="U1325" s="934"/>
    </row>
    <row r="1326" spans="1:21" ht="19.5" customHeight="1">
      <c r="A1326" s="938"/>
      <c r="B1326" s="939"/>
      <c r="C1326" s="940"/>
      <c r="D1326" s="453"/>
      <c r="E1326" s="453"/>
      <c r="F1326" s="453"/>
      <c r="G1326" s="453"/>
      <c r="H1326" s="453"/>
      <c r="I1326" s="453"/>
      <c r="J1326" s="453"/>
      <c r="K1326" s="453"/>
      <c r="L1326" s="453"/>
      <c r="M1326" s="453"/>
      <c r="N1326" s="453"/>
      <c r="O1326" s="453"/>
      <c r="P1326" s="1448" t="s">
        <v>807</v>
      </c>
      <c r="Q1326" s="1448"/>
      <c r="R1326" s="1448"/>
      <c r="S1326" s="1448"/>
      <c r="T1326" s="1448"/>
      <c r="U1326" s="1448"/>
    </row>
    <row r="1327" spans="1:21" ht="45.75" customHeight="1">
      <c r="A1327" s="1455"/>
      <c r="B1327" s="1455"/>
      <c r="C1327" s="1455"/>
      <c r="D1327" s="847"/>
      <c r="E1327" s="1456" t="s">
        <v>774</v>
      </c>
      <c r="F1327" s="1456"/>
      <c r="G1327" s="1456"/>
      <c r="H1327" s="1456"/>
      <c r="I1327" s="1456"/>
      <c r="J1327" s="1456"/>
      <c r="K1327" s="1456"/>
      <c r="L1327" s="1456"/>
      <c r="M1327" s="1456"/>
      <c r="N1327" s="1456"/>
      <c r="O1327" s="1456"/>
      <c r="P1327" s="1456"/>
      <c r="Q1327" s="1456"/>
      <c r="R1327" s="1456"/>
      <c r="S1327" s="848"/>
      <c r="T1327" s="1457" t="s">
        <v>775</v>
      </c>
      <c r="U1327" s="1457"/>
    </row>
    <row r="1328" spans="1:21" ht="18.75" customHeight="1">
      <c r="A1328" s="849"/>
      <c r="E1328" s="1458" t="s">
        <v>776</v>
      </c>
      <c r="F1328" s="1458"/>
      <c r="G1328" s="1458"/>
      <c r="H1328" s="1458"/>
      <c r="I1328" s="1458"/>
      <c r="J1328" s="1458"/>
      <c r="K1328" s="1458"/>
      <c r="L1328" s="1458"/>
      <c r="M1328" s="1458"/>
      <c r="N1328" s="1458"/>
      <c r="O1328" s="1458"/>
      <c r="P1328" s="1458"/>
      <c r="Q1328" s="1458"/>
      <c r="R1328" s="1458"/>
      <c r="U1328" s="456"/>
    </row>
    <row r="1329" spans="1:21" ht="18.75" customHeight="1">
      <c r="A1329" s="850"/>
      <c r="F1329" s="587"/>
      <c r="G1329" s="587"/>
      <c r="H1329" s="587"/>
      <c r="I1329" s="587"/>
      <c r="J1329" s="587"/>
      <c r="K1329" s="587"/>
      <c r="L1329" s="587"/>
      <c r="M1329" s="851"/>
      <c r="N1329" s="852"/>
      <c r="O1329" s="851"/>
      <c r="P1329" s="1459" t="s">
        <v>777</v>
      </c>
      <c r="Q1329" s="1459"/>
      <c r="R1329" s="1459"/>
      <c r="S1329" s="1459"/>
      <c r="T1329" s="1459"/>
      <c r="U1329" s="1459"/>
    </row>
    <row r="1330" spans="1:21" ht="15" customHeight="1">
      <c r="A1330" s="849"/>
      <c r="E1330" s="1287" t="s">
        <v>778</v>
      </c>
      <c r="F1330" s="1287"/>
      <c r="G1330" s="1287"/>
      <c r="H1330" s="1287"/>
      <c r="I1330" s="1287"/>
      <c r="J1330" s="1287"/>
      <c r="K1330" s="1287"/>
      <c r="L1330" s="1287"/>
      <c r="M1330" s="1287"/>
      <c r="N1330" s="1287"/>
      <c r="O1330" s="1287"/>
      <c r="P1330" s="1287"/>
      <c r="Q1330" s="1287"/>
      <c r="R1330" s="1287"/>
      <c r="U1330" s="456"/>
    </row>
    <row r="1331" spans="1:21" ht="18.75" customHeight="1">
      <c r="A1331" s="849"/>
      <c r="E1331" s="1286" t="s">
        <v>779</v>
      </c>
      <c r="F1331" s="1286"/>
      <c r="G1331" s="1286"/>
      <c r="H1331" s="1286"/>
      <c r="I1331" s="1286"/>
      <c r="J1331" s="1286"/>
      <c r="K1331" s="1286"/>
      <c r="L1331" s="1286"/>
      <c r="M1331" s="1286"/>
      <c r="N1331" s="1286"/>
      <c r="O1331" s="1286"/>
      <c r="P1331" s="1286"/>
      <c r="Q1331" s="1286"/>
      <c r="R1331" s="1286"/>
      <c r="U1331" s="853"/>
    </row>
    <row r="1332" spans="1:21" ht="23.25" customHeight="1">
      <c r="A1332" s="854" t="s">
        <v>780</v>
      </c>
      <c r="B1332" s="855"/>
      <c r="C1332" s="855"/>
      <c r="D1332" s="856" t="s">
        <v>863</v>
      </c>
      <c r="E1332" s="857"/>
      <c r="F1332" s="858"/>
      <c r="G1332" s="859"/>
      <c r="H1332" s="859"/>
      <c r="I1332" s="859"/>
      <c r="J1332" s="859"/>
      <c r="K1332" s="859"/>
      <c r="L1332" s="860"/>
      <c r="M1332" s="1460"/>
      <c r="N1332" s="1460"/>
      <c r="O1332" s="1460"/>
      <c r="P1332" s="1461" t="s">
        <v>781</v>
      </c>
      <c r="Q1332" s="1461"/>
      <c r="R1332" s="1461"/>
      <c r="S1332" s="855"/>
      <c r="T1332" s="861">
        <v>46315</v>
      </c>
      <c r="U1332" s="456"/>
    </row>
    <row r="1333" spans="1:21" ht="23.25" customHeight="1">
      <c r="A1333" s="854"/>
      <c r="B1333" s="862"/>
      <c r="C1333" s="862"/>
      <c r="D1333" s="862"/>
      <c r="E1333" s="163"/>
      <c r="F1333" s="863"/>
      <c r="G1333" s="863"/>
      <c r="H1333" s="863"/>
      <c r="I1333" s="863"/>
      <c r="J1333" s="863"/>
      <c r="K1333" s="863"/>
      <c r="U1333" s="456"/>
    </row>
    <row r="1334" spans="1:21" ht="21" customHeight="1">
      <c r="A1334" s="864" t="s">
        <v>782</v>
      </c>
      <c r="B1334" s="865"/>
      <c r="C1334" s="866"/>
      <c r="D1334" s="867"/>
      <c r="E1334" s="868"/>
      <c r="F1334" s="869"/>
      <c r="G1334" s="869"/>
      <c r="H1334" s="869"/>
      <c r="I1334" s="870"/>
      <c r="J1334" s="870"/>
      <c r="P1334" s="1462"/>
      <c r="Q1334" s="1462"/>
      <c r="R1334" s="1462"/>
      <c r="S1334" s="1462"/>
      <c r="T1334" s="871"/>
      <c r="U1334" s="456"/>
    </row>
    <row r="1335" spans="1:21" ht="21" customHeight="1">
      <c r="A1335" s="872"/>
      <c r="B1335" s="873"/>
      <c r="C1335" s="869"/>
      <c r="D1335" s="869"/>
      <c r="E1335" s="869"/>
      <c r="F1335" s="869"/>
      <c r="G1335" s="869"/>
      <c r="H1335" s="869"/>
      <c r="I1335" s="870"/>
      <c r="J1335" s="870"/>
      <c r="U1335" s="456"/>
    </row>
    <row r="1336" spans="1:21" ht="15" customHeight="1">
      <c r="A1336" s="1463" t="s">
        <v>783</v>
      </c>
      <c r="B1336" s="1463"/>
      <c r="C1336" s="1463"/>
      <c r="D1336" s="1463"/>
      <c r="E1336" s="1463"/>
      <c r="F1336" s="1463"/>
      <c r="G1336" s="1463"/>
      <c r="H1336" s="1463"/>
      <c r="I1336" s="1463"/>
      <c r="J1336" s="1463"/>
      <c r="K1336" s="1463"/>
      <c r="L1336" s="1463"/>
      <c r="M1336" s="1463"/>
      <c r="N1336" s="1463"/>
      <c r="O1336" s="1463"/>
      <c r="P1336" s="1463"/>
      <c r="Q1336" s="1463"/>
      <c r="R1336" s="1463"/>
      <c r="S1336" s="1463"/>
      <c r="T1336" s="1463"/>
      <c r="U1336" s="1463"/>
    </row>
    <row r="1337" spans="1:21" ht="15" customHeight="1">
      <c r="A1337" s="1463"/>
      <c r="B1337" s="1463"/>
      <c r="C1337" s="1463"/>
      <c r="D1337" s="1463"/>
      <c r="E1337" s="1463"/>
      <c r="F1337" s="1463"/>
      <c r="G1337" s="1463"/>
      <c r="H1337" s="1463"/>
      <c r="I1337" s="1463"/>
      <c r="J1337" s="1463"/>
      <c r="K1337" s="1463"/>
      <c r="L1337" s="1463"/>
      <c r="M1337" s="1463"/>
      <c r="N1337" s="1463"/>
      <c r="O1337" s="1463"/>
      <c r="P1337" s="1463"/>
      <c r="Q1337" s="1463"/>
      <c r="R1337" s="1463"/>
      <c r="S1337" s="1463"/>
      <c r="T1337" s="1463"/>
      <c r="U1337" s="1463"/>
    </row>
    <row r="1338" spans="1:21" ht="18" customHeight="1">
      <c r="A1338" s="1464" t="s">
        <v>784</v>
      </c>
      <c r="B1338" s="1464"/>
      <c r="C1338" s="1464"/>
      <c r="D1338" s="1464"/>
      <c r="E1338" s="1464"/>
      <c r="F1338" s="1464"/>
      <c r="G1338" s="1464"/>
      <c r="H1338" s="1464"/>
      <c r="I1338" s="1464"/>
      <c r="J1338" s="1464"/>
      <c r="K1338" s="1464"/>
      <c r="L1338" s="1464"/>
      <c r="M1338" s="1464"/>
      <c r="N1338" s="1464"/>
      <c r="O1338" s="1464"/>
      <c r="P1338" s="1464"/>
      <c r="Q1338" s="1464"/>
      <c r="R1338" s="1464"/>
      <c r="S1338" s="1464"/>
      <c r="T1338" s="1464"/>
      <c r="U1338" s="1464"/>
    </row>
    <row r="1339" spans="1:21" ht="23.25" customHeight="1">
      <c r="A1339" s="1465" t="s">
        <v>785</v>
      </c>
      <c r="B1339" s="1465"/>
      <c r="C1339" s="1465"/>
      <c r="D1339" s="1465"/>
      <c r="E1339" s="1465"/>
      <c r="F1339" s="1465"/>
      <c r="G1339" s="1465"/>
      <c r="H1339" s="1465"/>
      <c r="I1339" s="1465"/>
      <c r="J1339" s="1465"/>
      <c r="K1339" s="1465"/>
      <c r="L1339" s="1465"/>
      <c r="M1339" s="1465"/>
      <c r="N1339" s="1465"/>
      <c r="O1339" s="1465"/>
      <c r="P1339" s="1465"/>
      <c r="Q1339" s="1465"/>
      <c r="R1339" s="1465"/>
      <c r="S1339" s="1465"/>
      <c r="T1339" s="1465"/>
      <c r="U1339" s="1465"/>
    </row>
    <row r="1340" spans="1:21" ht="21.75" customHeight="1">
      <c r="A1340" s="874"/>
      <c r="B1340" s="875"/>
      <c r="C1340" s="875"/>
      <c r="D1340" s="875"/>
      <c r="E1340" s="875"/>
      <c r="F1340" s="875"/>
      <c r="G1340" s="875"/>
      <c r="H1340" s="875"/>
      <c r="I1340" s="875"/>
      <c r="J1340" s="875"/>
      <c r="K1340" s="875"/>
      <c r="L1340" s="875"/>
      <c r="M1340" s="875"/>
      <c r="N1340" s="875"/>
      <c r="O1340" s="875"/>
      <c r="P1340" s="875"/>
      <c r="Q1340" s="875"/>
      <c r="R1340" s="875"/>
      <c r="S1340" s="875"/>
      <c r="T1340" s="875"/>
      <c r="U1340" s="876"/>
    </row>
    <row r="1341" spans="1:21" ht="15" customHeight="1">
      <c r="A1341" s="1466" t="s">
        <v>786</v>
      </c>
      <c r="B1341" s="1467" t="s">
        <v>787</v>
      </c>
      <c r="C1341" s="1468" t="s">
        <v>788</v>
      </c>
      <c r="D1341" s="1468" t="s">
        <v>789</v>
      </c>
      <c r="E1341" s="1469" t="s">
        <v>790</v>
      </c>
      <c r="F1341" s="1468" t="s">
        <v>791</v>
      </c>
      <c r="G1341" s="1468"/>
      <c r="H1341" s="1468"/>
      <c r="I1341" s="1468"/>
      <c r="J1341" s="1468"/>
      <c r="K1341" s="1468"/>
      <c r="L1341" s="1468"/>
      <c r="M1341" s="1468"/>
      <c r="N1341" s="1468"/>
      <c r="O1341" s="1468"/>
      <c r="P1341" s="1470"/>
      <c r="Q1341" s="1470"/>
      <c r="R1341" s="1470"/>
      <c r="S1341" s="1470"/>
      <c r="T1341" s="1470"/>
      <c r="U1341" s="1470"/>
    </row>
    <row r="1342" spans="1:21" ht="15.75" customHeight="1">
      <c r="A1342" s="1466"/>
      <c r="B1342" s="1467"/>
      <c r="C1342" s="1468"/>
      <c r="D1342" s="1468"/>
      <c r="E1342" s="1469"/>
      <c r="F1342" s="1468"/>
      <c r="G1342" s="1468"/>
      <c r="H1342" s="1468"/>
      <c r="I1342" s="1468"/>
      <c r="J1342" s="1468"/>
      <c r="K1342" s="1468"/>
      <c r="L1342" s="1468"/>
      <c r="M1342" s="1468"/>
      <c r="N1342" s="1468"/>
      <c r="O1342" s="1468"/>
      <c r="P1342" s="1470"/>
      <c r="Q1342" s="1470"/>
      <c r="R1342" s="1470"/>
      <c r="S1342" s="1470"/>
      <c r="T1342" s="1470"/>
      <c r="U1342" s="1470"/>
    </row>
    <row r="1343" spans="1:21" ht="48" customHeight="1">
      <c r="A1343" s="1466"/>
      <c r="B1343" s="1467"/>
      <c r="C1343" s="1468"/>
      <c r="D1343" s="1468"/>
      <c r="E1343" s="1469"/>
      <c r="F1343" s="878" t="s">
        <v>792</v>
      </c>
      <c r="G1343" s="877" t="s">
        <v>793</v>
      </c>
      <c r="H1343" s="878" t="s">
        <v>794</v>
      </c>
      <c r="I1343" s="879" t="s">
        <v>795</v>
      </c>
      <c r="J1343" s="880" t="s">
        <v>796</v>
      </c>
      <c r="K1343" s="1468" t="s">
        <v>797</v>
      </c>
      <c r="L1343" s="1468"/>
      <c r="M1343" s="1468"/>
      <c r="N1343" s="1468"/>
      <c r="O1343" s="1468"/>
      <c r="P1343" s="881" t="s">
        <v>798</v>
      </c>
      <c r="Q1343" s="882" t="s">
        <v>799</v>
      </c>
      <c r="R1343" s="1469" t="s">
        <v>800</v>
      </c>
      <c r="S1343" s="1469"/>
      <c r="T1343" s="877" t="s">
        <v>801</v>
      </c>
      <c r="U1343" s="879" t="s">
        <v>104</v>
      </c>
    </row>
    <row r="1344" spans="1:21" ht="19.5" customHeight="1">
      <c r="A1344" s="883"/>
      <c r="B1344" s="884" t="str">
        <f>IF('BIS Doc'!AC627=130, "130 × 130", IF('BIS Doc'!AC627=160, "160 × 160", IF('BIS Doc'!AC627=110, "110 × 110", "Value not 130, 160, or 110")))</f>
        <v>Value not 130, 160, or 110</v>
      </c>
      <c r="C1344" s="885">
        <f>'BIS Doc'!W627</f>
        <v>0</v>
      </c>
      <c r="D1344" s="886"/>
      <c r="E1344" s="887">
        <f>'BIS Doc'!AE627</f>
        <v>0</v>
      </c>
      <c r="F1344" s="888">
        <f ca="1">'BIS Doc'!F627</f>
        <v>0</v>
      </c>
      <c r="G1344" s="888">
        <f ca="1">'BIS Doc'!J627</f>
        <v>0</v>
      </c>
      <c r="H1344" s="888">
        <f ca="1">'BIS Doc'!G627</f>
        <v>0.51547805131885804</v>
      </c>
      <c r="I1344" s="889">
        <f ca="1">'BIS Doc'!H627</f>
        <v>0</v>
      </c>
      <c r="J1344" s="889">
        <f ca="1">'BIS Doc'!I627</f>
        <v>0</v>
      </c>
      <c r="K1344" s="1449" t="str">
        <f t="shared" ref="K1344:K1349" ca="1" si="38">IF(H1344&lt;0.6, "IS 14650 CPS 10748/GR2", "IS 14650 CPS 10748/GR3")</f>
        <v>IS 14650 CPS 10748/GR2</v>
      </c>
      <c r="L1344" s="1449"/>
      <c r="M1344" s="1449"/>
      <c r="N1344" s="1449"/>
      <c r="O1344" s="1449"/>
      <c r="P1344" s="890"/>
      <c r="Q1344" s="891"/>
      <c r="R1344" s="1449"/>
      <c r="S1344" s="1449"/>
      <c r="T1344" s="892"/>
      <c r="U1344" s="1450" t="s">
        <v>802</v>
      </c>
    </row>
    <row r="1345" spans="1:21" ht="19.5" customHeight="1">
      <c r="A1345" s="893"/>
      <c r="B1345" s="894" t="str">
        <f>IF('BIS Doc'!AC629=130, "130 × 130", IF('BIS Doc'!AC629=160, "160 × 160", IF('BIS Doc'!AC629=110, "110 × 110", "Value not 130, 160, or 110")))</f>
        <v>Value not 130, 160, or 110</v>
      </c>
      <c r="C1345" s="895">
        <f>'BIS Doc'!W629</f>
        <v>0</v>
      </c>
      <c r="D1345" s="896"/>
      <c r="E1345" s="897">
        <f>'BIS Doc'!AE629</f>
        <v>0</v>
      </c>
      <c r="F1345" s="898">
        <f ca="1">'BIS Doc'!F629</f>
        <v>0</v>
      </c>
      <c r="G1345" s="899">
        <f ca="1">'BIS Doc'!J629</f>
        <v>0</v>
      </c>
      <c r="H1345" s="900">
        <f ca="1">'BIS Doc'!G629</f>
        <v>0.57264226373247118</v>
      </c>
      <c r="I1345" s="901">
        <f ca="1">'BIS Doc'!H629</f>
        <v>0</v>
      </c>
      <c r="J1345" s="901">
        <f ca="1">'BIS Doc'!I629</f>
        <v>0</v>
      </c>
      <c r="K1345" s="1451" t="str">
        <f t="shared" ca="1" si="38"/>
        <v>IS 14650 CPS 10748/GR2</v>
      </c>
      <c r="L1345" s="1451"/>
      <c r="M1345" s="1451"/>
      <c r="N1345" s="1451"/>
      <c r="O1345" s="1451"/>
      <c r="P1345" s="902"/>
      <c r="Q1345" s="903"/>
      <c r="R1345" s="1451"/>
      <c r="S1345" s="1451"/>
      <c r="T1345" s="904"/>
      <c r="U1345" s="1450"/>
    </row>
    <row r="1346" spans="1:21" ht="19.5" customHeight="1">
      <c r="A1346" s="864"/>
      <c r="B1346" s="894" t="str">
        <f>IF('BIS Doc'!AC631=130, "130 × 130", IF('BIS Doc'!AC631=160, "160 × 160", IF('BIS Doc'!AC631=110, "110 × 110", "Value not 130, 160, or 110")))</f>
        <v>Value not 130, 160, or 110</v>
      </c>
      <c r="C1346" s="895">
        <f>'BIS Doc'!W631</f>
        <v>0</v>
      </c>
      <c r="D1346" s="896" t="s">
        <v>803</v>
      </c>
      <c r="E1346" s="897">
        <f>'BIS Doc'!AE631</f>
        <v>0</v>
      </c>
      <c r="F1346" s="898">
        <f ca="1">'BIS Doc'!F631</f>
        <v>0</v>
      </c>
      <c r="G1346" s="899">
        <f ca="1">'BIS Doc'!J631</f>
        <v>0</v>
      </c>
      <c r="H1346" s="900">
        <f ca="1">'BIS Doc'!G631</f>
        <v>0.55428459068084657</v>
      </c>
      <c r="I1346" s="901">
        <f ca="1">'BIS Doc'!H631</f>
        <v>0</v>
      </c>
      <c r="J1346" s="901">
        <f ca="1">'BIS Doc'!I631</f>
        <v>0</v>
      </c>
      <c r="K1346" s="1451" t="str">
        <f t="shared" ca="1" si="38"/>
        <v>IS 14650 CPS 10748/GR2</v>
      </c>
      <c r="L1346" s="1451"/>
      <c r="M1346" s="1451"/>
      <c r="N1346" s="1451"/>
      <c r="O1346" s="1451"/>
      <c r="P1346" s="902"/>
      <c r="Q1346" s="905"/>
      <c r="R1346" s="1451"/>
      <c r="S1346" s="1451"/>
      <c r="T1346" s="904"/>
      <c r="U1346" s="1450"/>
    </row>
    <row r="1347" spans="1:21" ht="19.5" customHeight="1">
      <c r="A1347" s="864"/>
      <c r="B1347" s="894" t="str">
        <f>IF('BIS Doc'!AC633=130, "130 × 130", IF('BIS Doc'!AC633=160, "160 × 160", IF('BIS Doc'!AC633=110, "110 × 110", "Value not 130, 160, or 110")))</f>
        <v>Value not 130, 160, or 110</v>
      </c>
      <c r="C1347" s="895">
        <f>'BIS Doc'!W633</f>
        <v>0</v>
      </c>
      <c r="D1347" s="896"/>
      <c r="E1347" s="897">
        <f>'BIS Doc'!AE633</f>
        <v>0</v>
      </c>
      <c r="F1347" s="898">
        <f ca="1">'BIS Doc'!F633</f>
        <v>0</v>
      </c>
      <c r="G1347" s="899">
        <f ca="1">'BIS Doc'!J633</f>
        <v>0</v>
      </c>
      <c r="H1347" s="900">
        <f ca="1">'BIS Doc'!G633</f>
        <v>0.51149167511681781</v>
      </c>
      <c r="I1347" s="901">
        <f ca="1">'BIS Doc'!H633</f>
        <v>0</v>
      </c>
      <c r="J1347" s="901">
        <f ca="1">'BIS Doc'!I633</f>
        <v>0</v>
      </c>
      <c r="K1347" s="1451" t="str">
        <f t="shared" ca="1" si="38"/>
        <v>IS 14650 CPS 10748/GR2</v>
      </c>
      <c r="L1347" s="1451"/>
      <c r="M1347" s="1451"/>
      <c r="N1347" s="1451"/>
      <c r="O1347" s="1451"/>
      <c r="P1347" s="902"/>
      <c r="Q1347" s="905"/>
      <c r="R1347" s="1451"/>
      <c r="S1347" s="1451"/>
      <c r="T1347" s="904"/>
      <c r="U1347" s="1450"/>
    </row>
    <row r="1348" spans="1:21" ht="19.5" customHeight="1">
      <c r="A1348" s="864"/>
      <c r="B1348" s="894" t="str">
        <f>IF('BIS Doc'!AC635=130, "130 × 130", IF('BIS Doc'!AC635=160, "160 × 160", IF('BIS Doc'!AC635=110, "110 × 110", "Value not 130, 160, or 110")))</f>
        <v>Value not 130, 160, or 110</v>
      </c>
      <c r="C1348" s="895">
        <f>'BIS Doc'!W635</f>
        <v>0</v>
      </c>
      <c r="D1348" s="896"/>
      <c r="E1348" s="897">
        <f>'BIS Doc'!AE635</f>
        <v>0</v>
      </c>
      <c r="F1348" s="898">
        <f ca="1">'BIS Doc'!F635</f>
        <v>0</v>
      </c>
      <c r="G1348" s="899">
        <f ca="1">'BIS Doc'!J635</f>
        <v>0</v>
      </c>
      <c r="H1348" s="900">
        <f ca="1">'BIS Doc'!G635</f>
        <v>0.52097924142342034</v>
      </c>
      <c r="I1348" s="901">
        <f ca="1">'BIS Doc'!H635</f>
        <v>0</v>
      </c>
      <c r="J1348" s="901">
        <f ca="1">'BIS Doc'!I635</f>
        <v>0</v>
      </c>
      <c r="K1348" s="1451" t="str">
        <f t="shared" ca="1" si="38"/>
        <v>IS 14650 CPS 10748/GR2</v>
      </c>
      <c r="L1348" s="1451"/>
      <c r="M1348" s="1451"/>
      <c r="N1348" s="1451"/>
      <c r="O1348" s="1451"/>
      <c r="P1348" s="902"/>
      <c r="Q1348" s="905"/>
      <c r="R1348" s="1451"/>
      <c r="S1348" s="1451"/>
      <c r="T1348" s="904"/>
      <c r="U1348" s="1450"/>
    </row>
    <row r="1349" spans="1:21" ht="19.5" customHeight="1">
      <c r="A1349" s="864"/>
      <c r="B1349" s="894" t="str">
        <f>IF('BIS Doc'!AC637=130, "130 × 130", IF('BIS Doc'!AC637=160, "160 × 160", IF('BIS Doc'!AC637=110, "110 × 110", "Value not 130, 160, or 110")))</f>
        <v>Value not 130, 160, or 110</v>
      </c>
      <c r="C1349" s="895">
        <f>'BIS Doc'!W637</f>
        <v>0</v>
      </c>
      <c r="D1349" s="896"/>
      <c r="E1349" s="897">
        <f>'BIS Doc'!AE637</f>
        <v>0</v>
      </c>
      <c r="F1349" s="898">
        <f ca="1">'BIS Doc'!F637</f>
        <v>0</v>
      </c>
      <c r="G1349" s="899">
        <f ca="1">'BIS Doc'!J637</f>
        <v>0</v>
      </c>
      <c r="H1349" s="900">
        <f ca="1">'BIS Doc'!G637</f>
        <v>0.58991317738419324</v>
      </c>
      <c r="I1349" s="901">
        <f ca="1">'BIS Doc'!H637</f>
        <v>0</v>
      </c>
      <c r="J1349" s="901">
        <f ca="1">'BIS Doc'!I637</f>
        <v>0</v>
      </c>
      <c r="K1349" s="1451" t="str">
        <f t="shared" ca="1" si="38"/>
        <v>IS 14650 CPS 10748/GR2</v>
      </c>
      <c r="L1349" s="1451"/>
      <c r="M1349" s="1451"/>
      <c r="N1349" s="1451"/>
      <c r="O1349" s="1451"/>
      <c r="P1349" s="902"/>
      <c r="Q1349" s="903"/>
      <c r="R1349" s="1451"/>
      <c r="S1349" s="1451"/>
      <c r="T1349" s="904"/>
      <c r="U1349" s="1450"/>
    </row>
    <row r="1350" spans="1:21" ht="19.5" customHeight="1">
      <c r="A1350" s="864"/>
      <c r="B1350" s="904"/>
      <c r="C1350" s="895"/>
      <c r="D1350" s="896"/>
      <c r="E1350" s="897"/>
      <c r="F1350" s="906"/>
      <c r="G1350" s="907"/>
      <c r="H1350" s="908"/>
      <c r="I1350" s="909"/>
      <c r="J1350" s="909"/>
      <c r="K1350" s="1451"/>
      <c r="L1350" s="1451"/>
      <c r="M1350" s="1451"/>
      <c r="N1350" s="1451"/>
      <c r="O1350" s="1451"/>
      <c r="P1350" s="902"/>
      <c r="Q1350" s="903"/>
      <c r="R1350" s="1451"/>
      <c r="S1350" s="1451"/>
      <c r="T1350" s="904"/>
      <c r="U1350" s="1450"/>
    </row>
    <row r="1351" spans="1:21" ht="19.5" customHeight="1">
      <c r="A1351" s="864"/>
      <c r="B1351" s="904"/>
      <c r="C1351" s="895"/>
      <c r="D1351" s="896"/>
      <c r="E1351" s="897"/>
      <c r="F1351" s="906"/>
      <c r="G1351" s="907"/>
      <c r="H1351" s="908"/>
      <c r="I1351" s="909"/>
      <c r="J1351" s="909"/>
      <c r="K1351" s="1451"/>
      <c r="L1351" s="1451"/>
      <c r="M1351" s="1451"/>
      <c r="N1351" s="1451"/>
      <c r="O1351" s="1451"/>
      <c r="P1351" s="902"/>
      <c r="Q1351" s="905"/>
      <c r="R1351" s="1451"/>
      <c r="S1351" s="1451"/>
      <c r="T1351" s="904"/>
      <c r="U1351" s="1450"/>
    </row>
    <row r="1352" spans="1:21" ht="19.5" customHeight="1">
      <c r="A1352" s="864"/>
      <c r="B1352" s="910"/>
      <c r="C1352" s="911"/>
      <c r="D1352" s="896"/>
      <c r="E1352" s="897"/>
      <c r="F1352" s="906"/>
      <c r="G1352" s="907"/>
      <c r="H1352" s="908"/>
      <c r="I1352" s="909"/>
      <c r="J1352" s="909"/>
      <c r="K1352" s="1451"/>
      <c r="L1352" s="1451"/>
      <c r="M1352" s="1451"/>
      <c r="N1352" s="1451"/>
      <c r="O1352" s="1451"/>
      <c r="P1352" s="912"/>
      <c r="Q1352" s="913"/>
      <c r="R1352" s="1452"/>
      <c r="S1352" s="1452"/>
      <c r="T1352" s="910"/>
      <c r="U1352" s="1450"/>
    </row>
    <row r="1353" spans="1:21" ht="19.5" customHeight="1">
      <c r="A1353" s="914"/>
      <c r="B1353" s="915"/>
      <c r="C1353" s="916"/>
      <c r="D1353" s="917"/>
      <c r="E1353" s="918">
        <f>SUM(E1344:E1349)</f>
        <v>0</v>
      </c>
      <c r="F1353" s="919"/>
      <c r="G1353" s="920"/>
      <c r="H1353" s="921"/>
      <c r="I1353" s="922"/>
      <c r="J1353" s="922"/>
      <c r="K1353" s="1453"/>
      <c r="L1353" s="1453"/>
      <c r="M1353" s="1453"/>
      <c r="N1353" s="1453"/>
      <c r="O1353" s="1453"/>
      <c r="P1353" s="923"/>
      <c r="Q1353" s="924"/>
      <c r="R1353" s="1454"/>
      <c r="S1353" s="1454"/>
      <c r="T1353" s="915"/>
      <c r="U1353" s="1450"/>
    </row>
    <row r="1354" spans="1:21" ht="15.75" customHeight="1">
      <c r="A1354" s="864"/>
      <c r="B1354" s="773"/>
      <c r="C1354" s="773"/>
      <c r="D1354" s="925"/>
      <c r="E1354" s="926"/>
      <c r="F1354" s="927"/>
      <c r="G1354" s="928"/>
      <c r="H1354" s="259"/>
      <c r="I1354" s="259"/>
      <c r="J1354" s="928"/>
      <c r="K1354" s="929"/>
      <c r="L1354" s="929"/>
      <c r="M1354" s="929"/>
      <c r="N1354" s="929"/>
      <c r="O1354" s="928"/>
      <c r="P1354" s="930"/>
      <c r="Q1354" s="931"/>
      <c r="R1354" s="931"/>
      <c r="U1354" s="932"/>
    </row>
    <row r="1355" spans="1:21" ht="18.75" customHeight="1">
      <c r="A1355" s="864"/>
      <c r="B1355" s="773"/>
      <c r="C1355" s="773"/>
      <c r="D1355" s="773"/>
      <c r="E1355" s="773"/>
      <c r="F1355" s="773"/>
      <c r="G1355" s="773"/>
      <c r="H1355" s="773"/>
      <c r="I1355" s="773"/>
      <c r="J1355" s="773"/>
      <c r="K1355" s="773"/>
      <c r="P1355" s="1446" t="s">
        <v>804</v>
      </c>
      <c r="Q1355" s="1446"/>
      <c r="R1355" s="1446"/>
      <c r="S1355" s="1446"/>
      <c r="T1355" s="1446"/>
      <c r="U1355" s="1446"/>
    </row>
    <row r="1356" spans="1:21" ht="18.75" customHeight="1">
      <c r="A1356" s="1447" t="s">
        <v>805</v>
      </c>
      <c r="B1356" s="1447"/>
      <c r="C1356" s="933"/>
      <c r="D1356" s="933"/>
      <c r="E1356" s="933"/>
      <c r="F1356" s="933"/>
      <c r="P1356" s="855"/>
      <c r="Q1356" s="855"/>
      <c r="R1356" s="855"/>
      <c r="S1356" s="855"/>
      <c r="T1356" s="855"/>
      <c r="U1356" s="934"/>
    </row>
    <row r="1357" spans="1:21" ht="18.75" customHeight="1">
      <c r="A1357" s="854"/>
      <c r="B1357" s="855"/>
      <c r="P1357" s="855"/>
      <c r="Q1357" s="855"/>
      <c r="R1357" s="855"/>
      <c r="S1357" s="855"/>
      <c r="T1357" s="855"/>
      <c r="U1357" s="934"/>
    </row>
    <row r="1358" spans="1:21" ht="18.75" customHeight="1">
      <c r="A1358" s="854" t="s">
        <v>806</v>
      </c>
      <c r="B1358" s="855"/>
      <c r="C1358" s="867"/>
      <c r="D1358" s="941"/>
      <c r="E1358" s="933"/>
      <c r="F1358" s="933"/>
      <c r="P1358" s="855"/>
      <c r="Q1358" s="855"/>
      <c r="R1358" s="855"/>
      <c r="S1358" s="855"/>
      <c r="T1358" s="855"/>
      <c r="U1358" s="934"/>
    </row>
    <row r="1359" spans="1:21" ht="18.75" customHeight="1">
      <c r="A1359" s="854"/>
      <c r="B1359" s="855"/>
      <c r="C1359" s="937"/>
      <c r="P1359" s="855"/>
      <c r="Q1359" s="855"/>
      <c r="R1359" s="855"/>
      <c r="S1359" s="855"/>
      <c r="T1359" s="855"/>
      <c r="U1359" s="934"/>
    </row>
    <row r="1360" spans="1:21" ht="19.5" customHeight="1">
      <c r="A1360" s="938"/>
      <c r="B1360" s="939"/>
      <c r="C1360" s="940"/>
      <c r="D1360" s="453"/>
      <c r="E1360" s="453"/>
      <c r="F1360" s="453"/>
      <c r="G1360" s="453"/>
      <c r="H1360" s="453"/>
      <c r="I1360" s="453"/>
      <c r="J1360" s="453"/>
      <c r="K1360" s="453"/>
      <c r="L1360" s="453"/>
      <c r="M1360" s="453"/>
      <c r="N1360" s="453"/>
      <c r="O1360" s="453"/>
      <c r="P1360" s="1448" t="s">
        <v>807</v>
      </c>
      <c r="Q1360" s="1448"/>
      <c r="R1360" s="1448"/>
      <c r="S1360" s="1448"/>
      <c r="T1360" s="1448"/>
      <c r="U1360" s="1448"/>
    </row>
    <row r="1361" spans="1:21" ht="45.75" customHeight="1">
      <c r="A1361" s="1455"/>
      <c r="B1361" s="1455"/>
      <c r="C1361" s="1455"/>
      <c r="D1361" s="847"/>
      <c r="E1361" s="1456" t="s">
        <v>774</v>
      </c>
      <c r="F1361" s="1456"/>
      <c r="G1361" s="1456"/>
      <c r="H1361" s="1456"/>
      <c r="I1361" s="1456"/>
      <c r="J1361" s="1456"/>
      <c r="K1361" s="1456"/>
      <c r="L1361" s="1456"/>
      <c r="M1361" s="1456"/>
      <c r="N1361" s="1456"/>
      <c r="O1361" s="1456"/>
      <c r="P1361" s="1456"/>
      <c r="Q1361" s="1456"/>
      <c r="R1361" s="1456"/>
      <c r="S1361" s="848"/>
      <c r="T1361" s="1457" t="s">
        <v>775</v>
      </c>
      <c r="U1361" s="1457"/>
    </row>
    <row r="1362" spans="1:21" ht="18.75" customHeight="1">
      <c r="A1362" s="849"/>
      <c r="E1362" s="1458" t="s">
        <v>776</v>
      </c>
      <c r="F1362" s="1458"/>
      <c r="G1362" s="1458"/>
      <c r="H1362" s="1458"/>
      <c r="I1362" s="1458"/>
      <c r="J1362" s="1458"/>
      <c r="K1362" s="1458"/>
      <c r="L1362" s="1458"/>
      <c r="M1362" s="1458"/>
      <c r="N1362" s="1458"/>
      <c r="O1362" s="1458"/>
      <c r="P1362" s="1458"/>
      <c r="Q1362" s="1458"/>
      <c r="R1362" s="1458"/>
      <c r="U1362" s="456"/>
    </row>
    <row r="1363" spans="1:21" ht="18.75" customHeight="1">
      <c r="A1363" s="850"/>
      <c r="F1363" s="587"/>
      <c r="G1363" s="587"/>
      <c r="H1363" s="587"/>
      <c r="I1363" s="587"/>
      <c r="J1363" s="587"/>
      <c r="K1363" s="587"/>
      <c r="L1363" s="587"/>
      <c r="M1363" s="851"/>
      <c r="N1363" s="852"/>
      <c r="O1363" s="851"/>
      <c r="P1363" s="1459" t="s">
        <v>777</v>
      </c>
      <c r="Q1363" s="1459"/>
      <c r="R1363" s="1459"/>
      <c r="S1363" s="1459"/>
      <c r="T1363" s="1459"/>
      <c r="U1363" s="1459"/>
    </row>
    <row r="1364" spans="1:21" ht="15" customHeight="1">
      <c r="A1364" s="849"/>
      <c r="E1364" s="1287" t="s">
        <v>778</v>
      </c>
      <c r="F1364" s="1287"/>
      <c r="G1364" s="1287"/>
      <c r="H1364" s="1287"/>
      <c r="I1364" s="1287"/>
      <c r="J1364" s="1287"/>
      <c r="K1364" s="1287"/>
      <c r="L1364" s="1287"/>
      <c r="M1364" s="1287"/>
      <c r="N1364" s="1287"/>
      <c r="O1364" s="1287"/>
      <c r="P1364" s="1287"/>
      <c r="Q1364" s="1287"/>
      <c r="R1364" s="1287"/>
      <c r="U1364" s="456"/>
    </row>
    <row r="1365" spans="1:21" ht="18.75" customHeight="1">
      <c r="A1365" s="849"/>
      <c r="E1365" s="1286" t="s">
        <v>779</v>
      </c>
      <c r="F1365" s="1286"/>
      <c r="G1365" s="1286"/>
      <c r="H1365" s="1286"/>
      <c r="I1365" s="1286"/>
      <c r="J1365" s="1286"/>
      <c r="K1365" s="1286"/>
      <c r="L1365" s="1286"/>
      <c r="M1365" s="1286"/>
      <c r="N1365" s="1286"/>
      <c r="O1365" s="1286"/>
      <c r="P1365" s="1286"/>
      <c r="Q1365" s="1286"/>
      <c r="R1365" s="1286"/>
      <c r="U1365" s="853"/>
    </row>
    <row r="1366" spans="1:21" ht="23.25" customHeight="1">
      <c r="A1366" s="854" t="s">
        <v>780</v>
      </c>
      <c r="B1366" s="855"/>
      <c r="C1366" s="855"/>
      <c r="D1366" s="856" t="s">
        <v>864</v>
      </c>
      <c r="E1366" s="857"/>
      <c r="F1366" s="858"/>
      <c r="G1366" s="859"/>
      <c r="H1366" s="859"/>
      <c r="I1366" s="859"/>
      <c r="J1366" s="859"/>
      <c r="K1366" s="859"/>
      <c r="L1366" s="860"/>
      <c r="M1366" s="1460"/>
      <c r="N1366" s="1460"/>
      <c r="O1366" s="1460"/>
      <c r="P1366" s="1461" t="s">
        <v>781</v>
      </c>
      <c r="Q1366" s="1461"/>
      <c r="R1366" s="1461"/>
      <c r="S1366" s="855"/>
      <c r="T1366" s="861">
        <v>46316</v>
      </c>
      <c r="U1366" s="456"/>
    </row>
    <row r="1367" spans="1:21" ht="23.25" customHeight="1">
      <c r="A1367" s="854"/>
      <c r="B1367" s="862"/>
      <c r="C1367" s="862"/>
      <c r="D1367" s="862"/>
      <c r="E1367" s="163"/>
      <c r="F1367" s="863"/>
      <c r="G1367" s="863"/>
      <c r="H1367" s="863"/>
      <c r="I1367" s="863"/>
      <c r="J1367" s="863"/>
      <c r="K1367" s="863"/>
      <c r="U1367" s="456"/>
    </row>
    <row r="1368" spans="1:21" ht="21" customHeight="1">
      <c r="A1368" s="864" t="s">
        <v>782</v>
      </c>
      <c r="B1368" s="865"/>
      <c r="C1368" s="866"/>
      <c r="D1368" s="867"/>
      <c r="E1368" s="868"/>
      <c r="F1368" s="869"/>
      <c r="G1368" s="869"/>
      <c r="H1368" s="869"/>
      <c r="I1368" s="870"/>
      <c r="J1368" s="870"/>
      <c r="P1368" s="1462"/>
      <c r="Q1368" s="1462"/>
      <c r="R1368" s="1462"/>
      <c r="S1368" s="1462"/>
      <c r="T1368" s="871"/>
      <c r="U1368" s="456"/>
    </row>
    <row r="1369" spans="1:21" ht="21" customHeight="1">
      <c r="A1369" s="872"/>
      <c r="B1369" s="873"/>
      <c r="C1369" s="869"/>
      <c r="D1369" s="869"/>
      <c r="E1369" s="869"/>
      <c r="F1369" s="869"/>
      <c r="G1369" s="869"/>
      <c r="H1369" s="869"/>
      <c r="I1369" s="870"/>
      <c r="J1369" s="870"/>
      <c r="U1369" s="456"/>
    </row>
    <row r="1370" spans="1:21" ht="15" customHeight="1">
      <c r="A1370" s="1463" t="s">
        <v>783</v>
      </c>
      <c r="B1370" s="1463"/>
      <c r="C1370" s="1463"/>
      <c r="D1370" s="1463"/>
      <c r="E1370" s="1463"/>
      <c r="F1370" s="1463"/>
      <c r="G1370" s="1463"/>
      <c r="H1370" s="1463"/>
      <c r="I1370" s="1463"/>
      <c r="J1370" s="1463"/>
      <c r="K1370" s="1463"/>
      <c r="L1370" s="1463"/>
      <c r="M1370" s="1463"/>
      <c r="N1370" s="1463"/>
      <c r="O1370" s="1463"/>
      <c r="P1370" s="1463"/>
      <c r="Q1370" s="1463"/>
      <c r="R1370" s="1463"/>
      <c r="S1370" s="1463"/>
      <c r="T1370" s="1463"/>
      <c r="U1370" s="1463"/>
    </row>
    <row r="1371" spans="1:21" ht="15" customHeight="1">
      <c r="A1371" s="1463"/>
      <c r="B1371" s="1463"/>
      <c r="C1371" s="1463"/>
      <c r="D1371" s="1463"/>
      <c r="E1371" s="1463"/>
      <c r="F1371" s="1463"/>
      <c r="G1371" s="1463"/>
      <c r="H1371" s="1463"/>
      <c r="I1371" s="1463"/>
      <c r="J1371" s="1463"/>
      <c r="K1371" s="1463"/>
      <c r="L1371" s="1463"/>
      <c r="M1371" s="1463"/>
      <c r="N1371" s="1463"/>
      <c r="O1371" s="1463"/>
      <c r="P1371" s="1463"/>
      <c r="Q1371" s="1463"/>
      <c r="R1371" s="1463"/>
      <c r="S1371" s="1463"/>
      <c r="T1371" s="1463"/>
      <c r="U1371" s="1463"/>
    </row>
    <row r="1372" spans="1:21" ht="18" customHeight="1">
      <c r="A1372" s="1464" t="s">
        <v>784</v>
      </c>
      <c r="B1372" s="1464"/>
      <c r="C1372" s="1464"/>
      <c r="D1372" s="1464"/>
      <c r="E1372" s="1464"/>
      <c r="F1372" s="1464"/>
      <c r="G1372" s="1464"/>
      <c r="H1372" s="1464"/>
      <c r="I1372" s="1464"/>
      <c r="J1372" s="1464"/>
      <c r="K1372" s="1464"/>
      <c r="L1372" s="1464"/>
      <c r="M1372" s="1464"/>
      <c r="N1372" s="1464"/>
      <c r="O1372" s="1464"/>
      <c r="P1372" s="1464"/>
      <c r="Q1372" s="1464"/>
      <c r="R1372" s="1464"/>
      <c r="S1372" s="1464"/>
      <c r="T1372" s="1464"/>
      <c r="U1372" s="1464"/>
    </row>
    <row r="1373" spans="1:21" ht="23.25" customHeight="1">
      <c r="A1373" s="1465" t="s">
        <v>785</v>
      </c>
      <c r="B1373" s="1465"/>
      <c r="C1373" s="1465"/>
      <c r="D1373" s="1465"/>
      <c r="E1373" s="1465"/>
      <c r="F1373" s="1465"/>
      <c r="G1373" s="1465"/>
      <c r="H1373" s="1465"/>
      <c r="I1373" s="1465"/>
      <c r="J1373" s="1465"/>
      <c r="K1373" s="1465"/>
      <c r="L1373" s="1465"/>
      <c r="M1373" s="1465"/>
      <c r="N1373" s="1465"/>
      <c r="O1373" s="1465"/>
      <c r="P1373" s="1465"/>
      <c r="Q1373" s="1465"/>
      <c r="R1373" s="1465"/>
      <c r="S1373" s="1465"/>
      <c r="T1373" s="1465"/>
      <c r="U1373" s="1465"/>
    </row>
    <row r="1374" spans="1:21" ht="21.75" customHeight="1">
      <c r="A1374" s="874"/>
      <c r="B1374" s="875"/>
      <c r="C1374" s="875"/>
      <c r="D1374" s="875"/>
      <c r="E1374" s="875"/>
      <c r="F1374" s="875"/>
      <c r="G1374" s="875"/>
      <c r="H1374" s="875"/>
      <c r="I1374" s="875"/>
      <c r="J1374" s="875"/>
      <c r="K1374" s="875"/>
      <c r="L1374" s="875"/>
      <c r="M1374" s="875"/>
      <c r="N1374" s="875"/>
      <c r="O1374" s="875"/>
      <c r="P1374" s="875"/>
      <c r="Q1374" s="875"/>
      <c r="R1374" s="875"/>
      <c r="S1374" s="875"/>
      <c r="T1374" s="875"/>
      <c r="U1374" s="876"/>
    </row>
    <row r="1375" spans="1:21" ht="15" customHeight="1">
      <c r="A1375" s="1466" t="s">
        <v>786</v>
      </c>
      <c r="B1375" s="1467" t="s">
        <v>787</v>
      </c>
      <c r="C1375" s="1468" t="s">
        <v>788</v>
      </c>
      <c r="D1375" s="1468" t="s">
        <v>789</v>
      </c>
      <c r="E1375" s="1469" t="s">
        <v>790</v>
      </c>
      <c r="F1375" s="1468" t="s">
        <v>791</v>
      </c>
      <c r="G1375" s="1468"/>
      <c r="H1375" s="1468"/>
      <c r="I1375" s="1468"/>
      <c r="J1375" s="1468"/>
      <c r="K1375" s="1468"/>
      <c r="L1375" s="1468"/>
      <c r="M1375" s="1468"/>
      <c r="N1375" s="1468"/>
      <c r="O1375" s="1468"/>
      <c r="P1375" s="1470"/>
      <c r="Q1375" s="1470"/>
      <c r="R1375" s="1470"/>
      <c r="S1375" s="1470"/>
      <c r="T1375" s="1470"/>
      <c r="U1375" s="1470"/>
    </row>
    <row r="1376" spans="1:21" ht="15.75" customHeight="1">
      <c r="A1376" s="1466"/>
      <c r="B1376" s="1467"/>
      <c r="C1376" s="1468"/>
      <c r="D1376" s="1468"/>
      <c r="E1376" s="1469"/>
      <c r="F1376" s="1468"/>
      <c r="G1376" s="1468"/>
      <c r="H1376" s="1468"/>
      <c r="I1376" s="1468"/>
      <c r="J1376" s="1468"/>
      <c r="K1376" s="1468"/>
      <c r="L1376" s="1468"/>
      <c r="M1376" s="1468"/>
      <c r="N1376" s="1468"/>
      <c r="O1376" s="1468"/>
      <c r="P1376" s="1470"/>
      <c r="Q1376" s="1470"/>
      <c r="R1376" s="1470"/>
      <c r="S1376" s="1470"/>
      <c r="T1376" s="1470"/>
      <c r="U1376" s="1470"/>
    </row>
    <row r="1377" spans="1:21" ht="48" customHeight="1">
      <c r="A1377" s="1466"/>
      <c r="B1377" s="1467"/>
      <c r="C1377" s="1468"/>
      <c r="D1377" s="1468"/>
      <c r="E1377" s="1469"/>
      <c r="F1377" s="878" t="s">
        <v>792</v>
      </c>
      <c r="G1377" s="877" t="s">
        <v>793</v>
      </c>
      <c r="H1377" s="878" t="s">
        <v>794</v>
      </c>
      <c r="I1377" s="879" t="s">
        <v>795</v>
      </c>
      <c r="J1377" s="880" t="s">
        <v>796</v>
      </c>
      <c r="K1377" s="1468" t="s">
        <v>797</v>
      </c>
      <c r="L1377" s="1468"/>
      <c r="M1377" s="1468"/>
      <c r="N1377" s="1468"/>
      <c r="O1377" s="1468"/>
      <c r="P1377" s="881" t="s">
        <v>798</v>
      </c>
      <c r="Q1377" s="882" t="s">
        <v>799</v>
      </c>
      <c r="R1377" s="1469" t="s">
        <v>800</v>
      </c>
      <c r="S1377" s="1469"/>
      <c r="T1377" s="877" t="s">
        <v>801</v>
      </c>
      <c r="U1377" s="879" t="s">
        <v>104</v>
      </c>
    </row>
    <row r="1378" spans="1:21" ht="19.5" customHeight="1">
      <c r="A1378" s="883"/>
      <c r="B1378" s="884" t="str">
        <f>IF('BIS Doc'!AC647=130, "130 × 130", IF('BIS Doc'!AC647=160, "160 × 160", IF('BIS Doc'!AC647=110, "110 × 110", "Value not 130, 160, or 110")))</f>
        <v>Value not 130, 160, or 110</v>
      </c>
      <c r="C1378" s="885">
        <f>'BIS Doc'!W647</f>
        <v>0</v>
      </c>
      <c r="D1378" s="886"/>
      <c r="E1378" s="887">
        <f>'BIS Doc'!AE647</f>
        <v>0</v>
      </c>
      <c r="F1378" s="888">
        <f ca="1">'BIS Doc'!F647</f>
        <v>0</v>
      </c>
      <c r="G1378" s="888">
        <f ca="1">'BIS Doc'!J647</f>
        <v>0</v>
      </c>
      <c r="H1378" s="888">
        <f ca="1">'BIS Doc'!G647</f>
        <v>0.52869077657059749</v>
      </c>
      <c r="I1378" s="889">
        <f ca="1">'BIS Doc'!H647</f>
        <v>0</v>
      </c>
      <c r="J1378" s="889">
        <f ca="1">'BIS Doc'!I647</f>
        <v>0</v>
      </c>
      <c r="K1378" s="1449" t="str">
        <f t="shared" ref="K1378:K1383" ca="1" si="39">IF(H1378&lt;0.6, "IS 14650 CPS 10748/GR2", "IS 14650 CPS 10748/GR3")</f>
        <v>IS 14650 CPS 10748/GR2</v>
      </c>
      <c r="L1378" s="1449"/>
      <c r="M1378" s="1449"/>
      <c r="N1378" s="1449"/>
      <c r="O1378" s="1449"/>
      <c r="P1378" s="890"/>
      <c r="Q1378" s="891"/>
      <c r="R1378" s="1449"/>
      <c r="S1378" s="1449"/>
      <c r="T1378" s="892"/>
      <c r="U1378" s="1450" t="s">
        <v>802</v>
      </c>
    </row>
    <row r="1379" spans="1:21" ht="19.5" customHeight="1">
      <c r="A1379" s="893"/>
      <c r="B1379" s="894" t="str">
        <f>IF('BIS Doc'!AC649=130, "130 × 130", IF('BIS Doc'!AC649=160, "160 × 160", IF('BIS Doc'!AC649=110, "110 × 110", "Value not 130, 160, or 110")))</f>
        <v>Value not 130, 160, or 110</v>
      </c>
      <c r="C1379" s="895">
        <f>'BIS Doc'!W649</f>
        <v>0</v>
      </c>
      <c r="D1379" s="896"/>
      <c r="E1379" s="897">
        <f>'BIS Doc'!AE649</f>
        <v>0</v>
      </c>
      <c r="F1379" s="898">
        <f ca="1">'BIS Doc'!F649</f>
        <v>0</v>
      </c>
      <c r="G1379" s="899">
        <f ca="1">'BIS Doc'!J649</f>
        <v>0</v>
      </c>
      <c r="H1379" s="900">
        <f ca="1">'BIS Doc'!G649</f>
        <v>0.51132075250380338</v>
      </c>
      <c r="I1379" s="901">
        <f ca="1">'BIS Doc'!H649</f>
        <v>0</v>
      </c>
      <c r="J1379" s="901">
        <f ca="1">'BIS Doc'!I649</f>
        <v>0</v>
      </c>
      <c r="K1379" s="1451" t="str">
        <f t="shared" ca="1" si="39"/>
        <v>IS 14650 CPS 10748/GR2</v>
      </c>
      <c r="L1379" s="1451"/>
      <c r="M1379" s="1451"/>
      <c r="N1379" s="1451"/>
      <c r="O1379" s="1451"/>
      <c r="P1379" s="902"/>
      <c r="Q1379" s="903"/>
      <c r="R1379" s="1451"/>
      <c r="S1379" s="1451"/>
      <c r="T1379" s="904"/>
      <c r="U1379" s="1450"/>
    </row>
    <row r="1380" spans="1:21" ht="19.5" customHeight="1">
      <c r="A1380" s="864"/>
      <c r="B1380" s="894" t="str">
        <f>IF('BIS Doc'!AC651=130, "130 × 130", IF('BIS Doc'!AC651=160, "160 × 160", IF('BIS Doc'!AC651=110, "110 × 110", "Value not 130, 160, or 110")))</f>
        <v>Value not 130, 160, or 110</v>
      </c>
      <c r="C1380" s="895">
        <f>'BIS Doc'!W651</f>
        <v>0</v>
      </c>
      <c r="D1380" s="896" t="s">
        <v>803</v>
      </c>
      <c r="E1380" s="897">
        <f>'BIS Doc'!AE651</f>
        <v>0</v>
      </c>
      <c r="F1380" s="898">
        <f ca="1">'BIS Doc'!F651</f>
        <v>0</v>
      </c>
      <c r="G1380" s="899">
        <f ca="1">'BIS Doc'!J651</f>
        <v>0</v>
      </c>
      <c r="H1380" s="900">
        <f ca="1">'BIS Doc'!G651</f>
        <v>0.57548470346423697</v>
      </c>
      <c r="I1380" s="901">
        <f ca="1">'BIS Doc'!H651</f>
        <v>0</v>
      </c>
      <c r="J1380" s="901">
        <f ca="1">'BIS Doc'!I651</f>
        <v>0</v>
      </c>
      <c r="K1380" s="1451" t="str">
        <f t="shared" ca="1" si="39"/>
        <v>IS 14650 CPS 10748/GR2</v>
      </c>
      <c r="L1380" s="1451"/>
      <c r="M1380" s="1451"/>
      <c r="N1380" s="1451"/>
      <c r="O1380" s="1451"/>
      <c r="P1380" s="902"/>
      <c r="Q1380" s="905"/>
      <c r="R1380" s="1451"/>
      <c r="S1380" s="1451"/>
      <c r="T1380" s="904"/>
      <c r="U1380" s="1450"/>
    </row>
    <row r="1381" spans="1:21" ht="19.5" customHeight="1">
      <c r="A1381" s="864"/>
      <c r="B1381" s="894" t="str">
        <f>IF('BIS Doc'!AC653=130, "130 × 130", IF('BIS Doc'!AC653=160, "160 × 160", IF('BIS Doc'!AC653=110, "110 × 110", "Value not 130, 160, or 110")))</f>
        <v>Value not 130, 160, or 110</v>
      </c>
      <c r="C1381" s="895">
        <f>'BIS Doc'!W653</f>
        <v>0</v>
      </c>
      <c r="D1381" s="896"/>
      <c r="E1381" s="897">
        <f>'BIS Doc'!AE653</f>
        <v>0</v>
      </c>
      <c r="F1381" s="898">
        <f ca="1">'BIS Doc'!F653</f>
        <v>0</v>
      </c>
      <c r="G1381" s="899">
        <f ca="1">'BIS Doc'!J653</f>
        <v>0</v>
      </c>
      <c r="H1381" s="900">
        <f ca="1">'BIS Doc'!G653</f>
        <v>0.59954731528612204</v>
      </c>
      <c r="I1381" s="901">
        <f ca="1">'BIS Doc'!H653</f>
        <v>0</v>
      </c>
      <c r="J1381" s="901">
        <f ca="1">'BIS Doc'!I653</f>
        <v>0</v>
      </c>
      <c r="K1381" s="1451" t="str">
        <f t="shared" ca="1" si="39"/>
        <v>IS 14650 CPS 10748/GR2</v>
      </c>
      <c r="L1381" s="1451"/>
      <c r="M1381" s="1451"/>
      <c r="N1381" s="1451"/>
      <c r="O1381" s="1451"/>
      <c r="P1381" s="902"/>
      <c r="Q1381" s="905"/>
      <c r="R1381" s="1451"/>
      <c r="S1381" s="1451"/>
      <c r="T1381" s="904"/>
      <c r="U1381" s="1450"/>
    </row>
    <row r="1382" spans="1:21" ht="19.5" customHeight="1">
      <c r="A1382" s="864"/>
      <c r="B1382" s="894" t="str">
        <f>IF('BIS Doc'!AC655=130, "130 × 130", IF('BIS Doc'!AC655=160, "160 × 160", IF('BIS Doc'!AC655=110, "110 × 110", "Value not 130, 160, or 110")))</f>
        <v>Value not 130, 160, or 110</v>
      </c>
      <c r="C1382" s="895">
        <f>'BIS Doc'!W655</f>
        <v>0</v>
      </c>
      <c r="D1382" s="896"/>
      <c r="E1382" s="897">
        <f>'BIS Doc'!AE655</f>
        <v>0</v>
      </c>
      <c r="F1382" s="898">
        <f ca="1">'BIS Doc'!F655</f>
        <v>0</v>
      </c>
      <c r="G1382" s="899">
        <f ca="1">'BIS Doc'!J655</f>
        <v>0</v>
      </c>
      <c r="H1382" s="900">
        <f ca="1">'BIS Doc'!G655</f>
        <v>0.5009449604761681</v>
      </c>
      <c r="I1382" s="901">
        <f ca="1">'BIS Doc'!H655</f>
        <v>0</v>
      </c>
      <c r="J1382" s="901">
        <f ca="1">'BIS Doc'!I655</f>
        <v>0</v>
      </c>
      <c r="K1382" s="1451" t="str">
        <f t="shared" ca="1" si="39"/>
        <v>IS 14650 CPS 10748/GR2</v>
      </c>
      <c r="L1382" s="1451"/>
      <c r="M1382" s="1451"/>
      <c r="N1382" s="1451"/>
      <c r="O1382" s="1451"/>
      <c r="P1382" s="902"/>
      <c r="Q1382" s="905"/>
      <c r="R1382" s="1451"/>
      <c r="S1382" s="1451"/>
      <c r="T1382" s="904"/>
      <c r="U1382" s="1450"/>
    </row>
    <row r="1383" spans="1:21" ht="19.5" customHeight="1">
      <c r="A1383" s="864"/>
      <c r="B1383" s="894" t="str">
        <f>IF('BIS Doc'!AC657=130, "130 × 130", IF('BIS Doc'!AC657=160, "160 × 160", IF('BIS Doc'!AC657=110, "110 × 110", "Value not 130, 160, or 110")))</f>
        <v>Value not 130, 160, or 110</v>
      </c>
      <c r="C1383" s="895">
        <f>'BIS Doc'!W657</f>
        <v>0</v>
      </c>
      <c r="D1383" s="896"/>
      <c r="E1383" s="897">
        <f>'BIS Doc'!AE657</f>
        <v>0</v>
      </c>
      <c r="F1383" s="898">
        <f ca="1">'BIS Doc'!F657</f>
        <v>0</v>
      </c>
      <c r="G1383" s="899">
        <f ca="1">'BIS Doc'!J657</f>
        <v>0</v>
      </c>
      <c r="H1383" s="900">
        <f ca="1">'BIS Doc'!G657</f>
        <v>0.55913492719844182</v>
      </c>
      <c r="I1383" s="901">
        <f ca="1">'BIS Doc'!H657</f>
        <v>0</v>
      </c>
      <c r="J1383" s="901">
        <f ca="1">'BIS Doc'!I657</f>
        <v>0</v>
      </c>
      <c r="K1383" s="1451" t="str">
        <f t="shared" ca="1" si="39"/>
        <v>IS 14650 CPS 10748/GR2</v>
      </c>
      <c r="L1383" s="1451"/>
      <c r="M1383" s="1451"/>
      <c r="N1383" s="1451"/>
      <c r="O1383" s="1451"/>
      <c r="P1383" s="902"/>
      <c r="Q1383" s="903"/>
      <c r="R1383" s="1451"/>
      <c r="S1383" s="1451"/>
      <c r="T1383" s="904"/>
      <c r="U1383" s="1450"/>
    </row>
    <row r="1384" spans="1:21" ht="19.5" customHeight="1">
      <c r="A1384" s="864"/>
      <c r="B1384" s="904"/>
      <c r="C1384" s="895"/>
      <c r="D1384" s="896"/>
      <c r="E1384" s="897"/>
      <c r="F1384" s="906"/>
      <c r="G1384" s="907"/>
      <c r="H1384" s="908"/>
      <c r="I1384" s="909"/>
      <c r="J1384" s="909"/>
      <c r="K1384" s="1451"/>
      <c r="L1384" s="1451"/>
      <c r="M1384" s="1451"/>
      <c r="N1384" s="1451"/>
      <c r="O1384" s="1451"/>
      <c r="P1384" s="902"/>
      <c r="Q1384" s="903"/>
      <c r="R1384" s="1451"/>
      <c r="S1384" s="1451"/>
      <c r="T1384" s="904"/>
      <c r="U1384" s="1450"/>
    </row>
    <row r="1385" spans="1:21" ht="19.5" customHeight="1">
      <c r="A1385" s="864"/>
      <c r="B1385" s="904"/>
      <c r="C1385" s="895"/>
      <c r="D1385" s="896"/>
      <c r="E1385" s="897"/>
      <c r="F1385" s="906"/>
      <c r="G1385" s="907"/>
      <c r="H1385" s="908"/>
      <c r="I1385" s="909"/>
      <c r="J1385" s="909"/>
      <c r="K1385" s="1451"/>
      <c r="L1385" s="1451"/>
      <c r="M1385" s="1451"/>
      <c r="N1385" s="1451"/>
      <c r="O1385" s="1451"/>
      <c r="P1385" s="902"/>
      <c r="Q1385" s="905"/>
      <c r="R1385" s="1451"/>
      <c r="S1385" s="1451"/>
      <c r="T1385" s="904"/>
      <c r="U1385" s="1450"/>
    </row>
    <row r="1386" spans="1:21" ht="19.5" customHeight="1">
      <c r="A1386" s="864"/>
      <c r="B1386" s="910"/>
      <c r="C1386" s="911"/>
      <c r="D1386" s="896"/>
      <c r="E1386" s="897"/>
      <c r="F1386" s="906"/>
      <c r="G1386" s="907"/>
      <c r="H1386" s="908"/>
      <c r="I1386" s="909"/>
      <c r="J1386" s="909"/>
      <c r="K1386" s="1451"/>
      <c r="L1386" s="1451"/>
      <c r="M1386" s="1451"/>
      <c r="N1386" s="1451"/>
      <c r="O1386" s="1451"/>
      <c r="P1386" s="912"/>
      <c r="Q1386" s="913"/>
      <c r="R1386" s="1452"/>
      <c r="S1386" s="1452"/>
      <c r="T1386" s="910"/>
      <c r="U1386" s="1450"/>
    </row>
    <row r="1387" spans="1:21" ht="19.5" customHeight="1">
      <c r="A1387" s="914"/>
      <c r="B1387" s="915"/>
      <c r="C1387" s="916"/>
      <c r="D1387" s="917"/>
      <c r="E1387" s="918">
        <f>SUM(E1378:E1383)</f>
        <v>0</v>
      </c>
      <c r="F1387" s="919"/>
      <c r="G1387" s="920"/>
      <c r="H1387" s="921"/>
      <c r="I1387" s="922"/>
      <c r="J1387" s="922"/>
      <c r="K1387" s="1453"/>
      <c r="L1387" s="1453"/>
      <c r="M1387" s="1453"/>
      <c r="N1387" s="1453"/>
      <c r="O1387" s="1453"/>
      <c r="P1387" s="923"/>
      <c r="Q1387" s="924"/>
      <c r="R1387" s="1454"/>
      <c r="S1387" s="1454"/>
      <c r="T1387" s="915"/>
      <c r="U1387" s="1450"/>
    </row>
    <row r="1388" spans="1:21" ht="15.75" customHeight="1">
      <c r="A1388" s="864"/>
      <c r="B1388" s="773"/>
      <c r="C1388" s="773"/>
      <c r="D1388" s="925"/>
      <c r="E1388" s="926"/>
      <c r="F1388" s="927"/>
      <c r="G1388" s="928"/>
      <c r="H1388" s="259"/>
      <c r="I1388" s="259"/>
      <c r="J1388" s="928"/>
      <c r="K1388" s="929"/>
      <c r="L1388" s="929"/>
      <c r="M1388" s="929"/>
      <c r="N1388" s="929"/>
      <c r="O1388" s="928"/>
      <c r="P1388" s="930"/>
      <c r="Q1388" s="931"/>
      <c r="R1388" s="931"/>
      <c r="U1388" s="932"/>
    </row>
    <row r="1389" spans="1:21" ht="18.75" customHeight="1">
      <c r="A1389" s="864"/>
      <c r="B1389" s="773"/>
      <c r="C1389" s="773"/>
      <c r="D1389" s="773"/>
      <c r="E1389" s="773"/>
      <c r="F1389" s="773"/>
      <c r="G1389" s="773"/>
      <c r="H1389" s="773"/>
      <c r="I1389" s="773"/>
      <c r="J1389" s="773"/>
      <c r="K1389" s="773"/>
      <c r="P1389" s="1446" t="s">
        <v>804</v>
      </c>
      <c r="Q1389" s="1446"/>
      <c r="R1389" s="1446"/>
      <c r="S1389" s="1446"/>
      <c r="T1389" s="1446"/>
      <c r="U1389" s="1446"/>
    </row>
    <row r="1390" spans="1:21" ht="18.75" customHeight="1">
      <c r="A1390" s="1447" t="s">
        <v>805</v>
      </c>
      <c r="B1390" s="1447"/>
      <c r="C1390" s="933"/>
      <c r="D1390" s="933"/>
      <c r="E1390" s="933"/>
      <c r="F1390" s="933"/>
      <c r="P1390" s="855"/>
      <c r="Q1390" s="855"/>
      <c r="R1390" s="855"/>
      <c r="S1390" s="855"/>
      <c r="T1390" s="855"/>
      <c r="U1390" s="934"/>
    </row>
    <row r="1391" spans="1:21" ht="18.75" customHeight="1">
      <c r="A1391" s="854"/>
      <c r="B1391" s="855"/>
      <c r="P1391" s="855"/>
      <c r="Q1391" s="855"/>
      <c r="R1391" s="855"/>
      <c r="S1391" s="855"/>
      <c r="T1391" s="855"/>
      <c r="U1391" s="934"/>
    </row>
    <row r="1392" spans="1:21" ht="18.75" customHeight="1">
      <c r="A1392" s="854" t="s">
        <v>806</v>
      </c>
      <c r="B1392" s="855"/>
      <c r="C1392" s="867"/>
      <c r="D1392" s="941"/>
      <c r="E1392" s="933"/>
      <c r="F1392" s="933"/>
      <c r="P1392" s="855"/>
      <c r="Q1392" s="855"/>
      <c r="R1392" s="855"/>
      <c r="S1392" s="855"/>
      <c r="T1392" s="855"/>
      <c r="U1392" s="934"/>
    </row>
    <row r="1393" spans="1:21" ht="18.75" customHeight="1">
      <c r="A1393" s="854"/>
      <c r="B1393" s="855"/>
      <c r="C1393" s="937"/>
      <c r="P1393" s="855"/>
      <c r="Q1393" s="855"/>
      <c r="R1393" s="855"/>
      <c r="S1393" s="855"/>
      <c r="T1393" s="855"/>
      <c r="U1393" s="934"/>
    </row>
    <row r="1394" spans="1:21" ht="19.5" customHeight="1">
      <c r="A1394" s="938"/>
      <c r="B1394" s="939"/>
      <c r="C1394" s="940"/>
      <c r="D1394" s="453"/>
      <c r="E1394" s="453"/>
      <c r="F1394" s="453"/>
      <c r="G1394" s="453"/>
      <c r="H1394" s="453"/>
      <c r="I1394" s="453"/>
      <c r="J1394" s="453"/>
      <c r="K1394" s="453"/>
      <c r="L1394" s="453"/>
      <c r="M1394" s="453"/>
      <c r="N1394" s="453"/>
      <c r="O1394" s="453"/>
      <c r="P1394" s="1448" t="s">
        <v>807</v>
      </c>
      <c r="Q1394" s="1448"/>
      <c r="R1394" s="1448"/>
      <c r="S1394" s="1448"/>
      <c r="T1394" s="1448"/>
      <c r="U1394" s="1448"/>
    </row>
    <row r="1395" spans="1:21" ht="45.75" customHeight="1">
      <c r="A1395" s="1455"/>
      <c r="B1395" s="1455"/>
      <c r="C1395" s="1455"/>
      <c r="D1395" s="847"/>
      <c r="E1395" s="1456" t="s">
        <v>774</v>
      </c>
      <c r="F1395" s="1456"/>
      <c r="G1395" s="1456"/>
      <c r="H1395" s="1456"/>
      <c r="I1395" s="1456"/>
      <c r="J1395" s="1456"/>
      <c r="K1395" s="1456"/>
      <c r="L1395" s="1456"/>
      <c r="M1395" s="1456"/>
      <c r="N1395" s="1456"/>
      <c r="O1395" s="1456"/>
      <c r="P1395" s="1456"/>
      <c r="Q1395" s="1456"/>
      <c r="R1395" s="1456"/>
      <c r="S1395" s="848"/>
      <c r="T1395" s="1457" t="s">
        <v>775</v>
      </c>
      <c r="U1395" s="1457"/>
    </row>
    <row r="1396" spans="1:21" ht="18.75" customHeight="1">
      <c r="A1396" s="849"/>
      <c r="E1396" s="1458" t="s">
        <v>776</v>
      </c>
      <c r="F1396" s="1458"/>
      <c r="G1396" s="1458"/>
      <c r="H1396" s="1458"/>
      <c r="I1396" s="1458"/>
      <c r="J1396" s="1458"/>
      <c r="K1396" s="1458"/>
      <c r="L1396" s="1458"/>
      <c r="M1396" s="1458"/>
      <c r="N1396" s="1458"/>
      <c r="O1396" s="1458"/>
      <c r="P1396" s="1458"/>
      <c r="Q1396" s="1458"/>
      <c r="R1396" s="1458"/>
      <c r="U1396" s="456"/>
    </row>
    <row r="1397" spans="1:21" ht="18.75" customHeight="1">
      <c r="A1397" s="850"/>
      <c r="F1397" s="587"/>
      <c r="G1397" s="587"/>
      <c r="H1397" s="587"/>
      <c r="I1397" s="587"/>
      <c r="J1397" s="587"/>
      <c r="K1397" s="587"/>
      <c r="L1397" s="587"/>
      <c r="M1397" s="851"/>
      <c r="N1397" s="852"/>
      <c r="O1397" s="851"/>
      <c r="P1397" s="1459" t="s">
        <v>777</v>
      </c>
      <c r="Q1397" s="1459"/>
      <c r="R1397" s="1459"/>
      <c r="S1397" s="1459"/>
      <c r="T1397" s="1459"/>
      <c r="U1397" s="1459"/>
    </row>
    <row r="1398" spans="1:21" ht="15" customHeight="1">
      <c r="A1398" s="849"/>
      <c r="E1398" s="1287" t="s">
        <v>778</v>
      </c>
      <c r="F1398" s="1287"/>
      <c r="G1398" s="1287"/>
      <c r="H1398" s="1287"/>
      <c r="I1398" s="1287"/>
      <c r="J1398" s="1287"/>
      <c r="K1398" s="1287"/>
      <c r="L1398" s="1287"/>
      <c r="M1398" s="1287"/>
      <c r="N1398" s="1287"/>
      <c r="O1398" s="1287"/>
      <c r="P1398" s="1287"/>
      <c r="Q1398" s="1287"/>
      <c r="R1398" s="1287"/>
      <c r="U1398" s="456"/>
    </row>
    <row r="1399" spans="1:21" ht="18.75" customHeight="1">
      <c r="A1399" s="849"/>
      <c r="E1399" s="1286" t="s">
        <v>779</v>
      </c>
      <c r="F1399" s="1286"/>
      <c r="G1399" s="1286"/>
      <c r="H1399" s="1286"/>
      <c r="I1399" s="1286"/>
      <c r="J1399" s="1286"/>
      <c r="K1399" s="1286"/>
      <c r="L1399" s="1286"/>
      <c r="M1399" s="1286"/>
      <c r="N1399" s="1286"/>
      <c r="O1399" s="1286"/>
      <c r="P1399" s="1286"/>
      <c r="Q1399" s="1286"/>
      <c r="R1399" s="1286"/>
      <c r="U1399" s="853"/>
    </row>
    <row r="1400" spans="1:21" ht="23.25" customHeight="1">
      <c r="A1400" s="854" t="s">
        <v>780</v>
      </c>
      <c r="B1400" s="855"/>
      <c r="C1400" s="855"/>
      <c r="D1400" s="856" t="s">
        <v>865</v>
      </c>
      <c r="E1400" s="857"/>
      <c r="F1400" s="858"/>
      <c r="G1400" s="859"/>
      <c r="H1400" s="859"/>
      <c r="I1400" s="859"/>
      <c r="J1400" s="859"/>
      <c r="K1400" s="859"/>
      <c r="L1400" s="860"/>
      <c r="M1400" s="1460"/>
      <c r="N1400" s="1460"/>
      <c r="O1400" s="1460"/>
      <c r="P1400" s="1461" t="s">
        <v>781</v>
      </c>
      <c r="Q1400" s="1461"/>
      <c r="R1400" s="1461"/>
      <c r="S1400" s="855"/>
      <c r="T1400" s="861">
        <v>46316</v>
      </c>
      <c r="U1400" s="456"/>
    </row>
    <row r="1401" spans="1:21" ht="23.25" customHeight="1">
      <c r="A1401" s="854"/>
      <c r="B1401" s="862"/>
      <c r="C1401" s="862"/>
      <c r="D1401" s="862"/>
      <c r="E1401" s="163"/>
      <c r="F1401" s="863"/>
      <c r="G1401" s="863"/>
      <c r="H1401" s="863"/>
      <c r="I1401" s="863"/>
      <c r="J1401" s="863"/>
      <c r="K1401" s="863"/>
      <c r="U1401" s="456"/>
    </row>
    <row r="1402" spans="1:21" ht="21" customHeight="1">
      <c r="A1402" s="864" t="s">
        <v>782</v>
      </c>
      <c r="B1402" s="865"/>
      <c r="C1402" s="866"/>
      <c r="D1402" s="867"/>
      <c r="E1402" s="868"/>
      <c r="F1402" s="869"/>
      <c r="G1402" s="869"/>
      <c r="H1402" s="869"/>
      <c r="I1402" s="870"/>
      <c r="J1402" s="870"/>
      <c r="P1402" s="1462"/>
      <c r="Q1402" s="1462"/>
      <c r="R1402" s="1462"/>
      <c r="S1402" s="1462"/>
      <c r="T1402" s="871"/>
      <c r="U1402" s="456"/>
    </row>
    <row r="1403" spans="1:21" ht="21" customHeight="1">
      <c r="A1403" s="872"/>
      <c r="B1403" s="873"/>
      <c r="C1403" s="869"/>
      <c r="D1403" s="869"/>
      <c r="E1403" s="869"/>
      <c r="F1403" s="869"/>
      <c r="G1403" s="869"/>
      <c r="H1403" s="869"/>
      <c r="I1403" s="870"/>
      <c r="J1403" s="870"/>
      <c r="U1403" s="456"/>
    </row>
    <row r="1404" spans="1:21" ht="15" customHeight="1">
      <c r="A1404" s="1463" t="s">
        <v>783</v>
      </c>
      <c r="B1404" s="1463"/>
      <c r="C1404" s="1463"/>
      <c r="D1404" s="1463"/>
      <c r="E1404" s="1463"/>
      <c r="F1404" s="1463"/>
      <c r="G1404" s="1463"/>
      <c r="H1404" s="1463"/>
      <c r="I1404" s="1463"/>
      <c r="J1404" s="1463"/>
      <c r="K1404" s="1463"/>
      <c r="L1404" s="1463"/>
      <c r="M1404" s="1463"/>
      <c r="N1404" s="1463"/>
      <c r="O1404" s="1463"/>
      <c r="P1404" s="1463"/>
      <c r="Q1404" s="1463"/>
      <c r="R1404" s="1463"/>
      <c r="S1404" s="1463"/>
      <c r="T1404" s="1463"/>
      <c r="U1404" s="1463"/>
    </row>
    <row r="1405" spans="1:21" ht="15" customHeight="1">
      <c r="A1405" s="1463"/>
      <c r="B1405" s="1463"/>
      <c r="C1405" s="1463"/>
      <c r="D1405" s="1463"/>
      <c r="E1405" s="1463"/>
      <c r="F1405" s="1463"/>
      <c r="G1405" s="1463"/>
      <c r="H1405" s="1463"/>
      <c r="I1405" s="1463"/>
      <c r="J1405" s="1463"/>
      <c r="K1405" s="1463"/>
      <c r="L1405" s="1463"/>
      <c r="M1405" s="1463"/>
      <c r="N1405" s="1463"/>
      <c r="O1405" s="1463"/>
      <c r="P1405" s="1463"/>
      <c r="Q1405" s="1463"/>
      <c r="R1405" s="1463"/>
      <c r="S1405" s="1463"/>
      <c r="T1405" s="1463"/>
      <c r="U1405" s="1463"/>
    </row>
    <row r="1406" spans="1:21" ht="18" customHeight="1">
      <c r="A1406" s="1464" t="s">
        <v>784</v>
      </c>
      <c r="B1406" s="1464"/>
      <c r="C1406" s="1464"/>
      <c r="D1406" s="1464"/>
      <c r="E1406" s="1464"/>
      <c r="F1406" s="1464"/>
      <c r="G1406" s="1464"/>
      <c r="H1406" s="1464"/>
      <c r="I1406" s="1464"/>
      <c r="J1406" s="1464"/>
      <c r="K1406" s="1464"/>
      <c r="L1406" s="1464"/>
      <c r="M1406" s="1464"/>
      <c r="N1406" s="1464"/>
      <c r="O1406" s="1464"/>
      <c r="P1406" s="1464"/>
      <c r="Q1406" s="1464"/>
      <c r="R1406" s="1464"/>
      <c r="S1406" s="1464"/>
      <c r="T1406" s="1464"/>
      <c r="U1406" s="1464"/>
    </row>
    <row r="1407" spans="1:21" ht="23.25" customHeight="1">
      <c r="A1407" s="1465" t="s">
        <v>785</v>
      </c>
      <c r="B1407" s="1465"/>
      <c r="C1407" s="1465"/>
      <c r="D1407" s="1465"/>
      <c r="E1407" s="1465"/>
      <c r="F1407" s="1465"/>
      <c r="G1407" s="1465"/>
      <c r="H1407" s="1465"/>
      <c r="I1407" s="1465"/>
      <c r="J1407" s="1465"/>
      <c r="K1407" s="1465"/>
      <c r="L1407" s="1465"/>
      <c r="M1407" s="1465"/>
      <c r="N1407" s="1465"/>
      <c r="O1407" s="1465"/>
      <c r="P1407" s="1465"/>
      <c r="Q1407" s="1465"/>
      <c r="R1407" s="1465"/>
      <c r="S1407" s="1465"/>
      <c r="T1407" s="1465"/>
      <c r="U1407" s="1465"/>
    </row>
    <row r="1408" spans="1:21" ht="21.75" customHeight="1">
      <c r="A1408" s="874"/>
      <c r="B1408" s="875"/>
      <c r="C1408" s="875"/>
      <c r="D1408" s="875"/>
      <c r="E1408" s="875"/>
      <c r="F1408" s="875"/>
      <c r="G1408" s="875"/>
      <c r="H1408" s="875"/>
      <c r="I1408" s="875"/>
      <c r="J1408" s="875"/>
      <c r="K1408" s="875"/>
      <c r="L1408" s="875"/>
      <c r="M1408" s="875"/>
      <c r="N1408" s="875"/>
      <c r="O1408" s="875"/>
      <c r="P1408" s="875"/>
      <c r="Q1408" s="875"/>
      <c r="R1408" s="875"/>
      <c r="S1408" s="875"/>
      <c r="T1408" s="875"/>
      <c r="U1408" s="876"/>
    </row>
    <row r="1409" spans="1:21" ht="15" customHeight="1">
      <c r="A1409" s="1466" t="s">
        <v>786</v>
      </c>
      <c r="B1409" s="1467" t="s">
        <v>787</v>
      </c>
      <c r="C1409" s="1468" t="s">
        <v>788</v>
      </c>
      <c r="D1409" s="1468" t="s">
        <v>789</v>
      </c>
      <c r="E1409" s="1469" t="s">
        <v>790</v>
      </c>
      <c r="F1409" s="1468" t="s">
        <v>791</v>
      </c>
      <c r="G1409" s="1468"/>
      <c r="H1409" s="1468"/>
      <c r="I1409" s="1468"/>
      <c r="J1409" s="1468"/>
      <c r="K1409" s="1468"/>
      <c r="L1409" s="1468"/>
      <c r="M1409" s="1468"/>
      <c r="N1409" s="1468"/>
      <c r="O1409" s="1468"/>
      <c r="P1409" s="1470"/>
      <c r="Q1409" s="1470"/>
      <c r="R1409" s="1470"/>
      <c r="S1409" s="1470"/>
      <c r="T1409" s="1470"/>
      <c r="U1409" s="1470"/>
    </row>
    <row r="1410" spans="1:21" ht="15.75" customHeight="1">
      <c r="A1410" s="1466"/>
      <c r="B1410" s="1467"/>
      <c r="C1410" s="1468"/>
      <c r="D1410" s="1468"/>
      <c r="E1410" s="1469"/>
      <c r="F1410" s="1468"/>
      <c r="G1410" s="1468"/>
      <c r="H1410" s="1468"/>
      <c r="I1410" s="1468"/>
      <c r="J1410" s="1468"/>
      <c r="K1410" s="1468"/>
      <c r="L1410" s="1468"/>
      <c r="M1410" s="1468"/>
      <c r="N1410" s="1468"/>
      <c r="O1410" s="1468"/>
      <c r="P1410" s="1470"/>
      <c r="Q1410" s="1470"/>
      <c r="R1410" s="1470"/>
      <c r="S1410" s="1470"/>
      <c r="T1410" s="1470"/>
      <c r="U1410" s="1470"/>
    </row>
    <row r="1411" spans="1:21" ht="48" customHeight="1">
      <c r="A1411" s="1466"/>
      <c r="B1411" s="1467"/>
      <c r="C1411" s="1468"/>
      <c r="D1411" s="1468"/>
      <c r="E1411" s="1469"/>
      <c r="F1411" s="878" t="s">
        <v>792</v>
      </c>
      <c r="G1411" s="877" t="s">
        <v>793</v>
      </c>
      <c r="H1411" s="878" t="s">
        <v>794</v>
      </c>
      <c r="I1411" s="879" t="s">
        <v>795</v>
      </c>
      <c r="J1411" s="880" t="s">
        <v>796</v>
      </c>
      <c r="K1411" s="1468" t="s">
        <v>797</v>
      </c>
      <c r="L1411" s="1468"/>
      <c r="M1411" s="1468"/>
      <c r="N1411" s="1468"/>
      <c r="O1411" s="1468"/>
      <c r="P1411" s="881" t="s">
        <v>798</v>
      </c>
      <c r="Q1411" s="882" t="s">
        <v>799</v>
      </c>
      <c r="R1411" s="1469" t="s">
        <v>800</v>
      </c>
      <c r="S1411" s="1469"/>
      <c r="T1411" s="877" t="s">
        <v>801</v>
      </c>
      <c r="U1411" s="879" t="s">
        <v>104</v>
      </c>
    </row>
    <row r="1412" spans="1:21" ht="19.5" customHeight="1">
      <c r="A1412" s="883"/>
      <c r="B1412" s="884" t="str">
        <f>IF('BIS Doc'!AC659=130, "130 × 130", IF('BIS Doc'!AC659=160, "160 × 160", IF('BIS Doc'!AC659=110, "110 × 110", "Value not 130, 160, or 110")))</f>
        <v>Value not 130, 160, or 110</v>
      </c>
      <c r="C1412" s="885">
        <f>'BIS Doc'!W659</f>
        <v>0</v>
      </c>
      <c r="D1412" s="886"/>
      <c r="E1412" s="887">
        <f>'BIS Doc'!AE659</f>
        <v>0</v>
      </c>
      <c r="F1412" s="888">
        <f ca="1">'BIS Doc'!F659</f>
        <v>0</v>
      </c>
      <c r="G1412" s="888">
        <f ca="1">'BIS Doc'!J659</f>
        <v>0</v>
      </c>
      <c r="H1412" s="888">
        <f ca="1">'BIS Doc'!G659</f>
        <v>0.51002876335366265</v>
      </c>
      <c r="I1412" s="889">
        <f ca="1">'BIS Doc'!H659</f>
        <v>0</v>
      </c>
      <c r="J1412" s="889">
        <f ca="1">'BIS Doc'!I659</f>
        <v>0</v>
      </c>
      <c r="K1412" s="1449" t="str">
        <f t="shared" ref="K1412:K1417" ca="1" si="40">IF(H1412&lt;0.6, "IS 14650 CPS 10748/GR2", "IS 14650 CPS 10748/GR3")</f>
        <v>IS 14650 CPS 10748/GR2</v>
      </c>
      <c r="L1412" s="1449"/>
      <c r="M1412" s="1449"/>
      <c r="N1412" s="1449"/>
      <c r="O1412" s="1449"/>
      <c r="P1412" s="890"/>
      <c r="Q1412" s="891"/>
      <c r="R1412" s="1449"/>
      <c r="S1412" s="1449"/>
      <c r="T1412" s="892"/>
      <c r="U1412" s="1450" t="s">
        <v>802</v>
      </c>
    </row>
    <row r="1413" spans="1:21" ht="19.5" customHeight="1">
      <c r="A1413" s="893"/>
      <c r="B1413" s="894" t="str">
        <f>IF('BIS Doc'!AC661=130, "130 × 130", IF('BIS Doc'!AC661=160, "160 × 160", IF('BIS Doc'!AC661=110, "110 × 110", "Value not 130, 160, or 110")))</f>
        <v>Value not 130, 160, or 110</v>
      </c>
      <c r="C1413" s="895">
        <f>'BIS Doc'!W661</f>
        <v>0</v>
      </c>
      <c r="D1413" s="896"/>
      <c r="E1413" s="897">
        <f>'BIS Doc'!AE661</f>
        <v>0</v>
      </c>
      <c r="F1413" s="898">
        <f ca="1">'BIS Doc'!F661</f>
        <v>0</v>
      </c>
      <c r="G1413" s="899">
        <f ca="1">'BIS Doc'!J661</f>
        <v>0</v>
      </c>
      <c r="H1413" s="900">
        <f ca="1">'BIS Doc'!G661</f>
        <v>0.58271625846016972</v>
      </c>
      <c r="I1413" s="901">
        <f ca="1">'BIS Doc'!H661</f>
        <v>0</v>
      </c>
      <c r="J1413" s="901">
        <f ca="1">'BIS Doc'!I661</f>
        <v>0</v>
      </c>
      <c r="K1413" s="1451" t="str">
        <f t="shared" ca="1" si="40"/>
        <v>IS 14650 CPS 10748/GR2</v>
      </c>
      <c r="L1413" s="1451"/>
      <c r="M1413" s="1451"/>
      <c r="N1413" s="1451"/>
      <c r="O1413" s="1451"/>
      <c r="P1413" s="902"/>
      <c r="Q1413" s="903"/>
      <c r="R1413" s="1451"/>
      <c r="S1413" s="1451"/>
      <c r="T1413" s="904"/>
      <c r="U1413" s="1450"/>
    </row>
    <row r="1414" spans="1:21" ht="19.5" customHeight="1">
      <c r="A1414" s="864"/>
      <c r="B1414" s="894" t="str">
        <f>IF('BIS Doc'!AC663=130, "130 × 130", IF('BIS Doc'!AC663=160, "160 × 160", IF('BIS Doc'!AC663=110, "110 × 110", "Value not 130, 160, or 110")))</f>
        <v>Value not 130, 160, or 110</v>
      </c>
      <c r="C1414" s="895">
        <f>'BIS Doc'!W663</f>
        <v>0</v>
      </c>
      <c r="D1414" s="896" t="s">
        <v>803</v>
      </c>
      <c r="E1414" s="897">
        <f>'BIS Doc'!AE663</f>
        <v>0</v>
      </c>
      <c r="F1414" s="898">
        <f ca="1">'BIS Doc'!F663</f>
        <v>0</v>
      </c>
      <c r="G1414" s="899">
        <f ca="1">'BIS Doc'!J663</f>
        <v>0</v>
      </c>
      <c r="H1414" s="900">
        <f ca="1">'BIS Doc'!G663</f>
        <v>0.53140240809757211</v>
      </c>
      <c r="I1414" s="901">
        <f ca="1">'BIS Doc'!H663</f>
        <v>0</v>
      </c>
      <c r="J1414" s="901">
        <f ca="1">'BIS Doc'!I663</f>
        <v>0</v>
      </c>
      <c r="K1414" s="1451" t="str">
        <f t="shared" ca="1" si="40"/>
        <v>IS 14650 CPS 10748/GR2</v>
      </c>
      <c r="L1414" s="1451"/>
      <c r="M1414" s="1451"/>
      <c r="N1414" s="1451"/>
      <c r="O1414" s="1451"/>
      <c r="P1414" s="902"/>
      <c r="Q1414" s="905"/>
      <c r="R1414" s="1451"/>
      <c r="S1414" s="1451"/>
      <c r="T1414" s="904"/>
      <c r="U1414" s="1450"/>
    </row>
    <row r="1415" spans="1:21" ht="19.5" customHeight="1">
      <c r="A1415" s="864"/>
      <c r="B1415" s="894" t="str">
        <f>IF('BIS Doc'!AC665=130, "130 × 130", IF('BIS Doc'!AC665=160, "160 × 160", IF('BIS Doc'!AC665=110, "110 × 110", "Value not 130, 160, or 110")))</f>
        <v>Value not 130, 160, or 110</v>
      </c>
      <c r="C1415" s="895">
        <f>'BIS Doc'!W665</f>
        <v>0</v>
      </c>
      <c r="D1415" s="896"/>
      <c r="E1415" s="897">
        <f>'BIS Doc'!AE665</f>
        <v>0</v>
      </c>
      <c r="F1415" s="898">
        <f ca="1">'BIS Doc'!F665</f>
        <v>0</v>
      </c>
      <c r="G1415" s="899">
        <f ca="1">'BIS Doc'!J665</f>
        <v>0</v>
      </c>
      <c r="H1415" s="900">
        <f ca="1">'BIS Doc'!G665</f>
        <v>0.55627277643126183</v>
      </c>
      <c r="I1415" s="901">
        <f ca="1">'BIS Doc'!H665</f>
        <v>0</v>
      </c>
      <c r="J1415" s="901">
        <f ca="1">'BIS Doc'!I665</f>
        <v>0</v>
      </c>
      <c r="K1415" s="1451" t="str">
        <f t="shared" ca="1" si="40"/>
        <v>IS 14650 CPS 10748/GR2</v>
      </c>
      <c r="L1415" s="1451"/>
      <c r="M1415" s="1451"/>
      <c r="N1415" s="1451"/>
      <c r="O1415" s="1451"/>
      <c r="P1415" s="902"/>
      <c r="Q1415" s="905"/>
      <c r="R1415" s="1451"/>
      <c r="S1415" s="1451"/>
      <c r="T1415" s="904"/>
      <c r="U1415" s="1450"/>
    </row>
    <row r="1416" spans="1:21" ht="19.5" customHeight="1">
      <c r="A1416" s="864"/>
      <c r="B1416" s="894" t="str">
        <f>IF('BIS Doc'!AC667=130, "130 × 130", IF('BIS Doc'!AC667=160, "160 × 160", IF('BIS Doc'!AC667=110, "110 × 110", "Value not 130, 160, or 110")))</f>
        <v>Value not 130, 160, or 110</v>
      </c>
      <c r="C1416" s="895">
        <f>'BIS Doc'!W667</f>
        <v>0</v>
      </c>
      <c r="D1416" s="896"/>
      <c r="E1416" s="897">
        <f>'BIS Doc'!AE667</f>
        <v>0</v>
      </c>
      <c r="F1416" s="898">
        <f ca="1">'BIS Doc'!F667</f>
        <v>0</v>
      </c>
      <c r="G1416" s="899">
        <f ca="1">'BIS Doc'!J667</f>
        <v>0</v>
      </c>
      <c r="H1416" s="900">
        <f ca="1">'BIS Doc'!G667</f>
        <v>0.59891072924401689</v>
      </c>
      <c r="I1416" s="901">
        <f ca="1">'BIS Doc'!H667</f>
        <v>0</v>
      </c>
      <c r="J1416" s="901">
        <f ca="1">'BIS Doc'!I667</f>
        <v>0</v>
      </c>
      <c r="K1416" s="1451" t="str">
        <f t="shared" ca="1" si="40"/>
        <v>IS 14650 CPS 10748/GR2</v>
      </c>
      <c r="L1416" s="1451"/>
      <c r="M1416" s="1451"/>
      <c r="N1416" s="1451"/>
      <c r="O1416" s="1451"/>
      <c r="P1416" s="902"/>
      <c r="Q1416" s="905"/>
      <c r="R1416" s="1451"/>
      <c r="S1416" s="1451"/>
      <c r="T1416" s="904"/>
      <c r="U1416" s="1450"/>
    </row>
    <row r="1417" spans="1:21" ht="19.5" customHeight="1">
      <c r="A1417" s="864"/>
      <c r="B1417" s="894" t="str">
        <f>IF('BIS Doc'!AC669=130, "130 × 130", IF('BIS Doc'!AC669=160, "160 × 160", IF('BIS Doc'!AC669=110, "110 × 110", "Value not 130, 160, or 110")))</f>
        <v>Value not 130, 160, or 110</v>
      </c>
      <c r="C1417" s="895">
        <f>'BIS Doc'!W669</f>
        <v>0</v>
      </c>
      <c r="D1417" s="896"/>
      <c r="E1417" s="897">
        <f>'BIS Doc'!AE669</f>
        <v>0</v>
      </c>
      <c r="F1417" s="898">
        <f ca="1">'BIS Doc'!F669</f>
        <v>0</v>
      </c>
      <c r="G1417" s="899">
        <f ca="1">'BIS Doc'!J669</f>
        <v>0</v>
      </c>
      <c r="H1417" s="900">
        <f ca="1">'BIS Doc'!G669</f>
        <v>0.5942655400571889</v>
      </c>
      <c r="I1417" s="901">
        <f ca="1">'BIS Doc'!H669</f>
        <v>0</v>
      </c>
      <c r="J1417" s="901">
        <f ca="1">'BIS Doc'!I669</f>
        <v>0</v>
      </c>
      <c r="K1417" s="1451" t="str">
        <f t="shared" ca="1" si="40"/>
        <v>IS 14650 CPS 10748/GR2</v>
      </c>
      <c r="L1417" s="1451"/>
      <c r="M1417" s="1451"/>
      <c r="N1417" s="1451"/>
      <c r="O1417" s="1451"/>
      <c r="P1417" s="902"/>
      <c r="Q1417" s="903"/>
      <c r="R1417" s="1451"/>
      <c r="S1417" s="1451"/>
      <c r="T1417" s="904"/>
      <c r="U1417" s="1450"/>
    </row>
    <row r="1418" spans="1:21" ht="19.5" customHeight="1">
      <c r="A1418" s="864"/>
      <c r="B1418" s="904"/>
      <c r="C1418" s="895"/>
      <c r="D1418" s="896"/>
      <c r="E1418" s="897"/>
      <c r="F1418" s="906"/>
      <c r="G1418" s="907"/>
      <c r="H1418" s="908"/>
      <c r="I1418" s="909"/>
      <c r="J1418" s="909"/>
      <c r="K1418" s="1451"/>
      <c r="L1418" s="1451"/>
      <c r="M1418" s="1451"/>
      <c r="N1418" s="1451"/>
      <c r="O1418" s="1451"/>
      <c r="P1418" s="902"/>
      <c r="Q1418" s="903"/>
      <c r="R1418" s="1451"/>
      <c r="S1418" s="1451"/>
      <c r="T1418" s="904"/>
      <c r="U1418" s="1450"/>
    </row>
    <row r="1419" spans="1:21" ht="19.5" customHeight="1">
      <c r="A1419" s="864"/>
      <c r="B1419" s="904"/>
      <c r="C1419" s="895"/>
      <c r="D1419" s="896"/>
      <c r="E1419" s="897"/>
      <c r="F1419" s="906"/>
      <c r="G1419" s="907"/>
      <c r="H1419" s="908"/>
      <c r="I1419" s="909"/>
      <c r="J1419" s="909"/>
      <c r="K1419" s="1451"/>
      <c r="L1419" s="1451"/>
      <c r="M1419" s="1451"/>
      <c r="N1419" s="1451"/>
      <c r="O1419" s="1451"/>
      <c r="P1419" s="902"/>
      <c r="Q1419" s="905"/>
      <c r="R1419" s="1451"/>
      <c r="S1419" s="1451"/>
      <c r="T1419" s="904"/>
      <c r="U1419" s="1450"/>
    </row>
    <row r="1420" spans="1:21" ht="19.5" customHeight="1">
      <c r="A1420" s="864"/>
      <c r="B1420" s="910"/>
      <c r="C1420" s="911"/>
      <c r="D1420" s="896"/>
      <c r="E1420" s="897"/>
      <c r="F1420" s="906"/>
      <c r="G1420" s="907"/>
      <c r="H1420" s="908"/>
      <c r="I1420" s="909"/>
      <c r="J1420" s="909"/>
      <c r="K1420" s="1451"/>
      <c r="L1420" s="1451"/>
      <c r="M1420" s="1451"/>
      <c r="N1420" s="1451"/>
      <c r="O1420" s="1451"/>
      <c r="P1420" s="912"/>
      <c r="Q1420" s="913"/>
      <c r="R1420" s="1452"/>
      <c r="S1420" s="1452"/>
      <c r="T1420" s="910"/>
      <c r="U1420" s="1450"/>
    </row>
    <row r="1421" spans="1:21" ht="19.5" customHeight="1">
      <c r="A1421" s="914"/>
      <c r="B1421" s="915"/>
      <c r="C1421" s="916"/>
      <c r="D1421" s="917"/>
      <c r="E1421" s="918">
        <f>SUM(E1412:E1417)</f>
        <v>0</v>
      </c>
      <c r="F1421" s="919"/>
      <c r="G1421" s="920"/>
      <c r="H1421" s="921"/>
      <c r="I1421" s="922"/>
      <c r="J1421" s="922"/>
      <c r="K1421" s="1453"/>
      <c r="L1421" s="1453"/>
      <c r="M1421" s="1453"/>
      <c r="N1421" s="1453"/>
      <c r="O1421" s="1453"/>
      <c r="P1421" s="923"/>
      <c r="Q1421" s="924"/>
      <c r="R1421" s="1454"/>
      <c r="S1421" s="1454"/>
      <c r="T1421" s="915"/>
      <c r="U1421" s="1450"/>
    </row>
    <row r="1422" spans="1:21" ht="15.75" customHeight="1">
      <c r="A1422" s="864"/>
      <c r="B1422" s="773"/>
      <c r="C1422" s="773"/>
      <c r="D1422" s="925"/>
      <c r="E1422" s="926"/>
      <c r="F1422" s="927"/>
      <c r="G1422" s="928"/>
      <c r="H1422" s="259"/>
      <c r="I1422" s="259"/>
      <c r="J1422" s="928"/>
      <c r="K1422" s="929"/>
      <c r="L1422" s="929"/>
      <c r="M1422" s="929"/>
      <c r="N1422" s="929"/>
      <c r="O1422" s="928"/>
      <c r="P1422" s="930"/>
      <c r="Q1422" s="931"/>
      <c r="R1422" s="931"/>
      <c r="U1422" s="932"/>
    </row>
    <row r="1423" spans="1:21" ht="18.75" customHeight="1">
      <c r="A1423" s="864"/>
      <c r="B1423" s="773"/>
      <c r="C1423" s="773"/>
      <c r="D1423" s="773"/>
      <c r="E1423" s="773"/>
      <c r="F1423" s="773"/>
      <c r="G1423" s="773"/>
      <c r="H1423" s="773"/>
      <c r="I1423" s="773"/>
      <c r="J1423" s="773"/>
      <c r="K1423" s="773"/>
      <c r="P1423" s="1446" t="s">
        <v>804</v>
      </c>
      <c r="Q1423" s="1446"/>
      <c r="R1423" s="1446"/>
      <c r="S1423" s="1446"/>
      <c r="T1423" s="1446"/>
      <c r="U1423" s="1446"/>
    </row>
    <row r="1424" spans="1:21" ht="18.75" customHeight="1">
      <c r="A1424" s="1447" t="s">
        <v>805</v>
      </c>
      <c r="B1424" s="1447"/>
      <c r="C1424" s="933"/>
      <c r="D1424" s="933"/>
      <c r="E1424" s="933"/>
      <c r="F1424" s="933"/>
      <c r="P1424" s="855"/>
      <c r="Q1424" s="855"/>
      <c r="R1424" s="855"/>
      <c r="S1424" s="855"/>
      <c r="T1424" s="855"/>
      <c r="U1424" s="934"/>
    </row>
    <row r="1425" spans="1:21" ht="18.75" customHeight="1">
      <c r="A1425" s="854"/>
      <c r="B1425" s="855"/>
      <c r="P1425" s="855"/>
      <c r="Q1425" s="855"/>
      <c r="R1425" s="855"/>
      <c r="S1425" s="855"/>
      <c r="T1425" s="855"/>
      <c r="U1425" s="934"/>
    </row>
    <row r="1426" spans="1:21" ht="18.75" customHeight="1">
      <c r="A1426" s="854" t="s">
        <v>806</v>
      </c>
      <c r="B1426" s="855"/>
      <c r="C1426" s="867"/>
      <c r="D1426" s="941"/>
      <c r="E1426" s="933"/>
      <c r="F1426" s="933"/>
      <c r="P1426" s="855"/>
      <c r="Q1426" s="855"/>
      <c r="R1426" s="855"/>
      <c r="S1426" s="855"/>
      <c r="T1426" s="855"/>
      <c r="U1426" s="934"/>
    </row>
    <row r="1427" spans="1:21" ht="18.75" customHeight="1">
      <c r="A1427" s="854"/>
      <c r="B1427" s="855"/>
      <c r="C1427" s="937"/>
      <c r="P1427" s="855"/>
      <c r="Q1427" s="855"/>
      <c r="R1427" s="855"/>
      <c r="S1427" s="855"/>
      <c r="T1427" s="855"/>
      <c r="U1427" s="934"/>
    </row>
    <row r="1428" spans="1:21" ht="19.5" customHeight="1">
      <c r="A1428" s="938"/>
      <c r="B1428" s="939"/>
      <c r="C1428" s="940"/>
      <c r="D1428" s="453"/>
      <c r="E1428" s="453"/>
      <c r="F1428" s="453"/>
      <c r="G1428" s="453"/>
      <c r="H1428" s="453"/>
      <c r="I1428" s="453"/>
      <c r="J1428" s="453"/>
      <c r="K1428" s="453"/>
      <c r="L1428" s="453"/>
      <c r="M1428" s="453"/>
      <c r="N1428" s="453"/>
      <c r="O1428" s="453"/>
      <c r="P1428" s="1448" t="s">
        <v>807</v>
      </c>
      <c r="Q1428" s="1448"/>
      <c r="R1428" s="1448"/>
      <c r="S1428" s="1448"/>
      <c r="T1428" s="1448"/>
      <c r="U1428" s="1448"/>
    </row>
    <row r="1429" spans="1:21" ht="45.75" customHeight="1">
      <c r="A1429" s="1455"/>
      <c r="B1429" s="1455"/>
      <c r="C1429" s="1455"/>
      <c r="D1429" s="847"/>
      <c r="E1429" s="1456" t="s">
        <v>774</v>
      </c>
      <c r="F1429" s="1456"/>
      <c r="G1429" s="1456"/>
      <c r="H1429" s="1456"/>
      <c r="I1429" s="1456"/>
      <c r="J1429" s="1456"/>
      <c r="K1429" s="1456"/>
      <c r="L1429" s="1456"/>
      <c r="M1429" s="1456"/>
      <c r="N1429" s="1456"/>
      <c r="O1429" s="1456"/>
      <c r="P1429" s="1456"/>
      <c r="Q1429" s="1456"/>
      <c r="R1429" s="1456"/>
      <c r="S1429" s="848"/>
      <c r="T1429" s="1457" t="s">
        <v>775</v>
      </c>
      <c r="U1429" s="1457"/>
    </row>
    <row r="1430" spans="1:21" ht="18.75" customHeight="1">
      <c r="A1430" s="849"/>
      <c r="E1430" s="1458" t="s">
        <v>776</v>
      </c>
      <c r="F1430" s="1458"/>
      <c r="G1430" s="1458"/>
      <c r="H1430" s="1458"/>
      <c r="I1430" s="1458"/>
      <c r="J1430" s="1458"/>
      <c r="K1430" s="1458"/>
      <c r="L1430" s="1458"/>
      <c r="M1430" s="1458"/>
      <c r="N1430" s="1458"/>
      <c r="O1430" s="1458"/>
      <c r="P1430" s="1458"/>
      <c r="Q1430" s="1458"/>
      <c r="R1430" s="1458"/>
      <c r="U1430" s="456"/>
    </row>
    <row r="1431" spans="1:21" ht="18.75" customHeight="1">
      <c r="A1431" s="850"/>
      <c r="F1431" s="587"/>
      <c r="G1431" s="587"/>
      <c r="H1431" s="587"/>
      <c r="I1431" s="587"/>
      <c r="J1431" s="587"/>
      <c r="K1431" s="587"/>
      <c r="L1431" s="587"/>
      <c r="M1431" s="851"/>
      <c r="N1431" s="852"/>
      <c r="O1431" s="851"/>
      <c r="P1431" s="1459" t="s">
        <v>777</v>
      </c>
      <c r="Q1431" s="1459"/>
      <c r="R1431" s="1459"/>
      <c r="S1431" s="1459"/>
      <c r="T1431" s="1459"/>
      <c r="U1431" s="1459"/>
    </row>
    <row r="1432" spans="1:21" ht="15" customHeight="1">
      <c r="A1432" s="849"/>
      <c r="E1432" s="1287" t="s">
        <v>778</v>
      </c>
      <c r="F1432" s="1287"/>
      <c r="G1432" s="1287"/>
      <c r="H1432" s="1287"/>
      <c r="I1432" s="1287"/>
      <c r="J1432" s="1287"/>
      <c r="K1432" s="1287"/>
      <c r="L1432" s="1287"/>
      <c r="M1432" s="1287"/>
      <c r="N1432" s="1287"/>
      <c r="O1432" s="1287"/>
      <c r="P1432" s="1287"/>
      <c r="Q1432" s="1287"/>
      <c r="R1432" s="1287"/>
      <c r="U1432" s="456"/>
    </row>
    <row r="1433" spans="1:21" ht="18.75" customHeight="1">
      <c r="A1433" s="849"/>
      <c r="E1433" s="1286" t="s">
        <v>779</v>
      </c>
      <c r="F1433" s="1286"/>
      <c r="G1433" s="1286"/>
      <c r="H1433" s="1286"/>
      <c r="I1433" s="1286"/>
      <c r="J1433" s="1286"/>
      <c r="K1433" s="1286"/>
      <c r="L1433" s="1286"/>
      <c r="M1433" s="1286"/>
      <c r="N1433" s="1286"/>
      <c r="O1433" s="1286"/>
      <c r="P1433" s="1286"/>
      <c r="Q1433" s="1286"/>
      <c r="R1433" s="1286"/>
      <c r="U1433" s="853"/>
    </row>
    <row r="1434" spans="1:21" ht="23.25" customHeight="1">
      <c r="A1434" s="854" t="s">
        <v>780</v>
      </c>
      <c r="B1434" s="855"/>
      <c r="C1434" s="855"/>
      <c r="D1434" s="856" t="s">
        <v>866</v>
      </c>
      <c r="E1434" s="857"/>
      <c r="F1434" s="858"/>
      <c r="G1434" s="859"/>
      <c r="H1434" s="859"/>
      <c r="I1434" s="859"/>
      <c r="J1434" s="859"/>
      <c r="K1434" s="859"/>
      <c r="L1434" s="860"/>
      <c r="M1434" s="1460"/>
      <c r="N1434" s="1460"/>
      <c r="O1434" s="1460"/>
      <c r="P1434" s="1461" t="s">
        <v>781</v>
      </c>
      <c r="Q1434" s="1461"/>
      <c r="R1434" s="1461"/>
      <c r="S1434" s="855"/>
      <c r="T1434" s="861">
        <v>46317</v>
      </c>
      <c r="U1434" s="456"/>
    </row>
    <row r="1435" spans="1:21" ht="23.25" customHeight="1">
      <c r="A1435" s="854"/>
      <c r="B1435" s="862"/>
      <c r="C1435" s="862"/>
      <c r="D1435" s="862"/>
      <c r="E1435" s="163"/>
      <c r="F1435" s="863"/>
      <c r="G1435" s="863"/>
      <c r="H1435" s="863"/>
      <c r="I1435" s="863"/>
      <c r="J1435" s="863"/>
      <c r="K1435" s="863"/>
      <c r="U1435" s="456"/>
    </row>
    <row r="1436" spans="1:21" ht="21" customHeight="1">
      <c r="A1436" s="864" t="s">
        <v>782</v>
      </c>
      <c r="B1436" s="865"/>
      <c r="C1436" s="866"/>
      <c r="D1436" s="867"/>
      <c r="E1436" s="868"/>
      <c r="F1436" s="869"/>
      <c r="G1436" s="869"/>
      <c r="H1436" s="869"/>
      <c r="I1436" s="870"/>
      <c r="J1436" s="870"/>
      <c r="P1436" s="1462"/>
      <c r="Q1436" s="1462"/>
      <c r="R1436" s="1462"/>
      <c r="S1436" s="1462"/>
      <c r="T1436" s="871"/>
      <c r="U1436" s="456"/>
    </row>
    <row r="1437" spans="1:21" ht="21" customHeight="1">
      <c r="A1437" s="872"/>
      <c r="B1437" s="873"/>
      <c r="C1437" s="869"/>
      <c r="D1437" s="869"/>
      <c r="E1437" s="869"/>
      <c r="F1437" s="869"/>
      <c r="G1437" s="869"/>
      <c r="H1437" s="869"/>
      <c r="I1437" s="870"/>
      <c r="J1437" s="870"/>
      <c r="U1437" s="456"/>
    </row>
    <row r="1438" spans="1:21" ht="15" customHeight="1">
      <c r="A1438" s="1463" t="s">
        <v>783</v>
      </c>
      <c r="B1438" s="1463"/>
      <c r="C1438" s="1463"/>
      <c r="D1438" s="1463"/>
      <c r="E1438" s="1463"/>
      <c r="F1438" s="1463"/>
      <c r="G1438" s="1463"/>
      <c r="H1438" s="1463"/>
      <c r="I1438" s="1463"/>
      <c r="J1438" s="1463"/>
      <c r="K1438" s="1463"/>
      <c r="L1438" s="1463"/>
      <c r="M1438" s="1463"/>
      <c r="N1438" s="1463"/>
      <c r="O1438" s="1463"/>
      <c r="P1438" s="1463"/>
      <c r="Q1438" s="1463"/>
      <c r="R1438" s="1463"/>
      <c r="S1438" s="1463"/>
      <c r="T1438" s="1463"/>
      <c r="U1438" s="1463"/>
    </row>
    <row r="1439" spans="1:21" ht="15" customHeight="1">
      <c r="A1439" s="1463"/>
      <c r="B1439" s="1463"/>
      <c r="C1439" s="1463"/>
      <c r="D1439" s="1463"/>
      <c r="E1439" s="1463"/>
      <c r="F1439" s="1463"/>
      <c r="G1439" s="1463"/>
      <c r="H1439" s="1463"/>
      <c r="I1439" s="1463"/>
      <c r="J1439" s="1463"/>
      <c r="K1439" s="1463"/>
      <c r="L1439" s="1463"/>
      <c r="M1439" s="1463"/>
      <c r="N1439" s="1463"/>
      <c r="O1439" s="1463"/>
      <c r="P1439" s="1463"/>
      <c r="Q1439" s="1463"/>
      <c r="R1439" s="1463"/>
      <c r="S1439" s="1463"/>
      <c r="T1439" s="1463"/>
      <c r="U1439" s="1463"/>
    </row>
    <row r="1440" spans="1:21" ht="18" customHeight="1">
      <c r="A1440" s="1464" t="s">
        <v>784</v>
      </c>
      <c r="B1440" s="1464"/>
      <c r="C1440" s="1464"/>
      <c r="D1440" s="1464"/>
      <c r="E1440" s="1464"/>
      <c r="F1440" s="1464"/>
      <c r="G1440" s="1464"/>
      <c r="H1440" s="1464"/>
      <c r="I1440" s="1464"/>
      <c r="J1440" s="1464"/>
      <c r="K1440" s="1464"/>
      <c r="L1440" s="1464"/>
      <c r="M1440" s="1464"/>
      <c r="N1440" s="1464"/>
      <c r="O1440" s="1464"/>
      <c r="P1440" s="1464"/>
      <c r="Q1440" s="1464"/>
      <c r="R1440" s="1464"/>
      <c r="S1440" s="1464"/>
      <c r="T1440" s="1464"/>
      <c r="U1440" s="1464"/>
    </row>
    <row r="1441" spans="1:21" ht="23.25" customHeight="1">
      <c r="A1441" s="1465" t="s">
        <v>785</v>
      </c>
      <c r="B1441" s="1465"/>
      <c r="C1441" s="1465"/>
      <c r="D1441" s="1465"/>
      <c r="E1441" s="1465"/>
      <c r="F1441" s="1465"/>
      <c r="G1441" s="1465"/>
      <c r="H1441" s="1465"/>
      <c r="I1441" s="1465"/>
      <c r="J1441" s="1465"/>
      <c r="K1441" s="1465"/>
      <c r="L1441" s="1465"/>
      <c r="M1441" s="1465"/>
      <c r="N1441" s="1465"/>
      <c r="O1441" s="1465"/>
      <c r="P1441" s="1465"/>
      <c r="Q1441" s="1465"/>
      <c r="R1441" s="1465"/>
      <c r="S1441" s="1465"/>
      <c r="T1441" s="1465"/>
      <c r="U1441" s="1465"/>
    </row>
    <row r="1442" spans="1:21" ht="21.75" customHeight="1">
      <c r="A1442" s="874"/>
      <c r="B1442" s="875"/>
      <c r="C1442" s="875"/>
      <c r="D1442" s="875"/>
      <c r="E1442" s="875"/>
      <c r="F1442" s="875"/>
      <c r="G1442" s="875"/>
      <c r="H1442" s="875"/>
      <c r="I1442" s="875"/>
      <c r="J1442" s="875"/>
      <c r="K1442" s="875"/>
      <c r="L1442" s="875"/>
      <c r="M1442" s="875"/>
      <c r="N1442" s="875"/>
      <c r="O1442" s="875"/>
      <c r="P1442" s="875"/>
      <c r="Q1442" s="875"/>
      <c r="R1442" s="875"/>
      <c r="S1442" s="875"/>
      <c r="T1442" s="875"/>
      <c r="U1442" s="876"/>
    </row>
    <row r="1443" spans="1:21" ht="15" customHeight="1">
      <c r="A1443" s="1466" t="s">
        <v>786</v>
      </c>
      <c r="B1443" s="1467" t="s">
        <v>787</v>
      </c>
      <c r="C1443" s="1468" t="s">
        <v>788</v>
      </c>
      <c r="D1443" s="1468" t="s">
        <v>789</v>
      </c>
      <c r="E1443" s="1469" t="s">
        <v>790</v>
      </c>
      <c r="F1443" s="1468" t="s">
        <v>791</v>
      </c>
      <c r="G1443" s="1468"/>
      <c r="H1443" s="1468"/>
      <c r="I1443" s="1468"/>
      <c r="J1443" s="1468"/>
      <c r="K1443" s="1468"/>
      <c r="L1443" s="1468"/>
      <c r="M1443" s="1468"/>
      <c r="N1443" s="1468"/>
      <c r="O1443" s="1468"/>
      <c r="P1443" s="1470"/>
      <c r="Q1443" s="1470"/>
      <c r="R1443" s="1470"/>
      <c r="S1443" s="1470"/>
      <c r="T1443" s="1470"/>
      <c r="U1443" s="1470"/>
    </row>
    <row r="1444" spans="1:21" ht="15.75" customHeight="1">
      <c r="A1444" s="1466"/>
      <c r="B1444" s="1467"/>
      <c r="C1444" s="1468"/>
      <c r="D1444" s="1468"/>
      <c r="E1444" s="1469"/>
      <c r="F1444" s="1468"/>
      <c r="G1444" s="1468"/>
      <c r="H1444" s="1468"/>
      <c r="I1444" s="1468"/>
      <c r="J1444" s="1468"/>
      <c r="K1444" s="1468"/>
      <c r="L1444" s="1468"/>
      <c r="M1444" s="1468"/>
      <c r="N1444" s="1468"/>
      <c r="O1444" s="1468"/>
      <c r="P1444" s="1470"/>
      <c r="Q1444" s="1470"/>
      <c r="R1444" s="1470"/>
      <c r="S1444" s="1470"/>
      <c r="T1444" s="1470"/>
      <c r="U1444" s="1470"/>
    </row>
    <row r="1445" spans="1:21" ht="48" customHeight="1">
      <c r="A1445" s="1466"/>
      <c r="B1445" s="1467"/>
      <c r="C1445" s="1468"/>
      <c r="D1445" s="1468"/>
      <c r="E1445" s="1469"/>
      <c r="F1445" s="878" t="s">
        <v>792</v>
      </c>
      <c r="G1445" s="877" t="s">
        <v>793</v>
      </c>
      <c r="H1445" s="878" t="s">
        <v>794</v>
      </c>
      <c r="I1445" s="879" t="s">
        <v>795</v>
      </c>
      <c r="J1445" s="880" t="s">
        <v>796</v>
      </c>
      <c r="K1445" s="1468" t="s">
        <v>797</v>
      </c>
      <c r="L1445" s="1468"/>
      <c r="M1445" s="1468"/>
      <c r="N1445" s="1468"/>
      <c r="O1445" s="1468"/>
      <c r="P1445" s="881" t="s">
        <v>798</v>
      </c>
      <c r="Q1445" s="882" t="s">
        <v>799</v>
      </c>
      <c r="R1445" s="1469" t="s">
        <v>800</v>
      </c>
      <c r="S1445" s="1469"/>
      <c r="T1445" s="877" t="s">
        <v>801</v>
      </c>
      <c r="U1445" s="879" t="s">
        <v>104</v>
      </c>
    </row>
    <row r="1446" spans="1:21" ht="19.5" customHeight="1">
      <c r="A1446" s="883"/>
      <c r="B1446" s="884" t="str">
        <f>IF('BIS Doc'!AC679=130, "130 × 130", IF('BIS Doc'!AC679=160, "160 × 160", IF('BIS Doc'!AC679=110, "110 × 110", "Value not 130, 160, or 110")))</f>
        <v>Value not 130, 160, or 110</v>
      </c>
      <c r="C1446" s="885">
        <f>'BIS Doc'!W679</f>
        <v>0</v>
      </c>
      <c r="D1446" s="886"/>
      <c r="E1446" s="887">
        <f>'BIS Doc'!AE679</f>
        <v>0</v>
      </c>
      <c r="F1446" s="888">
        <f ca="1">'BIS Doc'!F679</f>
        <v>0</v>
      </c>
      <c r="G1446" s="888">
        <f ca="1">'BIS Doc'!J679</f>
        <v>0</v>
      </c>
      <c r="H1446" s="888">
        <f ca="1">'BIS Doc'!G679</f>
        <v>0.59277429487979205</v>
      </c>
      <c r="I1446" s="889">
        <f ca="1">'BIS Doc'!H679</f>
        <v>0</v>
      </c>
      <c r="J1446" s="889">
        <f ca="1">'BIS Doc'!I679</f>
        <v>0</v>
      </c>
      <c r="K1446" s="1449" t="str">
        <f t="shared" ref="K1446:K1451" ca="1" si="41">IF(H1446&lt;0.6, "IS 14650 CPS 10748/GR2", "IS 14650 CPS 10748/GR3")</f>
        <v>IS 14650 CPS 10748/GR2</v>
      </c>
      <c r="L1446" s="1449"/>
      <c r="M1446" s="1449"/>
      <c r="N1446" s="1449"/>
      <c r="O1446" s="1449"/>
      <c r="P1446" s="890"/>
      <c r="Q1446" s="891"/>
      <c r="R1446" s="1449"/>
      <c r="S1446" s="1449"/>
      <c r="T1446" s="892"/>
      <c r="U1446" s="1450" t="s">
        <v>802</v>
      </c>
    </row>
    <row r="1447" spans="1:21" ht="19.5" customHeight="1">
      <c r="A1447" s="893"/>
      <c r="B1447" s="894" t="str">
        <f>IF('BIS Doc'!AC681=130, "130 × 130", IF('BIS Doc'!AC681=160, "160 × 160", IF('BIS Doc'!AC681=110, "110 × 110", "Value not 130, 160, or 110")))</f>
        <v>Value not 130, 160, or 110</v>
      </c>
      <c r="C1447" s="895">
        <f>'BIS Doc'!W681</f>
        <v>0</v>
      </c>
      <c r="D1447" s="896"/>
      <c r="E1447" s="897">
        <f>'BIS Doc'!AE681</f>
        <v>0</v>
      </c>
      <c r="F1447" s="898">
        <f ca="1">'BIS Doc'!F681</f>
        <v>0</v>
      </c>
      <c r="G1447" s="899">
        <f ca="1">'BIS Doc'!J681</f>
        <v>0</v>
      </c>
      <c r="H1447" s="900">
        <f ca="1">'BIS Doc'!G681</f>
        <v>0.51642902341633434</v>
      </c>
      <c r="I1447" s="901">
        <f ca="1">'BIS Doc'!H681</f>
        <v>0</v>
      </c>
      <c r="J1447" s="901">
        <f ca="1">'BIS Doc'!I681</f>
        <v>0</v>
      </c>
      <c r="K1447" s="1451" t="str">
        <f t="shared" ca="1" si="41"/>
        <v>IS 14650 CPS 10748/GR2</v>
      </c>
      <c r="L1447" s="1451"/>
      <c r="M1447" s="1451"/>
      <c r="N1447" s="1451"/>
      <c r="O1447" s="1451"/>
      <c r="P1447" s="902"/>
      <c r="Q1447" s="903"/>
      <c r="R1447" s="1451"/>
      <c r="S1447" s="1451"/>
      <c r="T1447" s="904"/>
      <c r="U1447" s="1450"/>
    </row>
    <row r="1448" spans="1:21" ht="19.5" customHeight="1">
      <c r="A1448" s="864"/>
      <c r="B1448" s="894" t="str">
        <f>IF('BIS Doc'!AC683=130, "130 × 130", IF('BIS Doc'!AC683=160, "160 × 160", IF('BIS Doc'!AC683=110, "110 × 110", "Value not 130, 160, or 110")))</f>
        <v>Value not 130, 160, or 110</v>
      </c>
      <c r="C1448" s="895">
        <f>'BIS Doc'!W683</f>
        <v>0</v>
      </c>
      <c r="D1448" s="896" t="s">
        <v>803</v>
      </c>
      <c r="E1448" s="897">
        <f>'BIS Doc'!AE683</f>
        <v>0</v>
      </c>
      <c r="F1448" s="898">
        <f ca="1">'BIS Doc'!F683</f>
        <v>0</v>
      </c>
      <c r="G1448" s="899">
        <f ca="1">'BIS Doc'!J683</f>
        <v>0</v>
      </c>
      <c r="H1448" s="900">
        <f ca="1">'BIS Doc'!G683</f>
        <v>0.51420598528188122</v>
      </c>
      <c r="I1448" s="901">
        <f ca="1">'BIS Doc'!H683</f>
        <v>0</v>
      </c>
      <c r="J1448" s="901">
        <f ca="1">'BIS Doc'!I683</f>
        <v>0</v>
      </c>
      <c r="K1448" s="1451" t="str">
        <f t="shared" ca="1" si="41"/>
        <v>IS 14650 CPS 10748/GR2</v>
      </c>
      <c r="L1448" s="1451"/>
      <c r="M1448" s="1451"/>
      <c r="N1448" s="1451"/>
      <c r="O1448" s="1451"/>
      <c r="P1448" s="902"/>
      <c r="Q1448" s="905"/>
      <c r="R1448" s="1451"/>
      <c r="S1448" s="1451"/>
      <c r="T1448" s="904"/>
      <c r="U1448" s="1450"/>
    </row>
    <row r="1449" spans="1:21" ht="19.5" customHeight="1">
      <c r="A1449" s="864"/>
      <c r="B1449" s="894" t="str">
        <f>IF('BIS Doc'!AC685=130, "130 × 130", IF('BIS Doc'!AC685=160, "160 × 160", IF('BIS Doc'!AC685=110, "110 × 110", "Value not 130, 160, or 110")))</f>
        <v>Value not 130, 160, or 110</v>
      </c>
      <c r="C1449" s="895">
        <f>'BIS Doc'!W685</f>
        <v>0</v>
      </c>
      <c r="D1449" s="896"/>
      <c r="E1449" s="897">
        <f>'BIS Doc'!AE685</f>
        <v>0</v>
      </c>
      <c r="F1449" s="898">
        <f ca="1">'BIS Doc'!F685</f>
        <v>0</v>
      </c>
      <c r="G1449" s="899">
        <f ca="1">'BIS Doc'!J685</f>
        <v>0</v>
      </c>
      <c r="H1449" s="900">
        <f ca="1">'BIS Doc'!G685</f>
        <v>0.58354138090231444</v>
      </c>
      <c r="I1449" s="901">
        <f ca="1">'BIS Doc'!H685</f>
        <v>0</v>
      </c>
      <c r="J1449" s="901">
        <f ca="1">'BIS Doc'!I685</f>
        <v>0</v>
      </c>
      <c r="K1449" s="1451" t="str">
        <f t="shared" ca="1" si="41"/>
        <v>IS 14650 CPS 10748/GR2</v>
      </c>
      <c r="L1449" s="1451"/>
      <c r="M1449" s="1451"/>
      <c r="N1449" s="1451"/>
      <c r="O1449" s="1451"/>
      <c r="P1449" s="902"/>
      <c r="Q1449" s="905"/>
      <c r="R1449" s="1451"/>
      <c r="S1449" s="1451"/>
      <c r="T1449" s="904"/>
      <c r="U1449" s="1450"/>
    </row>
    <row r="1450" spans="1:21" ht="19.5" customHeight="1">
      <c r="A1450" s="864"/>
      <c r="B1450" s="894" t="str">
        <f>IF('BIS Doc'!AC687=130, "130 × 130", IF('BIS Doc'!AC687=160, "160 × 160", IF('BIS Doc'!AC687=110, "110 × 110", "Value not 130, 160, or 110")))</f>
        <v>Value not 130, 160, or 110</v>
      </c>
      <c r="C1450" s="895">
        <f>'BIS Doc'!W687</f>
        <v>0</v>
      </c>
      <c r="D1450" s="896"/>
      <c r="E1450" s="897">
        <f>'BIS Doc'!AE687</f>
        <v>0</v>
      </c>
      <c r="F1450" s="898">
        <f ca="1">'BIS Doc'!F687</f>
        <v>0</v>
      </c>
      <c r="G1450" s="899">
        <f ca="1">'BIS Doc'!J687</f>
        <v>0</v>
      </c>
      <c r="H1450" s="900">
        <f ca="1">'BIS Doc'!G687</f>
        <v>0.51182677283250411</v>
      </c>
      <c r="I1450" s="901">
        <f ca="1">'BIS Doc'!H687</f>
        <v>0</v>
      </c>
      <c r="J1450" s="901">
        <f ca="1">'BIS Doc'!I687</f>
        <v>0</v>
      </c>
      <c r="K1450" s="1451" t="str">
        <f t="shared" ca="1" si="41"/>
        <v>IS 14650 CPS 10748/GR2</v>
      </c>
      <c r="L1450" s="1451"/>
      <c r="M1450" s="1451"/>
      <c r="N1450" s="1451"/>
      <c r="O1450" s="1451"/>
      <c r="P1450" s="902"/>
      <c r="Q1450" s="905"/>
      <c r="R1450" s="1451"/>
      <c r="S1450" s="1451"/>
      <c r="T1450" s="904"/>
      <c r="U1450" s="1450"/>
    </row>
    <row r="1451" spans="1:21" ht="19.5" customHeight="1">
      <c r="A1451" s="864"/>
      <c r="B1451" s="894" t="str">
        <f>IF('BIS Doc'!AC689=130, "130 × 130", IF('BIS Doc'!AC689=160, "160 × 160", IF('BIS Doc'!AC689=110, "110 × 110", "Value not 130, 160, or 110")))</f>
        <v>Value not 130, 160, or 110</v>
      </c>
      <c r="C1451" s="895">
        <f>'BIS Doc'!W689</f>
        <v>0</v>
      </c>
      <c r="D1451" s="896"/>
      <c r="E1451" s="897">
        <f>'BIS Doc'!AE689</f>
        <v>0</v>
      </c>
      <c r="F1451" s="898">
        <f ca="1">'BIS Doc'!F689</f>
        <v>0</v>
      </c>
      <c r="G1451" s="899">
        <f ca="1">'BIS Doc'!J689</f>
        <v>0</v>
      </c>
      <c r="H1451" s="900">
        <f ca="1">'BIS Doc'!G689</f>
        <v>0.54919099569378027</v>
      </c>
      <c r="I1451" s="901">
        <f ca="1">'BIS Doc'!H689</f>
        <v>0</v>
      </c>
      <c r="J1451" s="901">
        <f ca="1">'BIS Doc'!I689</f>
        <v>0</v>
      </c>
      <c r="K1451" s="1451" t="str">
        <f t="shared" ca="1" si="41"/>
        <v>IS 14650 CPS 10748/GR2</v>
      </c>
      <c r="L1451" s="1451"/>
      <c r="M1451" s="1451"/>
      <c r="N1451" s="1451"/>
      <c r="O1451" s="1451"/>
      <c r="P1451" s="902"/>
      <c r="Q1451" s="903"/>
      <c r="R1451" s="1451"/>
      <c r="S1451" s="1451"/>
      <c r="T1451" s="904"/>
      <c r="U1451" s="1450"/>
    </row>
    <row r="1452" spans="1:21" ht="19.5" customHeight="1">
      <c r="A1452" s="864"/>
      <c r="B1452" s="904"/>
      <c r="C1452" s="895"/>
      <c r="D1452" s="896"/>
      <c r="E1452" s="897"/>
      <c r="F1452" s="906"/>
      <c r="G1452" s="907"/>
      <c r="H1452" s="908"/>
      <c r="I1452" s="909"/>
      <c r="J1452" s="909"/>
      <c r="K1452" s="1451"/>
      <c r="L1452" s="1451"/>
      <c r="M1452" s="1451"/>
      <c r="N1452" s="1451"/>
      <c r="O1452" s="1451"/>
      <c r="P1452" s="902"/>
      <c r="Q1452" s="903"/>
      <c r="R1452" s="1451"/>
      <c r="S1452" s="1451"/>
      <c r="T1452" s="904"/>
      <c r="U1452" s="1450"/>
    </row>
    <row r="1453" spans="1:21" ht="19.5" customHeight="1">
      <c r="A1453" s="864"/>
      <c r="B1453" s="904"/>
      <c r="C1453" s="895"/>
      <c r="D1453" s="896"/>
      <c r="E1453" s="897"/>
      <c r="F1453" s="906"/>
      <c r="G1453" s="907"/>
      <c r="H1453" s="908"/>
      <c r="I1453" s="909"/>
      <c r="J1453" s="909"/>
      <c r="K1453" s="1451"/>
      <c r="L1453" s="1451"/>
      <c r="M1453" s="1451"/>
      <c r="N1453" s="1451"/>
      <c r="O1453" s="1451"/>
      <c r="P1453" s="902"/>
      <c r="Q1453" s="905"/>
      <c r="R1453" s="1451"/>
      <c r="S1453" s="1451"/>
      <c r="T1453" s="904"/>
      <c r="U1453" s="1450"/>
    </row>
    <row r="1454" spans="1:21" ht="19.5" customHeight="1">
      <c r="A1454" s="864"/>
      <c r="B1454" s="910"/>
      <c r="C1454" s="911"/>
      <c r="D1454" s="896"/>
      <c r="E1454" s="897"/>
      <c r="F1454" s="906"/>
      <c r="G1454" s="907"/>
      <c r="H1454" s="908"/>
      <c r="I1454" s="909"/>
      <c r="J1454" s="909"/>
      <c r="K1454" s="1451"/>
      <c r="L1454" s="1451"/>
      <c r="M1454" s="1451"/>
      <c r="N1454" s="1451"/>
      <c r="O1454" s="1451"/>
      <c r="P1454" s="912"/>
      <c r="Q1454" s="913"/>
      <c r="R1454" s="1452"/>
      <c r="S1454" s="1452"/>
      <c r="T1454" s="910"/>
      <c r="U1454" s="1450"/>
    </row>
    <row r="1455" spans="1:21" ht="19.5" customHeight="1">
      <c r="A1455" s="914"/>
      <c r="B1455" s="915"/>
      <c r="C1455" s="916"/>
      <c r="D1455" s="917"/>
      <c r="E1455" s="918">
        <f>SUM(E1446:E1451)</f>
        <v>0</v>
      </c>
      <c r="F1455" s="919"/>
      <c r="G1455" s="920"/>
      <c r="H1455" s="921"/>
      <c r="I1455" s="922"/>
      <c r="J1455" s="922"/>
      <c r="K1455" s="1453"/>
      <c r="L1455" s="1453"/>
      <c r="M1455" s="1453"/>
      <c r="N1455" s="1453"/>
      <c r="O1455" s="1453"/>
      <c r="P1455" s="923"/>
      <c r="Q1455" s="924"/>
      <c r="R1455" s="1454"/>
      <c r="S1455" s="1454"/>
      <c r="T1455" s="915"/>
      <c r="U1455" s="1450"/>
    </row>
    <row r="1456" spans="1:21" ht="15.75" customHeight="1">
      <c r="A1456" s="864"/>
      <c r="B1456" s="773"/>
      <c r="C1456" s="773"/>
      <c r="D1456" s="925"/>
      <c r="E1456" s="926"/>
      <c r="F1456" s="927"/>
      <c r="G1456" s="928"/>
      <c r="H1456" s="259"/>
      <c r="I1456" s="259"/>
      <c r="J1456" s="928"/>
      <c r="K1456" s="929"/>
      <c r="L1456" s="929"/>
      <c r="M1456" s="929"/>
      <c r="N1456" s="929"/>
      <c r="O1456" s="928"/>
      <c r="P1456" s="930"/>
      <c r="Q1456" s="931"/>
      <c r="R1456" s="931"/>
      <c r="U1456" s="932"/>
    </row>
    <row r="1457" spans="1:21" ht="18.75" customHeight="1">
      <c r="A1457" s="864"/>
      <c r="B1457" s="773"/>
      <c r="C1457" s="773"/>
      <c r="D1457" s="773"/>
      <c r="E1457" s="773"/>
      <c r="F1457" s="773"/>
      <c r="G1457" s="773"/>
      <c r="H1457" s="773"/>
      <c r="I1457" s="773"/>
      <c r="J1457" s="773"/>
      <c r="K1457" s="773"/>
      <c r="P1457" s="1446" t="s">
        <v>804</v>
      </c>
      <c r="Q1457" s="1446"/>
      <c r="R1457" s="1446"/>
      <c r="S1457" s="1446"/>
      <c r="T1457" s="1446"/>
      <c r="U1457" s="1446"/>
    </row>
    <row r="1458" spans="1:21" ht="18.75" customHeight="1">
      <c r="A1458" s="1447" t="s">
        <v>805</v>
      </c>
      <c r="B1458" s="1447"/>
      <c r="C1458" s="933"/>
      <c r="D1458" s="933"/>
      <c r="E1458" s="933"/>
      <c r="F1458" s="933"/>
      <c r="P1458" s="855"/>
      <c r="Q1458" s="855"/>
      <c r="R1458" s="855"/>
      <c r="S1458" s="855"/>
      <c r="T1458" s="855"/>
      <c r="U1458" s="934"/>
    </row>
    <row r="1459" spans="1:21" ht="18.75" customHeight="1">
      <c r="A1459" s="854"/>
      <c r="B1459" s="855"/>
      <c r="P1459" s="855"/>
      <c r="Q1459" s="855"/>
      <c r="R1459" s="855"/>
      <c r="S1459" s="855"/>
      <c r="T1459" s="855"/>
      <c r="U1459" s="934"/>
    </row>
    <row r="1460" spans="1:21" ht="18.75" customHeight="1">
      <c r="A1460" s="854" t="s">
        <v>806</v>
      </c>
      <c r="B1460" s="855"/>
      <c r="C1460" s="867"/>
      <c r="D1460" s="941"/>
      <c r="E1460" s="933"/>
      <c r="F1460" s="933"/>
      <c r="P1460" s="855"/>
      <c r="Q1460" s="855"/>
      <c r="R1460" s="855"/>
      <c r="S1460" s="855"/>
      <c r="T1460" s="855"/>
      <c r="U1460" s="934"/>
    </row>
    <row r="1461" spans="1:21" ht="18.75" customHeight="1">
      <c r="A1461" s="854"/>
      <c r="B1461" s="855"/>
      <c r="C1461" s="937"/>
      <c r="P1461" s="855"/>
      <c r="Q1461" s="855"/>
      <c r="R1461" s="855"/>
      <c r="S1461" s="855"/>
      <c r="T1461" s="855"/>
      <c r="U1461" s="934"/>
    </row>
    <row r="1462" spans="1:21" ht="19.5" customHeight="1">
      <c r="A1462" s="938"/>
      <c r="B1462" s="939"/>
      <c r="C1462" s="940"/>
      <c r="D1462" s="453"/>
      <c r="E1462" s="453"/>
      <c r="F1462" s="453"/>
      <c r="G1462" s="453"/>
      <c r="H1462" s="453"/>
      <c r="I1462" s="453"/>
      <c r="J1462" s="453"/>
      <c r="K1462" s="453"/>
      <c r="L1462" s="453"/>
      <c r="M1462" s="453"/>
      <c r="N1462" s="453"/>
      <c r="O1462" s="453"/>
      <c r="P1462" s="1448" t="s">
        <v>807</v>
      </c>
      <c r="Q1462" s="1448"/>
      <c r="R1462" s="1448"/>
      <c r="S1462" s="1448"/>
      <c r="T1462" s="1448"/>
      <c r="U1462" s="1448"/>
    </row>
    <row r="1463" spans="1:21" ht="45.75" customHeight="1">
      <c r="A1463" s="1455"/>
      <c r="B1463" s="1455"/>
      <c r="C1463" s="1455"/>
      <c r="D1463" s="847"/>
      <c r="E1463" s="1456" t="s">
        <v>774</v>
      </c>
      <c r="F1463" s="1456"/>
      <c r="G1463" s="1456"/>
      <c r="H1463" s="1456"/>
      <c r="I1463" s="1456"/>
      <c r="J1463" s="1456"/>
      <c r="K1463" s="1456"/>
      <c r="L1463" s="1456"/>
      <c r="M1463" s="1456"/>
      <c r="N1463" s="1456"/>
      <c r="O1463" s="1456"/>
      <c r="P1463" s="1456"/>
      <c r="Q1463" s="1456"/>
      <c r="R1463" s="1456"/>
      <c r="S1463" s="848"/>
      <c r="T1463" s="1457" t="s">
        <v>775</v>
      </c>
      <c r="U1463" s="1457"/>
    </row>
    <row r="1464" spans="1:21" ht="18.75" customHeight="1">
      <c r="A1464" s="849"/>
      <c r="E1464" s="1458" t="s">
        <v>776</v>
      </c>
      <c r="F1464" s="1458"/>
      <c r="G1464" s="1458"/>
      <c r="H1464" s="1458"/>
      <c r="I1464" s="1458"/>
      <c r="J1464" s="1458"/>
      <c r="K1464" s="1458"/>
      <c r="L1464" s="1458"/>
      <c r="M1464" s="1458"/>
      <c r="N1464" s="1458"/>
      <c r="O1464" s="1458"/>
      <c r="P1464" s="1458"/>
      <c r="Q1464" s="1458"/>
      <c r="R1464" s="1458"/>
      <c r="U1464" s="456"/>
    </row>
    <row r="1465" spans="1:21" ht="18.75" customHeight="1">
      <c r="A1465" s="850"/>
      <c r="F1465" s="587"/>
      <c r="G1465" s="587"/>
      <c r="H1465" s="587"/>
      <c r="I1465" s="587"/>
      <c r="J1465" s="587"/>
      <c r="K1465" s="587"/>
      <c r="L1465" s="587"/>
      <c r="M1465" s="851"/>
      <c r="N1465" s="852"/>
      <c r="O1465" s="851"/>
      <c r="P1465" s="1459" t="s">
        <v>777</v>
      </c>
      <c r="Q1465" s="1459"/>
      <c r="R1465" s="1459"/>
      <c r="S1465" s="1459"/>
      <c r="T1465" s="1459"/>
      <c r="U1465" s="1459"/>
    </row>
    <row r="1466" spans="1:21" ht="15" customHeight="1">
      <c r="A1466" s="849"/>
      <c r="E1466" s="1287" t="s">
        <v>778</v>
      </c>
      <c r="F1466" s="1287"/>
      <c r="G1466" s="1287"/>
      <c r="H1466" s="1287"/>
      <c r="I1466" s="1287"/>
      <c r="J1466" s="1287"/>
      <c r="K1466" s="1287"/>
      <c r="L1466" s="1287"/>
      <c r="M1466" s="1287"/>
      <c r="N1466" s="1287"/>
      <c r="O1466" s="1287"/>
      <c r="P1466" s="1287"/>
      <c r="Q1466" s="1287"/>
      <c r="R1466" s="1287"/>
      <c r="U1466" s="456"/>
    </row>
    <row r="1467" spans="1:21" ht="18.75" customHeight="1">
      <c r="A1467" s="849"/>
      <c r="E1467" s="1286" t="s">
        <v>779</v>
      </c>
      <c r="F1467" s="1286"/>
      <c r="G1467" s="1286"/>
      <c r="H1467" s="1286"/>
      <c r="I1467" s="1286"/>
      <c r="J1467" s="1286"/>
      <c r="K1467" s="1286"/>
      <c r="L1467" s="1286"/>
      <c r="M1467" s="1286"/>
      <c r="N1467" s="1286"/>
      <c r="O1467" s="1286"/>
      <c r="P1467" s="1286"/>
      <c r="Q1467" s="1286"/>
      <c r="R1467" s="1286"/>
      <c r="U1467" s="853"/>
    </row>
    <row r="1468" spans="1:21" ht="23.25" customHeight="1">
      <c r="A1468" s="854" t="s">
        <v>780</v>
      </c>
      <c r="B1468" s="855"/>
      <c r="C1468" s="855"/>
      <c r="D1468" s="856" t="s">
        <v>867</v>
      </c>
      <c r="E1468" s="857"/>
      <c r="F1468" s="858"/>
      <c r="G1468" s="859"/>
      <c r="H1468" s="859"/>
      <c r="I1468" s="859"/>
      <c r="J1468" s="859"/>
      <c r="K1468" s="859"/>
      <c r="L1468" s="860"/>
      <c r="M1468" s="1460"/>
      <c r="N1468" s="1460"/>
      <c r="O1468" s="1460"/>
      <c r="P1468" s="1461" t="s">
        <v>781</v>
      </c>
      <c r="Q1468" s="1461"/>
      <c r="R1468" s="1461"/>
      <c r="S1468" s="855"/>
      <c r="T1468" s="861">
        <v>46317</v>
      </c>
      <c r="U1468" s="456"/>
    </row>
    <row r="1469" spans="1:21" ht="23.25" customHeight="1">
      <c r="A1469" s="854"/>
      <c r="B1469" s="862"/>
      <c r="C1469" s="862"/>
      <c r="D1469" s="862"/>
      <c r="E1469" s="163"/>
      <c r="F1469" s="863"/>
      <c r="G1469" s="863"/>
      <c r="H1469" s="863"/>
      <c r="I1469" s="863"/>
      <c r="J1469" s="863"/>
      <c r="K1469" s="863"/>
      <c r="U1469" s="456"/>
    </row>
    <row r="1470" spans="1:21" ht="21" customHeight="1">
      <c r="A1470" s="864" t="s">
        <v>782</v>
      </c>
      <c r="B1470" s="865"/>
      <c r="C1470" s="866"/>
      <c r="D1470" s="867"/>
      <c r="E1470" s="868"/>
      <c r="F1470" s="869"/>
      <c r="G1470" s="869"/>
      <c r="H1470" s="869"/>
      <c r="I1470" s="870"/>
      <c r="J1470" s="870"/>
      <c r="P1470" s="1462"/>
      <c r="Q1470" s="1462"/>
      <c r="R1470" s="1462"/>
      <c r="S1470" s="1462"/>
      <c r="T1470" s="871"/>
      <c r="U1470" s="456"/>
    </row>
    <row r="1471" spans="1:21" ht="21" customHeight="1">
      <c r="A1471" s="872"/>
      <c r="B1471" s="873"/>
      <c r="C1471" s="869"/>
      <c r="D1471" s="869"/>
      <c r="E1471" s="869"/>
      <c r="F1471" s="869"/>
      <c r="G1471" s="869"/>
      <c r="H1471" s="869"/>
      <c r="I1471" s="870"/>
      <c r="J1471" s="870"/>
      <c r="U1471" s="456"/>
    </row>
    <row r="1472" spans="1:21" ht="15" customHeight="1">
      <c r="A1472" s="1463" t="s">
        <v>783</v>
      </c>
      <c r="B1472" s="1463"/>
      <c r="C1472" s="1463"/>
      <c r="D1472" s="1463"/>
      <c r="E1472" s="1463"/>
      <c r="F1472" s="1463"/>
      <c r="G1472" s="1463"/>
      <c r="H1472" s="1463"/>
      <c r="I1472" s="1463"/>
      <c r="J1472" s="1463"/>
      <c r="K1472" s="1463"/>
      <c r="L1472" s="1463"/>
      <c r="M1472" s="1463"/>
      <c r="N1472" s="1463"/>
      <c r="O1472" s="1463"/>
      <c r="P1472" s="1463"/>
      <c r="Q1472" s="1463"/>
      <c r="R1472" s="1463"/>
      <c r="S1472" s="1463"/>
      <c r="T1472" s="1463"/>
      <c r="U1472" s="1463"/>
    </row>
    <row r="1473" spans="1:21" ht="15" customHeight="1">
      <c r="A1473" s="1463"/>
      <c r="B1473" s="1463"/>
      <c r="C1473" s="1463"/>
      <c r="D1473" s="1463"/>
      <c r="E1473" s="1463"/>
      <c r="F1473" s="1463"/>
      <c r="G1473" s="1463"/>
      <c r="H1473" s="1463"/>
      <c r="I1473" s="1463"/>
      <c r="J1473" s="1463"/>
      <c r="K1473" s="1463"/>
      <c r="L1473" s="1463"/>
      <c r="M1473" s="1463"/>
      <c r="N1473" s="1463"/>
      <c r="O1473" s="1463"/>
      <c r="P1473" s="1463"/>
      <c r="Q1473" s="1463"/>
      <c r="R1473" s="1463"/>
      <c r="S1473" s="1463"/>
      <c r="T1473" s="1463"/>
      <c r="U1473" s="1463"/>
    </row>
    <row r="1474" spans="1:21" ht="18" customHeight="1">
      <c r="A1474" s="1464" t="s">
        <v>784</v>
      </c>
      <c r="B1474" s="1464"/>
      <c r="C1474" s="1464"/>
      <c r="D1474" s="1464"/>
      <c r="E1474" s="1464"/>
      <c r="F1474" s="1464"/>
      <c r="G1474" s="1464"/>
      <c r="H1474" s="1464"/>
      <c r="I1474" s="1464"/>
      <c r="J1474" s="1464"/>
      <c r="K1474" s="1464"/>
      <c r="L1474" s="1464"/>
      <c r="M1474" s="1464"/>
      <c r="N1474" s="1464"/>
      <c r="O1474" s="1464"/>
      <c r="P1474" s="1464"/>
      <c r="Q1474" s="1464"/>
      <c r="R1474" s="1464"/>
      <c r="S1474" s="1464"/>
      <c r="T1474" s="1464"/>
      <c r="U1474" s="1464"/>
    </row>
    <row r="1475" spans="1:21" ht="23.25" customHeight="1">
      <c r="A1475" s="1465" t="s">
        <v>785</v>
      </c>
      <c r="B1475" s="1465"/>
      <c r="C1475" s="1465"/>
      <c r="D1475" s="1465"/>
      <c r="E1475" s="1465"/>
      <c r="F1475" s="1465"/>
      <c r="G1475" s="1465"/>
      <c r="H1475" s="1465"/>
      <c r="I1475" s="1465"/>
      <c r="J1475" s="1465"/>
      <c r="K1475" s="1465"/>
      <c r="L1475" s="1465"/>
      <c r="M1475" s="1465"/>
      <c r="N1475" s="1465"/>
      <c r="O1475" s="1465"/>
      <c r="P1475" s="1465"/>
      <c r="Q1475" s="1465"/>
      <c r="R1475" s="1465"/>
      <c r="S1475" s="1465"/>
      <c r="T1475" s="1465"/>
      <c r="U1475" s="1465"/>
    </row>
    <row r="1476" spans="1:21" ht="21.75" customHeight="1">
      <c r="A1476" s="874"/>
      <c r="B1476" s="875"/>
      <c r="C1476" s="875"/>
      <c r="D1476" s="875"/>
      <c r="E1476" s="875"/>
      <c r="F1476" s="875"/>
      <c r="G1476" s="875"/>
      <c r="H1476" s="875"/>
      <c r="I1476" s="875"/>
      <c r="J1476" s="875"/>
      <c r="K1476" s="875"/>
      <c r="L1476" s="875"/>
      <c r="M1476" s="875"/>
      <c r="N1476" s="875"/>
      <c r="O1476" s="875"/>
      <c r="P1476" s="875"/>
      <c r="Q1476" s="875"/>
      <c r="R1476" s="875"/>
      <c r="S1476" s="875"/>
      <c r="T1476" s="875"/>
      <c r="U1476" s="876"/>
    </row>
    <row r="1477" spans="1:21" ht="15" customHeight="1">
      <c r="A1477" s="1466" t="s">
        <v>786</v>
      </c>
      <c r="B1477" s="1467" t="s">
        <v>787</v>
      </c>
      <c r="C1477" s="1468" t="s">
        <v>788</v>
      </c>
      <c r="D1477" s="1468" t="s">
        <v>789</v>
      </c>
      <c r="E1477" s="1469" t="s">
        <v>790</v>
      </c>
      <c r="F1477" s="1468" t="s">
        <v>791</v>
      </c>
      <c r="G1477" s="1468"/>
      <c r="H1477" s="1468"/>
      <c r="I1477" s="1468"/>
      <c r="J1477" s="1468"/>
      <c r="K1477" s="1468"/>
      <c r="L1477" s="1468"/>
      <c r="M1477" s="1468"/>
      <c r="N1477" s="1468"/>
      <c r="O1477" s="1468"/>
      <c r="P1477" s="1470"/>
      <c r="Q1477" s="1470"/>
      <c r="R1477" s="1470"/>
      <c r="S1477" s="1470"/>
      <c r="T1477" s="1470"/>
      <c r="U1477" s="1470"/>
    </row>
    <row r="1478" spans="1:21" ht="15.75" customHeight="1">
      <c r="A1478" s="1466"/>
      <c r="B1478" s="1467"/>
      <c r="C1478" s="1468"/>
      <c r="D1478" s="1468"/>
      <c r="E1478" s="1469"/>
      <c r="F1478" s="1468"/>
      <c r="G1478" s="1468"/>
      <c r="H1478" s="1468"/>
      <c r="I1478" s="1468"/>
      <c r="J1478" s="1468"/>
      <c r="K1478" s="1468"/>
      <c r="L1478" s="1468"/>
      <c r="M1478" s="1468"/>
      <c r="N1478" s="1468"/>
      <c r="O1478" s="1468"/>
      <c r="P1478" s="1470"/>
      <c r="Q1478" s="1470"/>
      <c r="R1478" s="1470"/>
      <c r="S1478" s="1470"/>
      <c r="T1478" s="1470"/>
      <c r="U1478" s="1470"/>
    </row>
    <row r="1479" spans="1:21" ht="48" customHeight="1">
      <c r="A1479" s="1466"/>
      <c r="B1479" s="1467"/>
      <c r="C1479" s="1468"/>
      <c r="D1479" s="1468"/>
      <c r="E1479" s="1469"/>
      <c r="F1479" s="878" t="s">
        <v>792</v>
      </c>
      <c r="G1479" s="877" t="s">
        <v>793</v>
      </c>
      <c r="H1479" s="878" t="s">
        <v>794</v>
      </c>
      <c r="I1479" s="879" t="s">
        <v>795</v>
      </c>
      <c r="J1479" s="880" t="s">
        <v>796</v>
      </c>
      <c r="K1479" s="1468" t="s">
        <v>797</v>
      </c>
      <c r="L1479" s="1468"/>
      <c r="M1479" s="1468"/>
      <c r="N1479" s="1468"/>
      <c r="O1479" s="1468"/>
      <c r="P1479" s="881" t="s">
        <v>798</v>
      </c>
      <c r="Q1479" s="882" t="s">
        <v>799</v>
      </c>
      <c r="R1479" s="1469" t="s">
        <v>800</v>
      </c>
      <c r="S1479" s="1469"/>
      <c r="T1479" s="877" t="s">
        <v>801</v>
      </c>
      <c r="U1479" s="879" t="s">
        <v>104</v>
      </c>
    </row>
    <row r="1480" spans="1:21" ht="19.5" customHeight="1">
      <c r="A1480" s="883"/>
      <c r="B1480" s="884" t="str">
        <f>IF('BIS Doc'!AC691=130, "130 × 130", IF('BIS Doc'!AC691=160, "160 × 160", IF('BIS Doc'!AC691=110, "110 × 110", "Value not 130, 160, or 110")))</f>
        <v>Value not 130, 160, or 110</v>
      </c>
      <c r="C1480" s="885">
        <f>'BIS Doc'!W691</f>
        <v>0</v>
      </c>
      <c r="D1480" s="886"/>
      <c r="E1480" s="887">
        <f>'BIS Doc'!AE691</f>
        <v>0</v>
      </c>
      <c r="F1480" s="888">
        <f ca="1">'BIS Doc'!F691</f>
        <v>0</v>
      </c>
      <c r="G1480" s="888">
        <f ca="1">'BIS Doc'!J691</f>
        <v>0</v>
      </c>
      <c r="H1480" s="888">
        <f ca="1">'BIS Doc'!G691</f>
        <v>0.53833671017189166</v>
      </c>
      <c r="I1480" s="889">
        <f ca="1">'BIS Doc'!H691</f>
        <v>0</v>
      </c>
      <c r="J1480" s="889">
        <f ca="1">'BIS Doc'!I691</f>
        <v>0</v>
      </c>
      <c r="K1480" s="1449" t="str">
        <f t="shared" ref="K1480:K1485" ca="1" si="42">IF(H1480&lt;0.6, "IS 14650 CPS 10748/GR2", "IS 14650 CPS 10748/GR3")</f>
        <v>IS 14650 CPS 10748/GR2</v>
      </c>
      <c r="L1480" s="1449"/>
      <c r="M1480" s="1449"/>
      <c r="N1480" s="1449"/>
      <c r="O1480" s="1449"/>
      <c r="P1480" s="890"/>
      <c r="Q1480" s="891"/>
      <c r="R1480" s="1449"/>
      <c r="S1480" s="1449"/>
      <c r="T1480" s="892"/>
      <c r="U1480" s="1450" t="s">
        <v>802</v>
      </c>
    </row>
    <row r="1481" spans="1:21" ht="19.5" customHeight="1">
      <c r="A1481" s="893"/>
      <c r="B1481" s="894" t="str">
        <f>IF('BIS Doc'!AC693=130, "130 × 130", IF('BIS Doc'!AC693=160, "160 × 160", IF('BIS Doc'!AC693=110, "110 × 110", "Value not 130, 160, or 110")))</f>
        <v>Value not 130, 160, or 110</v>
      </c>
      <c r="C1481" s="895">
        <f>'BIS Doc'!W693</f>
        <v>0</v>
      </c>
      <c r="D1481" s="896"/>
      <c r="E1481" s="897">
        <f>'BIS Doc'!AE693</f>
        <v>0</v>
      </c>
      <c r="F1481" s="898">
        <f ca="1">'BIS Doc'!F693</f>
        <v>0</v>
      </c>
      <c r="G1481" s="899">
        <f ca="1">'BIS Doc'!J693</f>
        <v>0</v>
      </c>
      <c r="H1481" s="900">
        <f ca="1">'BIS Doc'!G693</f>
        <v>0.50402595478920731</v>
      </c>
      <c r="I1481" s="901">
        <f ca="1">'BIS Doc'!H693</f>
        <v>0</v>
      </c>
      <c r="J1481" s="901">
        <f ca="1">'BIS Doc'!I693</f>
        <v>0</v>
      </c>
      <c r="K1481" s="1451" t="str">
        <f t="shared" ca="1" si="42"/>
        <v>IS 14650 CPS 10748/GR2</v>
      </c>
      <c r="L1481" s="1451"/>
      <c r="M1481" s="1451"/>
      <c r="N1481" s="1451"/>
      <c r="O1481" s="1451"/>
      <c r="P1481" s="902"/>
      <c r="Q1481" s="903"/>
      <c r="R1481" s="1451"/>
      <c r="S1481" s="1451"/>
      <c r="T1481" s="904"/>
      <c r="U1481" s="1450"/>
    </row>
    <row r="1482" spans="1:21" ht="19.5" customHeight="1">
      <c r="A1482" s="864"/>
      <c r="B1482" s="894" t="str">
        <f>IF('BIS Doc'!AC695=130, "130 × 130", IF('BIS Doc'!AC695=160, "160 × 160", IF('BIS Doc'!AC695=110, "110 × 110", "Value not 130, 160, or 110")))</f>
        <v>Value not 130, 160, or 110</v>
      </c>
      <c r="C1482" s="895">
        <f>'BIS Doc'!W695</f>
        <v>0</v>
      </c>
      <c r="D1482" s="896" t="s">
        <v>803</v>
      </c>
      <c r="E1482" s="897">
        <f>'BIS Doc'!AE695</f>
        <v>0</v>
      </c>
      <c r="F1482" s="898">
        <f ca="1">'BIS Doc'!F695</f>
        <v>0</v>
      </c>
      <c r="G1482" s="899">
        <f ca="1">'BIS Doc'!J695</f>
        <v>0</v>
      </c>
      <c r="H1482" s="900">
        <f ca="1">'BIS Doc'!G695</f>
        <v>0.50304065415779253</v>
      </c>
      <c r="I1482" s="901">
        <f ca="1">'BIS Doc'!H695</f>
        <v>0</v>
      </c>
      <c r="J1482" s="901">
        <f ca="1">'BIS Doc'!I695</f>
        <v>0</v>
      </c>
      <c r="K1482" s="1451" t="str">
        <f t="shared" ca="1" si="42"/>
        <v>IS 14650 CPS 10748/GR2</v>
      </c>
      <c r="L1482" s="1451"/>
      <c r="M1482" s="1451"/>
      <c r="N1482" s="1451"/>
      <c r="O1482" s="1451"/>
      <c r="P1482" s="902"/>
      <c r="Q1482" s="905"/>
      <c r="R1482" s="1451"/>
      <c r="S1482" s="1451"/>
      <c r="T1482" s="904"/>
      <c r="U1482" s="1450"/>
    </row>
    <row r="1483" spans="1:21" ht="19.5" customHeight="1">
      <c r="A1483" s="864"/>
      <c r="B1483" s="894" t="str">
        <f>IF('BIS Doc'!AC697=130, "130 × 130", IF('BIS Doc'!AC697=160, "160 × 160", IF('BIS Doc'!AC697=110, "110 × 110", "Value not 130, 160, or 110")))</f>
        <v>Value not 130, 160, or 110</v>
      </c>
      <c r="C1483" s="895">
        <f>'BIS Doc'!W697</f>
        <v>0</v>
      </c>
      <c r="D1483" s="896"/>
      <c r="E1483" s="897">
        <f>'BIS Doc'!AE697</f>
        <v>0</v>
      </c>
      <c r="F1483" s="898">
        <f ca="1">'BIS Doc'!F697</f>
        <v>0</v>
      </c>
      <c r="G1483" s="899">
        <f ca="1">'BIS Doc'!J697</f>
        <v>0</v>
      </c>
      <c r="H1483" s="900">
        <f ca="1">'BIS Doc'!G697</f>
        <v>0.50857099974060471</v>
      </c>
      <c r="I1483" s="901">
        <f ca="1">'BIS Doc'!H697</f>
        <v>0</v>
      </c>
      <c r="J1483" s="901">
        <f ca="1">'BIS Doc'!I697</f>
        <v>0</v>
      </c>
      <c r="K1483" s="1451" t="str">
        <f t="shared" ca="1" si="42"/>
        <v>IS 14650 CPS 10748/GR2</v>
      </c>
      <c r="L1483" s="1451"/>
      <c r="M1483" s="1451"/>
      <c r="N1483" s="1451"/>
      <c r="O1483" s="1451"/>
      <c r="P1483" s="902"/>
      <c r="Q1483" s="905"/>
      <c r="R1483" s="1451"/>
      <c r="S1483" s="1451"/>
      <c r="T1483" s="904"/>
      <c r="U1483" s="1450"/>
    </row>
    <row r="1484" spans="1:21" ht="19.5" customHeight="1">
      <c r="A1484" s="864"/>
      <c r="B1484" s="894" t="str">
        <f>IF('BIS Doc'!AC699=130, "130 × 130", IF('BIS Doc'!AC699=160, "160 × 160", IF('BIS Doc'!AC699=110, "110 × 110", "Value not 130, 160, or 110")))</f>
        <v>Value not 130, 160, or 110</v>
      </c>
      <c r="C1484" s="895">
        <f>'BIS Doc'!W699</f>
        <v>0</v>
      </c>
      <c r="D1484" s="896"/>
      <c r="E1484" s="897">
        <f>'BIS Doc'!AE699</f>
        <v>0</v>
      </c>
      <c r="F1484" s="898">
        <f ca="1">'BIS Doc'!F699</f>
        <v>0</v>
      </c>
      <c r="G1484" s="899">
        <f ca="1">'BIS Doc'!J699</f>
        <v>0</v>
      </c>
      <c r="H1484" s="900">
        <f ca="1">'BIS Doc'!G699</f>
        <v>0.50494766263429358</v>
      </c>
      <c r="I1484" s="901">
        <f ca="1">'BIS Doc'!H699</f>
        <v>0</v>
      </c>
      <c r="J1484" s="901">
        <f ca="1">'BIS Doc'!I699</f>
        <v>0</v>
      </c>
      <c r="K1484" s="1451" t="str">
        <f t="shared" ca="1" si="42"/>
        <v>IS 14650 CPS 10748/GR2</v>
      </c>
      <c r="L1484" s="1451"/>
      <c r="M1484" s="1451"/>
      <c r="N1484" s="1451"/>
      <c r="O1484" s="1451"/>
      <c r="P1484" s="902"/>
      <c r="Q1484" s="905"/>
      <c r="R1484" s="1451"/>
      <c r="S1484" s="1451"/>
      <c r="T1484" s="904"/>
      <c r="U1484" s="1450"/>
    </row>
    <row r="1485" spans="1:21" ht="19.5" customHeight="1">
      <c r="A1485" s="864"/>
      <c r="B1485" s="894" t="str">
        <f>IF('BIS Doc'!AC701=130, "130 × 130", IF('BIS Doc'!AC701=160, "160 × 160", IF('BIS Doc'!AC701=110, "110 × 110", "Value not 130, 160, or 110")))</f>
        <v>Value not 130, 160, or 110</v>
      </c>
      <c r="C1485" s="895">
        <f>'BIS Doc'!W701</f>
        <v>0</v>
      </c>
      <c r="D1485" s="896"/>
      <c r="E1485" s="897">
        <f>'BIS Doc'!AE701</f>
        <v>0</v>
      </c>
      <c r="F1485" s="898">
        <f ca="1">'BIS Doc'!F701</f>
        <v>0</v>
      </c>
      <c r="G1485" s="899">
        <f ca="1">'BIS Doc'!J701</f>
        <v>0</v>
      </c>
      <c r="H1485" s="900">
        <f ca="1">'BIS Doc'!G701</f>
        <v>0.53308958318022892</v>
      </c>
      <c r="I1485" s="901">
        <f ca="1">'BIS Doc'!H701</f>
        <v>0</v>
      </c>
      <c r="J1485" s="901">
        <f ca="1">'BIS Doc'!I701</f>
        <v>0</v>
      </c>
      <c r="K1485" s="1451" t="str">
        <f t="shared" ca="1" si="42"/>
        <v>IS 14650 CPS 10748/GR2</v>
      </c>
      <c r="L1485" s="1451"/>
      <c r="M1485" s="1451"/>
      <c r="N1485" s="1451"/>
      <c r="O1485" s="1451"/>
      <c r="P1485" s="902"/>
      <c r="Q1485" s="903"/>
      <c r="R1485" s="1451"/>
      <c r="S1485" s="1451"/>
      <c r="T1485" s="904"/>
      <c r="U1485" s="1450"/>
    </row>
    <row r="1486" spans="1:21" ht="19.5" customHeight="1">
      <c r="A1486" s="864"/>
      <c r="B1486" s="904"/>
      <c r="C1486" s="895"/>
      <c r="D1486" s="896"/>
      <c r="E1486" s="897"/>
      <c r="F1486" s="906"/>
      <c r="G1486" s="907"/>
      <c r="H1486" s="908"/>
      <c r="I1486" s="909"/>
      <c r="J1486" s="909"/>
      <c r="K1486" s="1451"/>
      <c r="L1486" s="1451"/>
      <c r="M1486" s="1451"/>
      <c r="N1486" s="1451"/>
      <c r="O1486" s="1451"/>
      <c r="P1486" s="902"/>
      <c r="Q1486" s="903"/>
      <c r="R1486" s="1451"/>
      <c r="S1486" s="1451"/>
      <c r="T1486" s="904"/>
      <c r="U1486" s="1450"/>
    </row>
    <row r="1487" spans="1:21" ht="19.5" customHeight="1">
      <c r="A1487" s="864"/>
      <c r="B1487" s="904"/>
      <c r="C1487" s="895"/>
      <c r="D1487" s="896"/>
      <c r="E1487" s="897"/>
      <c r="F1487" s="906"/>
      <c r="G1487" s="907"/>
      <c r="H1487" s="908"/>
      <c r="I1487" s="909"/>
      <c r="J1487" s="909"/>
      <c r="K1487" s="1451"/>
      <c r="L1487" s="1451"/>
      <c r="M1487" s="1451"/>
      <c r="N1487" s="1451"/>
      <c r="O1487" s="1451"/>
      <c r="P1487" s="902"/>
      <c r="Q1487" s="905"/>
      <c r="R1487" s="1451"/>
      <c r="S1487" s="1451"/>
      <c r="T1487" s="904"/>
      <c r="U1487" s="1450"/>
    </row>
    <row r="1488" spans="1:21" ht="19.5" customHeight="1">
      <c r="A1488" s="864"/>
      <c r="B1488" s="910"/>
      <c r="C1488" s="911"/>
      <c r="D1488" s="896"/>
      <c r="E1488" s="897"/>
      <c r="F1488" s="906"/>
      <c r="G1488" s="907"/>
      <c r="H1488" s="908"/>
      <c r="I1488" s="909"/>
      <c r="J1488" s="909"/>
      <c r="K1488" s="1451"/>
      <c r="L1488" s="1451"/>
      <c r="M1488" s="1451"/>
      <c r="N1488" s="1451"/>
      <c r="O1488" s="1451"/>
      <c r="P1488" s="912"/>
      <c r="Q1488" s="913"/>
      <c r="R1488" s="1452"/>
      <c r="S1488" s="1452"/>
      <c r="T1488" s="910"/>
      <c r="U1488" s="1450"/>
    </row>
    <row r="1489" spans="1:21" ht="19.5" customHeight="1">
      <c r="A1489" s="914"/>
      <c r="B1489" s="915"/>
      <c r="C1489" s="916"/>
      <c r="D1489" s="917"/>
      <c r="E1489" s="918">
        <f>SUM(E1480:E1485)</f>
        <v>0</v>
      </c>
      <c r="F1489" s="919"/>
      <c r="G1489" s="920"/>
      <c r="H1489" s="921"/>
      <c r="I1489" s="922"/>
      <c r="J1489" s="922"/>
      <c r="K1489" s="1453"/>
      <c r="L1489" s="1453"/>
      <c r="M1489" s="1453"/>
      <c r="N1489" s="1453"/>
      <c r="O1489" s="1453"/>
      <c r="P1489" s="923"/>
      <c r="Q1489" s="924"/>
      <c r="R1489" s="1454"/>
      <c r="S1489" s="1454"/>
      <c r="T1489" s="915"/>
      <c r="U1489" s="1450"/>
    </row>
    <row r="1490" spans="1:21" ht="15.75" customHeight="1">
      <c r="A1490" s="864"/>
      <c r="B1490" s="773"/>
      <c r="C1490" s="773"/>
      <c r="D1490" s="925"/>
      <c r="E1490" s="926"/>
      <c r="F1490" s="927"/>
      <c r="G1490" s="928"/>
      <c r="H1490" s="259"/>
      <c r="I1490" s="259"/>
      <c r="J1490" s="928"/>
      <c r="K1490" s="929"/>
      <c r="L1490" s="929"/>
      <c r="M1490" s="929"/>
      <c r="N1490" s="929"/>
      <c r="O1490" s="928"/>
      <c r="P1490" s="930"/>
      <c r="Q1490" s="931"/>
      <c r="R1490" s="931"/>
      <c r="U1490" s="932"/>
    </row>
    <row r="1491" spans="1:21" ht="18.75" customHeight="1">
      <c r="A1491" s="864"/>
      <c r="B1491" s="773"/>
      <c r="C1491" s="773"/>
      <c r="D1491" s="773"/>
      <c r="E1491" s="773"/>
      <c r="F1491" s="773"/>
      <c r="G1491" s="773"/>
      <c r="H1491" s="773"/>
      <c r="I1491" s="773"/>
      <c r="J1491" s="773"/>
      <c r="K1491" s="773"/>
      <c r="P1491" s="1446" t="s">
        <v>804</v>
      </c>
      <c r="Q1491" s="1446"/>
      <c r="R1491" s="1446"/>
      <c r="S1491" s="1446"/>
      <c r="T1491" s="1446"/>
      <c r="U1491" s="1446"/>
    </row>
    <row r="1492" spans="1:21" ht="18.75" customHeight="1">
      <c r="A1492" s="1447" t="s">
        <v>805</v>
      </c>
      <c r="B1492" s="1447"/>
      <c r="C1492" s="933"/>
      <c r="D1492" s="933"/>
      <c r="E1492" s="933"/>
      <c r="F1492" s="933"/>
      <c r="P1492" s="855"/>
      <c r="Q1492" s="855"/>
      <c r="R1492" s="855"/>
      <c r="S1492" s="855"/>
      <c r="T1492" s="855"/>
      <c r="U1492" s="934"/>
    </row>
    <row r="1493" spans="1:21" ht="18.75" customHeight="1">
      <c r="A1493" s="854"/>
      <c r="B1493" s="855"/>
      <c r="P1493" s="855"/>
      <c r="Q1493" s="855"/>
      <c r="R1493" s="855"/>
      <c r="S1493" s="855"/>
      <c r="T1493" s="855"/>
      <c r="U1493" s="934"/>
    </row>
    <row r="1494" spans="1:21" ht="18.75" customHeight="1">
      <c r="A1494" s="854" t="s">
        <v>806</v>
      </c>
      <c r="B1494" s="855"/>
      <c r="C1494" s="867"/>
      <c r="D1494" s="941"/>
      <c r="E1494" s="933"/>
      <c r="F1494" s="933"/>
      <c r="P1494" s="855"/>
      <c r="Q1494" s="855"/>
      <c r="R1494" s="855"/>
      <c r="S1494" s="855"/>
      <c r="T1494" s="855"/>
      <c r="U1494" s="934"/>
    </row>
    <row r="1495" spans="1:21" ht="18.75" customHeight="1">
      <c r="A1495" s="854"/>
      <c r="B1495" s="855"/>
      <c r="C1495" s="937"/>
      <c r="P1495" s="855"/>
      <c r="Q1495" s="855"/>
      <c r="R1495" s="855"/>
      <c r="S1495" s="855"/>
      <c r="T1495" s="855"/>
      <c r="U1495" s="934"/>
    </row>
    <row r="1496" spans="1:21" ht="19.5" customHeight="1">
      <c r="A1496" s="938"/>
      <c r="B1496" s="939"/>
      <c r="C1496" s="940"/>
      <c r="D1496" s="453"/>
      <c r="E1496" s="453"/>
      <c r="F1496" s="453"/>
      <c r="G1496" s="453"/>
      <c r="H1496" s="453"/>
      <c r="I1496" s="453"/>
      <c r="J1496" s="453"/>
      <c r="K1496" s="453"/>
      <c r="L1496" s="453"/>
      <c r="M1496" s="453"/>
      <c r="N1496" s="453"/>
      <c r="O1496" s="453"/>
      <c r="P1496" s="1448" t="s">
        <v>807</v>
      </c>
      <c r="Q1496" s="1448"/>
      <c r="R1496" s="1448"/>
      <c r="S1496" s="1448"/>
      <c r="T1496" s="1448"/>
      <c r="U1496" s="1448"/>
    </row>
    <row r="1497" spans="1:21" ht="45.75" customHeight="1">
      <c r="A1497" s="1455"/>
      <c r="B1497" s="1455"/>
      <c r="C1497" s="1455"/>
      <c r="D1497" s="847"/>
      <c r="E1497" s="1456" t="s">
        <v>774</v>
      </c>
      <c r="F1497" s="1456"/>
      <c r="G1497" s="1456"/>
      <c r="H1497" s="1456"/>
      <c r="I1497" s="1456"/>
      <c r="J1497" s="1456"/>
      <c r="K1497" s="1456"/>
      <c r="L1497" s="1456"/>
      <c r="M1497" s="1456"/>
      <c r="N1497" s="1456"/>
      <c r="O1497" s="1456"/>
      <c r="P1497" s="1456"/>
      <c r="Q1497" s="1456"/>
      <c r="R1497" s="1456"/>
      <c r="S1497" s="848"/>
      <c r="T1497" s="1457" t="s">
        <v>775</v>
      </c>
      <c r="U1497" s="1457"/>
    </row>
    <row r="1498" spans="1:21" ht="18.75" customHeight="1">
      <c r="A1498" s="849"/>
      <c r="E1498" s="1458" t="s">
        <v>776</v>
      </c>
      <c r="F1498" s="1458"/>
      <c r="G1498" s="1458"/>
      <c r="H1498" s="1458"/>
      <c r="I1498" s="1458"/>
      <c r="J1498" s="1458"/>
      <c r="K1498" s="1458"/>
      <c r="L1498" s="1458"/>
      <c r="M1498" s="1458"/>
      <c r="N1498" s="1458"/>
      <c r="O1498" s="1458"/>
      <c r="P1498" s="1458"/>
      <c r="Q1498" s="1458"/>
      <c r="R1498" s="1458"/>
      <c r="U1498" s="456"/>
    </row>
    <row r="1499" spans="1:21" ht="18.75" customHeight="1">
      <c r="A1499" s="850"/>
      <c r="F1499" s="587"/>
      <c r="G1499" s="587"/>
      <c r="H1499" s="587"/>
      <c r="I1499" s="587"/>
      <c r="J1499" s="587"/>
      <c r="K1499" s="587"/>
      <c r="L1499" s="587"/>
      <c r="M1499" s="851"/>
      <c r="N1499" s="852"/>
      <c r="O1499" s="851"/>
      <c r="P1499" s="1459" t="s">
        <v>777</v>
      </c>
      <c r="Q1499" s="1459"/>
      <c r="R1499" s="1459"/>
      <c r="S1499" s="1459"/>
      <c r="T1499" s="1459"/>
      <c r="U1499" s="1459"/>
    </row>
    <row r="1500" spans="1:21" ht="15" customHeight="1">
      <c r="A1500" s="849"/>
      <c r="E1500" s="1287" t="s">
        <v>778</v>
      </c>
      <c r="F1500" s="1287"/>
      <c r="G1500" s="1287"/>
      <c r="H1500" s="1287"/>
      <c r="I1500" s="1287"/>
      <c r="J1500" s="1287"/>
      <c r="K1500" s="1287"/>
      <c r="L1500" s="1287"/>
      <c r="M1500" s="1287"/>
      <c r="N1500" s="1287"/>
      <c r="O1500" s="1287"/>
      <c r="P1500" s="1287"/>
      <c r="Q1500" s="1287"/>
      <c r="R1500" s="1287"/>
      <c r="U1500" s="456"/>
    </row>
    <row r="1501" spans="1:21" ht="18.75" customHeight="1">
      <c r="A1501" s="849"/>
      <c r="E1501" s="1286" t="s">
        <v>779</v>
      </c>
      <c r="F1501" s="1286"/>
      <c r="G1501" s="1286"/>
      <c r="H1501" s="1286"/>
      <c r="I1501" s="1286"/>
      <c r="J1501" s="1286"/>
      <c r="K1501" s="1286"/>
      <c r="L1501" s="1286"/>
      <c r="M1501" s="1286"/>
      <c r="N1501" s="1286"/>
      <c r="O1501" s="1286"/>
      <c r="P1501" s="1286"/>
      <c r="Q1501" s="1286"/>
      <c r="R1501" s="1286"/>
      <c r="U1501" s="853"/>
    </row>
    <row r="1502" spans="1:21" ht="23.25" customHeight="1">
      <c r="A1502" s="854" t="s">
        <v>780</v>
      </c>
      <c r="B1502" s="855"/>
      <c r="C1502" s="855"/>
      <c r="D1502" s="856" t="s">
        <v>868</v>
      </c>
      <c r="E1502" s="857"/>
      <c r="F1502" s="858"/>
      <c r="G1502" s="859"/>
      <c r="H1502" s="859"/>
      <c r="I1502" s="859"/>
      <c r="J1502" s="859"/>
      <c r="K1502" s="859"/>
      <c r="L1502" s="860"/>
      <c r="M1502" s="1460"/>
      <c r="N1502" s="1460"/>
      <c r="O1502" s="1460"/>
      <c r="P1502" s="1461" t="s">
        <v>781</v>
      </c>
      <c r="Q1502" s="1461"/>
      <c r="R1502" s="1461"/>
      <c r="S1502" s="855"/>
      <c r="T1502" s="861">
        <v>46318</v>
      </c>
      <c r="U1502" s="456"/>
    </row>
    <row r="1503" spans="1:21" ht="23.25" customHeight="1">
      <c r="A1503" s="854"/>
      <c r="B1503" s="862"/>
      <c r="C1503" s="862"/>
      <c r="D1503" s="862"/>
      <c r="E1503" s="163"/>
      <c r="F1503" s="863"/>
      <c r="G1503" s="863"/>
      <c r="H1503" s="863"/>
      <c r="I1503" s="863"/>
      <c r="J1503" s="863"/>
      <c r="K1503" s="863"/>
      <c r="U1503" s="456"/>
    </row>
    <row r="1504" spans="1:21" ht="21" customHeight="1">
      <c r="A1504" s="864" t="s">
        <v>782</v>
      </c>
      <c r="B1504" s="865"/>
      <c r="C1504" s="866"/>
      <c r="D1504" s="867"/>
      <c r="E1504" s="868"/>
      <c r="F1504" s="869"/>
      <c r="G1504" s="869"/>
      <c r="H1504" s="869"/>
      <c r="I1504" s="870"/>
      <c r="J1504" s="870"/>
      <c r="P1504" s="1462"/>
      <c r="Q1504" s="1462"/>
      <c r="R1504" s="1462"/>
      <c r="S1504" s="1462"/>
      <c r="T1504" s="871"/>
      <c r="U1504" s="456"/>
    </row>
    <row r="1505" spans="1:21" ht="21" customHeight="1">
      <c r="A1505" s="872"/>
      <c r="B1505" s="873"/>
      <c r="C1505" s="869"/>
      <c r="D1505" s="869"/>
      <c r="E1505" s="869"/>
      <c r="F1505" s="869"/>
      <c r="G1505" s="869"/>
      <c r="H1505" s="869"/>
      <c r="I1505" s="870"/>
      <c r="J1505" s="870"/>
      <c r="U1505" s="456"/>
    </row>
    <row r="1506" spans="1:21" ht="15" customHeight="1">
      <c r="A1506" s="1463" t="s">
        <v>783</v>
      </c>
      <c r="B1506" s="1463"/>
      <c r="C1506" s="1463"/>
      <c r="D1506" s="1463"/>
      <c r="E1506" s="1463"/>
      <c r="F1506" s="1463"/>
      <c r="G1506" s="1463"/>
      <c r="H1506" s="1463"/>
      <c r="I1506" s="1463"/>
      <c r="J1506" s="1463"/>
      <c r="K1506" s="1463"/>
      <c r="L1506" s="1463"/>
      <c r="M1506" s="1463"/>
      <c r="N1506" s="1463"/>
      <c r="O1506" s="1463"/>
      <c r="P1506" s="1463"/>
      <c r="Q1506" s="1463"/>
      <c r="R1506" s="1463"/>
      <c r="S1506" s="1463"/>
      <c r="T1506" s="1463"/>
      <c r="U1506" s="1463"/>
    </row>
    <row r="1507" spans="1:21" ht="15" customHeight="1">
      <c r="A1507" s="1463"/>
      <c r="B1507" s="1463"/>
      <c r="C1507" s="1463"/>
      <c r="D1507" s="1463"/>
      <c r="E1507" s="1463"/>
      <c r="F1507" s="1463"/>
      <c r="G1507" s="1463"/>
      <c r="H1507" s="1463"/>
      <c r="I1507" s="1463"/>
      <c r="J1507" s="1463"/>
      <c r="K1507" s="1463"/>
      <c r="L1507" s="1463"/>
      <c r="M1507" s="1463"/>
      <c r="N1507" s="1463"/>
      <c r="O1507" s="1463"/>
      <c r="P1507" s="1463"/>
      <c r="Q1507" s="1463"/>
      <c r="R1507" s="1463"/>
      <c r="S1507" s="1463"/>
      <c r="T1507" s="1463"/>
      <c r="U1507" s="1463"/>
    </row>
    <row r="1508" spans="1:21" ht="18" customHeight="1">
      <c r="A1508" s="1464" t="s">
        <v>784</v>
      </c>
      <c r="B1508" s="1464"/>
      <c r="C1508" s="1464"/>
      <c r="D1508" s="1464"/>
      <c r="E1508" s="1464"/>
      <c r="F1508" s="1464"/>
      <c r="G1508" s="1464"/>
      <c r="H1508" s="1464"/>
      <c r="I1508" s="1464"/>
      <c r="J1508" s="1464"/>
      <c r="K1508" s="1464"/>
      <c r="L1508" s="1464"/>
      <c r="M1508" s="1464"/>
      <c r="N1508" s="1464"/>
      <c r="O1508" s="1464"/>
      <c r="P1508" s="1464"/>
      <c r="Q1508" s="1464"/>
      <c r="R1508" s="1464"/>
      <c r="S1508" s="1464"/>
      <c r="T1508" s="1464"/>
      <c r="U1508" s="1464"/>
    </row>
    <row r="1509" spans="1:21" ht="23.25" customHeight="1">
      <c r="A1509" s="1465" t="s">
        <v>785</v>
      </c>
      <c r="B1509" s="1465"/>
      <c r="C1509" s="1465"/>
      <c r="D1509" s="1465"/>
      <c r="E1509" s="1465"/>
      <c r="F1509" s="1465"/>
      <c r="G1509" s="1465"/>
      <c r="H1509" s="1465"/>
      <c r="I1509" s="1465"/>
      <c r="J1509" s="1465"/>
      <c r="K1509" s="1465"/>
      <c r="L1509" s="1465"/>
      <c r="M1509" s="1465"/>
      <c r="N1509" s="1465"/>
      <c r="O1509" s="1465"/>
      <c r="P1509" s="1465"/>
      <c r="Q1509" s="1465"/>
      <c r="R1509" s="1465"/>
      <c r="S1509" s="1465"/>
      <c r="T1509" s="1465"/>
      <c r="U1509" s="1465"/>
    </row>
    <row r="1510" spans="1:21" ht="21.75" customHeight="1">
      <c r="A1510" s="874"/>
      <c r="B1510" s="875"/>
      <c r="C1510" s="875"/>
      <c r="D1510" s="875"/>
      <c r="E1510" s="875"/>
      <c r="F1510" s="875"/>
      <c r="G1510" s="875"/>
      <c r="H1510" s="875"/>
      <c r="I1510" s="875"/>
      <c r="J1510" s="875"/>
      <c r="K1510" s="875"/>
      <c r="L1510" s="875"/>
      <c r="M1510" s="875"/>
      <c r="N1510" s="875"/>
      <c r="O1510" s="875"/>
      <c r="P1510" s="875"/>
      <c r="Q1510" s="875"/>
      <c r="R1510" s="875"/>
      <c r="S1510" s="875"/>
      <c r="T1510" s="875"/>
      <c r="U1510" s="876"/>
    </row>
    <row r="1511" spans="1:21" ht="15" customHeight="1">
      <c r="A1511" s="1466" t="s">
        <v>786</v>
      </c>
      <c r="B1511" s="1467" t="s">
        <v>787</v>
      </c>
      <c r="C1511" s="1468" t="s">
        <v>788</v>
      </c>
      <c r="D1511" s="1468" t="s">
        <v>789</v>
      </c>
      <c r="E1511" s="1469" t="s">
        <v>790</v>
      </c>
      <c r="F1511" s="1468" t="s">
        <v>791</v>
      </c>
      <c r="G1511" s="1468"/>
      <c r="H1511" s="1468"/>
      <c r="I1511" s="1468"/>
      <c r="J1511" s="1468"/>
      <c r="K1511" s="1468"/>
      <c r="L1511" s="1468"/>
      <c r="M1511" s="1468"/>
      <c r="N1511" s="1468"/>
      <c r="O1511" s="1468"/>
      <c r="P1511" s="1470"/>
      <c r="Q1511" s="1470"/>
      <c r="R1511" s="1470"/>
      <c r="S1511" s="1470"/>
      <c r="T1511" s="1470"/>
      <c r="U1511" s="1470"/>
    </row>
    <row r="1512" spans="1:21" ht="15.75" customHeight="1">
      <c r="A1512" s="1466"/>
      <c r="B1512" s="1467"/>
      <c r="C1512" s="1468"/>
      <c r="D1512" s="1468"/>
      <c r="E1512" s="1469"/>
      <c r="F1512" s="1468"/>
      <c r="G1512" s="1468"/>
      <c r="H1512" s="1468"/>
      <c r="I1512" s="1468"/>
      <c r="J1512" s="1468"/>
      <c r="K1512" s="1468"/>
      <c r="L1512" s="1468"/>
      <c r="M1512" s="1468"/>
      <c r="N1512" s="1468"/>
      <c r="O1512" s="1468"/>
      <c r="P1512" s="1470"/>
      <c r="Q1512" s="1470"/>
      <c r="R1512" s="1470"/>
      <c r="S1512" s="1470"/>
      <c r="T1512" s="1470"/>
      <c r="U1512" s="1470"/>
    </row>
    <row r="1513" spans="1:21" ht="48" customHeight="1">
      <c r="A1513" s="1466"/>
      <c r="B1513" s="1467"/>
      <c r="C1513" s="1468"/>
      <c r="D1513" s="1468"/>
      <c r="E1513" s="1469"/>
      <c r="F1513" s="878" t="s">
        <v>792</v>
      </c>
      <c r="G1513" s="877" t="s">
        <v>793</v>
      </c>
      <c r="H1513" s="878" t="s">
        <v>794</v>
      </c>
      <c r="I1513" s="879" t="s">
        <v>795</v>
      </c>
      <c r="J1513" s="880" t="s">
        <v>796</v>
      </c>
      <c r="K1513" s="1468" t="s">
        <v>797</v>
      </c>
      <c r="L1513" s="1468"/>
      <c r="M1513" s="1468"/>
      <c r="N1513" s="1468"/>
      <c r="O1513" s="1468"/>
      <c r="P1513" s="881" t="s">
        <v>798</v>
      </c>
      <c r="Q1513" s="882" t="s">
        <v>799</v>
      </c>
      <c r="R1513" s="1469" t="s">
        <v>800</v>
      </c>
      <c r="S1513" s="1469"/>
      <c r="T1513" s="877" t="s">
        <v>801</v>
      </c>
      <c r="U1513" s="879" t="s">
        <v>104</v>
      </c>
    </row>
    <row r="1514" spans="1:21" ht="19.5" customHeight="1">
      <c r="A1514" s="883"/>
      <c r="B1514" s="884" t="str">
        <f>IF('BIS Doc'!AC711=130, "130 × 130", IF('BIS Doc'!AC711=160, "160 × 160", IF('BIS Doc'!AC711=110, "110 × 110", "Value not 130, 160, or 110")))</f>
        <v>Value not 130, 160, or 110</v>
      </c>
      <c r="C1514" s="885">
        <f>'BIS Doc'!W711</f>
        <v>0</v>
      </c>
      <c r="D1514" s="886"/>
      <c r="E1514" s="887">
        <f>'BIS Doc'!AE711</f>
        <v>0</v>
      </c>
      <c r="F1514" s="888">
        <f ca="1">'BIS Doc'!F711</f>
        <v>0</v>
      </c>
      <c r="G1514" s="888">
        <f ca="1">'BIS Doc'!J711</f>
        <v>0</v>
      </c>
      <c r="H1514" s="888">
        <f ca="1">'BIS Doc'!G711</f>
        <v>0.58619872871104928</v>
      </c>
      <c r="I1514" s="889">
        <f ca="1">'BIS Doc'!H711</f>
        <v>0</v>
      </c>
      <c r="J1514" s="889">
        <f ca="1">'BIS Doc'!I711</f>
        <v>0</v>
      </c>
      <c r="K1514" s="1449" t="str">
        <f t="shared" ref="K1514:K1519" ca="1" si="43">IF(H1514&lt;0.6, "IS 14650 CPS 10748/GR2", "IS 14650 CPS 10748/GR3")</f>
        <v>IS 14650 CPS 10748/GR2</v>
      </c>
      <c r="L1514" s="1449"/>
      <c r="M1514" s="1449"/>
      <c r="N1514" s="1449"/>
      <c r="O1514" s="1449"/>
      <c r="P1514" s="890"/>
      <c r="Q1514" s="891"/>
      <c r="R1514" s="1449"/>
      <c r="S1514" s="1449"/>
      <c r="T1514" s="892"/>
      <c r="U1514" s="1450" t="s">
        <v>802</v>
      </c>
    </row>
    <row r="1515" spans="1:21" ht="19.5" customHeight="1">
      <c r="A1515" s="893"/>
      <c r="B1515" s="894" t="str">
        <f>IF('BIS Doc'!AC713=130, "130 × 130", IF('BIS Doc'!AC713=160, "160 × 160", IF('BIS Doc'!AC713=110, "110 × 110", "Value not 130, 160, or 110")))</f>
        <v>Value not 130, 160, or 110</v>
      </c>
      <c r="C1515" s="895">
        <f>'BIS Doc'!W713</f>
        <v>0</v>
      </c>
      <c r="D1515" s="896"/>
      <c r="E1515" s="897">
        <f>'BIS Doc'!AE713</f>
        <v>0</v>
      </c>
      <c r="F1515" s="898">
        <f ca="1">'BIS Doc'!F713</f>
        <v>0</v>
      </c>
      <c r="G1515" s="899">
        <f ca="1">'BIS Doc'!J713</f>
        <v>0</v>
      </c>
      <c r="H1515" s="900">
        <f ca="1">'BIS Doc'!G713</f>
        <v>0.54944677786241691</v>
      </c>
      <c r="I1515" s="901">
        <f ca="1">'BIS Doc'!H713</f>
        <v>0</v>
      </c>
      <c r="J1515" s="901">
        <f ca="1">'BIS Doc'!I713</f>
        <v>0</v>
      </c>
      <c r="K1515" s="1451" t="str">
        <f t="shared" ca="1" si="43"/>
        <v>IS 14650 CPS 10748/GR2</v>
      </c>
      <c r="L1515" s="1451"/>
      <c r="M1515" s="1451"/>
      <c r="N1515" s="1451"/>
      <c r="O1515" s="1451"/>
      <c r="P1515" s="902"/>
      <c r="Q1515" s="903"/>
      <c r="R1515" s="1451"/>
      <c r="S1515" s="1451"/>
      <c r="T1515" s="904"/>
      <c r="U1515" s="1450"/>
    </row>
    <row r="1516" spans="1:21" ht="19.5" customHeight="1">
      <c r="A1516" s="864"/>
      <c r="B1516" s="894" t="str">
        <f>IF('BIS Doc'!AC715=130, "130 × 130", IF('BIS Doc'!AC715=160, "160 × 160", IF('BIS Doc'!AC715=110, "110 × 110", "Value not 130, 160, or 110")))</f>
        <v>Value not 130, 160, or 110</v>
      </c>
      <c r="C1516" s="895">
        <f>'BIS Doc'!W715</f>
        <v>0</v>
      </c>
      <c r="D1516" s="896" t="s">
        <v>803</v>
      </c>
      <c r="E1516" s="897">
        <f>'BIS Doc'!AE715</f>
        <v>0</v>
      </c>
      <c r="F1516" s="898">
        <f ca="1">'BIS Doc'!F715</f>
        <v>0</v>
      </c>
      <c r="G1516" s="899">
        <f ca="1">'BIS Doc'!J715</f>
        <v>0</v>
      </c>
      <c r="H1516" s="900">
        <f ca="1">'BIS Doc'!G715</f>
        <v>0.52588817317226422</v>
      </c>
      <c r="I1516" s="901">
        <f ca="1">'BIS Doc'!H715</f>
        <v>0</v>
      </c>
      <c r="J1516" s="901">
        <f ca="1">'BIS Doc'!I715</f>
        <v>0</v>
      </c>
      <c r="K1516" s="1451" t="str">
        <f t="shared" ca="1" si="43"/>
        <v>IS 14650 CPS 10748/GR2</v>
      </c>
      <c r="L1516" s="1451"/>
      <c r="M1516" s="1451"/>
      <c r="N1516" s="1451"/>
      <c r="O1516" s="1451"/>
      <c r="P1516" s="902"/>
      <c r="Q1516" s="905"/>
      <c r="R1516" s="1451"/>
      <c r="S1516" s="1451"/>
      <c r="T1516" s="904"/>
      <c r="U1516" s="1450"/>
    </row>
    <row r="1517" spans="1:21" ht="19.5" customHeight="1">
      <c r="A1517" s="864"/>
      <c r="B1517" s="894" t="str">
        <f>IF('BIS Doc'!AC717=130, "130 × 130", IF('BIS Doc'!AC717=160, "160 × 160", IF('BIS Doc'!AC717=110, "110 × 110", "Value not 130, 160, or 110")))</f>
        <v>Value not 130, 160, or 110</v>
      </c>
      <c r="C1517" s="895">
        <f>'BIS Doc'!W717</f>
        <v>0</v>
      </c>
      <c r="D1517" s="896"/>
      <c r="E1517" s="897">
        <f>'BIS Doc'!AE717</f>
        <v>0</v>
      </c>
      <c r="F1517" s="898">
        <f ca="1">'BIS Doc'!F717</f>
        <v>0</v>
      </c>
      <c r="G1517" s="899">
        <f ca="1">'BIS Doc'!J717</f>
        <v>0</v>
      </c>
      <c r="H1517" s="900">
        <f ca="1">'BIS Doc'!G717</f>
        <v>0.57597925585021792</v>
      </c>
      <c r="I1517" s="901">
        <f ca="1">'BIS Doc'!H717</f>
        <v>0</v>
      </c>
      <c r="J1517" s="901">
        <f ca="1">'BIS Doc'!I717</f>
        <v>0</v>
      </c>
      <c r="K1517" s="1451" t="str">
        <f t="shared" ca="1" si="43"/>
        <v>IS 14650 CPS 10748/GR2</v>
      </c>
      <c r="L1517" s="1451"/>
      <c r="M1517" s="1451"/>
      <c r="N1517" s="1451"/>
      <c r="O1517" s="1451"/>
      <c r="P1517" s="902"/>
      <c r="Q1517" s="905"/>
      <c r="R1517" s="1451"/>
      <c r="S1517" s="1451"/>
      <c r="T1517" s="904"/>
      <c r="U1517" s="1450"/>
    </row>
    <row r="1518" spans="1:21" ht="19.5" customHeight="1">
      <c r="A1518" s="864"/>
      <c r="B1518" s="894" t="str">
        <f>IF('BIS Doc'!AC719=130, "130 × 130", IF('BIS Doc'!AC719=160, "160 × 160", IF('BIS Doc'!AC719=110, "110 × 110", "Value not 130, 160, or 110")))</f>
        <v>Value not 130, 160, or 110</v>
      </c>
      <c r="C1518" s="895">
        <f>'BIS Doc'!W719</f>
        <v>0</v>
      </c>
      <c r="D1518" s="896"/>
      <c r="E1518" s="897">
        <f>'BIS Doc'!AE719</f>
        <v>0</v>
      </c>
      <c r="F1518" s="898">
        <f ca="1">'BIS Doc'!F719</f>
        <v>0</v>
      </c>
      <c r="G1518" s="899">
        <f ca="1">'BIS Doc'!J719</f>
        <v>0</v>
      </c>
      <c r="H1518" s="900">
        <f ca="1">'BIS Doc'!G719</f>
        <v>0.58113580469793213</v>
      </c>
      <c r="I1518" s="901">
        <f ca="1">'BIS Doc'!H719</f>
        <v>0</v>
      </c>
      <c r="J1518" s="901">
        <f ca="1">'BIS Doc'!I719</f>
        <v>0</v>
      </c>
      <c r="K1518" s="1451" t="str">
        <f t="shared" ca="1" si="43"/>
        <v>IS 14650 CPS 10748/GR2</v>
      </c>
      <c r="L1518" s="1451"/>
      <c r="M1518" s="1451"/>
      <c r="N1518" s="1451"/>
      <c r="O1518" s="1451"/>
      <c r="P1518" s="902"/>
      <c r="Q1518" s="905"/>
      <c r="R1518" s="1451"/>
      <c r="S1518" s="1451"/>
      <c r="T1518" s="904"/>
      <c r="U1518" s="1450"/>
    </row>
    <row r="1519" spans="1:21" ht="19.5" customHeight="1">
      <c r="A1519" s="864"/>
      <c r="B1519" s="894" t="str">
        <f>IF('BIS Doc'!AC721=130, "130 × 130", IF('BIS Doc'!AC721=160, "160 × 160", IF('BIS Doc'!AC721=110, "110 × 110", "Value not 130, 160, or 110")))</f>
        <v>Value not 130, 160, or 110</v>
      </c>
      <c r="C1519" s="895">
        <f>'BIS Doc'!W721</f>
        <v>0</v>
      </c>
      <c r="D1519" s="896"/>
      <c r="E1519" s="897">
        <f>'BIS Doc'!AE721</f>
        <v>0</v>
      </c>
      <c r="F1519" s="898">
        <f ca="1">'BIS Doc'!F721</f>
        <v>0</v>
      </c>
      <c r="G1519" s="899">
        <f ca="1">'BIS Doc'!J721</f>
        <v>0</v>
      </c>
      <c r="H1519" s="900">
        <f ca="1">'BIS Doc'!G721</f>
        <v>0.56460057586829415</v>
      </c>
      <c r="I1519" s="901">
        <f ca="1">'BIS Doc'!H721</f>
        <v>0</v>
      </c>
      <c r="J1519" s="901">
        <f ca="1">'BIS Doc'!I721</f>
        <v>0</v>
      </c>
      <c r="K1519" s="1451" t="str">
        <f t="shared" ca="1" si="43"/>
        <v>IS 14650 CPS 10748/GR2</v>
      </c>
      <c r="L1519" s="1451"/>
      <c r="M1519" s="1451"/>
      <c r="N1519" s="1451"/>
      <c r="O1519" s="1451"/>
      <c r="P1519" s="902"/>
      <c r="Q1519" s="903"/>
      <c r="R1519" s="1451"/>
      <c r="S1519" s="1451"/>
      <c r="T1519" s="904"/>
      <c r="U1519" s="1450"/>
    </row>
    <row r="1520" spans="1:21" ht="19.5" customHeight="1">
      <c r="A1520" s="864"/>
      <c r="B1520" s="904"/>
      <c r="C1520" s="895"/>
      <c r="D1520" s="896"/>
      <c r="E1520" s="897"/>
      <c r="F1520" s="906"/>
      <c r="G1520" s="907"/>
      <c r="H1520" s="908"/>
      <c r="I1520" s="909"/>
      <c r="J1520" s="909"/>
      <c r="K1520" s="1451"/>
      <c r="L1520" s="1451"/>
      <c r="M1520" s="1451"/>
      <c r="N1520" s="1451"/>
      <c r="O1520" s="1451"/>
      <c r="P1520" s="902"/>
      <c r="Q1520" s="903"/>
      <c r="R1520" s="1451"/>
      <c r="S1520" s="1451"/>
      <c r="T1520" s="904"/>
      <c r="U1520" s="1450"/>
    </row>
    <row r="1521" spans="1:21" ht="19.5" customHeight="1">
      <c r="A1521" s="864"/>
      <c r="B1521" s="904"/>
      <c r="C1521" s="895"/>
      <c r="D1521" s="896"/>
      <c r="E1521" s="897"/>
      <c r="F1521" s="906"/>
      <c r="G1521" s="907"/>
      <c r="H1521" s="908"/>
      <c r="I1521" s="909"/>
      <c r="J1521" s="909"/>
      <c r="K1521" s="1451"/>
      <c r="L1521" s="1451"/>
      <c r="M1521" s="1451"/>
      <c r="N1521" s="1451"/>
      <c r="O1521" s="1451"/>
      <c r="P1521" s="902"/>
      <c r="Q1521" s="905"/>
      <c r="R1521" s="1451"/>
      <c r="S1521" s="1451"/>
      <c r="T1521" s="904"/>
      <c r="U1521" s="1450"/>
    </row>
    <row r="1522" spans="1:21" ht="19.5" customHeight="1">
      <c r="A1522" s="864"/>
      <c r="B1522" s="910"/>
      <c r="C1522" s="911"/>
      <c r="D1522" s="896"/>
      <c r="E1522" s="897"/>
      <c r="F1522" s="906"/>
      <c r="G1522" s="907"/>
      <c r="H1522" s="908"/>
      <c r="I1522" s="909"/>
      <c r="J1522" s="909"/>
      <c r="K1522" s="1451"/>
      <c r="L1522" s="1451"/>
      <c r="M1522" s="1451"/>
      <c r="N1522" s="1451"/>
      <c r="O1522" s="1451"/>
      <c r="P1522" s="912"/>
      <c r="Q1522" s="913"/>
      <c r="R1522" s="1452"/>
      <c r="S1522" s="1452"/>
      <c r="T1522" s="910"/>
      <c r="U1522" s="1450"/>
    </row>
    <row r="1523" spans="1:21" ht="19.5" customHeight="1">
      <c r="A1523" s="914"/>
      <c r="B1523" s="915"/>
      <c r="C1523" s="916"/>
      <c r="D1523" s="917"/>
      <c r="E1523" s="918">
        <f>SUM(E1514:E1519)</f>
        <v>0</v>
      </c>
      <c r="F1523" s="919"/>
      <c r="G1523" s="920"/>
      <c r="H1523" s="921"/>
      <c r="I1523" s="922"/>
      <c r="J1523" s="922"/>
      <c r="K1523" s="1453"/>
      <c r="L1523" s="1453"/>
      <c r="M1523" s="1453"/>
      <c r="N1523" s="1453"/>
      <c r="O1523" s="1453"/>
      <c r="P1523" s="923"/>
      <c r="Q1523" s="924"/>
      <c r="R1523" s="1454"/>
      <c r="S1523" s="1454"/>
      <c r="T1523" s="915"/>
      <c r="U1523" s="1450"/>
    </row>
    <row r="1524" spans="1:21" ht="15.75" customHeight="1">
      <c r="A1524" s="864"/>
      <c r="B1524" s="773"/>
      <c r="C1524" s="773"/>
      <c r="D1524" s="925"/>
      <c r="E1524" s="926"/>
      <c r="F1524" s="927"/>
      <c r="G1524" s="928"/>
      <c r="H1524" s="259"/>
      <c r="I1524" s="259"/>
      <c r="J1524" s="928"/>
      <c r="K1524" s="929"/>
      <c r="L1524" s="929"/>
      <c r="M1524" s="929"/>
      <c r="N1524" s="929"/>
      <c r="O1524" s="928"/>
      <c r="P1524" s="930"/>
      <c r="Q1524" s="931"/>
      <c r="R1524" s="931"/>
      <c r="U1524" s="932"/>
    </row>
    <row r="1525" spans="1:21" ht="18.75" customHeight="1">
      <c r="A1525" s="864"/>
      <c r="B1525" s="773"/>
      <c r="C1525" s="773"/>
      <c r="D1525" s="773"/>
      <c r="E1525" s="773"/>
      <c r="F1525" s="773"/>
      <c r="G1525" s="773"/>
      <c r="H1525" s="773"/>
      <c r="I1525" s="773"/>
      <c r="J1525" s="773"/>
      <c r="K1525" s="773"/>
      <c r="P1525" s="1446" t="s">
        <v>804</v>
      </c>
      <c r="Q1525" s="1446"/>
      <c r="R1525" s="1446"/>
      <c r="S1525" s="1446"/>
      <c r="T1525" s="1446"/>
      <c r="U1525" s="1446"/>
    </row>
    <row r="1526" spans="1:21" ht="18.75" customHeight="1">
      <c r="A1526" s="1447" t="s">
        <v>805</v>
      </c>
      <c r="B1526" s="1447"/>
      <c r="C1526" s="933"/>
      <c r="D1526" s="933"/>
      <c r="E1526" s="933"/>
      <c r="F1526" s="933"/>
      <c r="P1526" s="855"/>
      <c r="Q1526" s="855"/>
      <c r="R1526" s="855"/>
      <c r="S1526" s="855"/>
      <c r="T1526" s="855"/>
      <c r="U1526" s="934"/>
    </row>
    <row r="1527" spans="1:21" ht="18.75" customHeight="1">
      <c r="A1527" s="854"/>
      <c r="B1527" s="855"/>
      <c r="P1527" s="855"/>
      <c r="Q1527" s="855"/>
      <c r="R1527" s="855"/>
      <c r="S1527" s="855"/>
      <c r="T1527" s="855"/>
      <c r="U1527" s="934"/>
    </row>
    <row r="1528" spans="1:21" ht="18.75" customHeight="1">
      <c r="A1528" s="854" t="s">
        <v>806</v>
      </c>
      <c r="B1528" s="855"/>
      <c r="C1528" s="867"/>
      <c r="D1528" s="941"/>
      <c r="E1528" s="933"/>
      <c r="F1528" s="933"/>
      <c r="P1528" s="855"/>
      <c r="Q1528" s="855"/>
      <c r="R1528" s="855"/>
      <c r="S1528" s="855"/>
      <c r="T1528" s="855"/>
      <c r="U1528" s="934"/>
    </row>
    <row r="1529" spans="1:21" ht="18.75" customHeight="1">
      <c r="A1529" s="854"/>
      <c r="B1529" s="855"/>
      <c r="C1529" s="937"/>
      <c r="P1529" s="855"/>
      <c r="Q1529" s="855"/>
      <c r="R1529" s="855"/>
      <c r="S1529" s="855"/>
      <c r="T1529" s="855"/>
      <c r="U1529" s="934"/>
    </row>
    <row r="1530" spans="1:21" ht="19.5" customHeight="1">
      <c r="A1530" s="938"/>
      <c r="B1530" s="939"/>
      <c r="C1530" s="940"/>
      <c r="D1530" s="453"/>
      <c r="E1530" s="453"/>
      <c r="F1530" s="453"/>
      <c r="G1530" s="453"/>
      <c r="H1530" s="453"/>
      <c r="I1530" s="453"/>
      <c r="J1530" s="453"/>
      <c r="K1530" s="453"/>
      <c r="L1530" s="453"/>
      <c r="M1530" s="453"/>
      <c r="N1530" s="453"/>
      <c r="O1530" s="453"/>
      <c r="P1530" s="1448" t="s">
        <v>807</v>
      </c>
      <c r="Q1530" s="1448"/>
      <c r="R1530" s="1448"/>
      <c r="S1530" s="1448"/>
      <c r="T1530" s="1448"/>
      <c r="U1530" s="1448"/>
    </row>
    <row r="1531" spans="1:21" ht="45.75" customHeight="1">
      <c r="A1531" s="1455"/>
      <c r="B1531" s="1455"/>
      <c r="C1531" s="1455"/>
      <c r="D1531" s="847"/>
      <c r="E1531" s="1456" t="s">
        <v>774</v>
      </c>
      <c r="F1531" s="1456"/>
      <c r="G1531" s="1456"/>
      <c r="H1531" s="1456"/>
      <c r="I1531" s="1456"/>
      <c r="J1531" s="1456"/>
      <c r="K1531" s="1456"/>
      <c r="L1531" s="1456"/>
      <c r="M1531" s="1456"/>
      <c r="N1531" s="1456"/>
      <c r="O1531" s="1456"/>
      <c r="P1531" s="1456"/>
      <c r="Q1531" s="1456"/>
      <c r="R1531" s="1456"/>
      <c r="S1531" s="848"/>
      <c r="T1531" s="1457" t="s">
        <v>775</v>
      </c>
      <c r="U1531" s="1457"/>
    </row>
    <row r="1532" spans="1:21" ht="18.75" customHeight="1">
      <c r="A1532" s="849"/>
      <c r="E1532" s="1458" t="s">
        <v>776</v>
      </c>
      <c r="F1532" s="1458"/>
      <c r="G1532" s="1458"/>
      <c r="H1532" s="1458"/>
      <c r="I1532" s="1458"/>
      <c r="J1532" s="1458"/>
      <c r="K1532" s="1458"/>
      <c r="L1532" s="1458"/>
      <c r="M1532" s="1458"/>
      <c r="N1532" s="1458"/>
      <c r="O1532" s="1458"/>
      <c r="P1532" s="1458"/>
      <c r="Q1532" s="1458"/>
      <c r="R1532" s="1458"/>
      <c r="U1532" s="456"/>
    </row>
    <row r="1533" spans="1:21" ht="18.75" customHeight="1">
      <c r="A1533" s="850"/>
      <c r="F1533" s="587"/>
      <c r="G1533" s="587"/>
      <c r="H1533" s="587"/>
      <c r="I1533" s="587"/>
      <c r="J1533" s="587"/>
      <c r="K1533" s="587"/>
      <c r="L1533" s="587"/>
      <c r="M1533" s="851"/>
      <c r="N1533" s="852"/>
      <c r="O1533" s="851"/>
      <c r="P1533" s="1459" t="s">
        <v>777</v>
      </c>
      <c r="Q1533" s="1459"/>
      <c r="R1533" s="1459"/>
      <c r="S1533" s="1459"/>
      <c r="T1533" s="1459"/>
      <c r="U1533" s="1459"/>
    </row>
    <row r="1534" spans="1:21" ht="15" customHeight="1">
      <c r="A1534" s="849"/>
      <c r="E1534" s="1287" t="s">
        <v>778</v>
      </c>
      <c r="F1534" s="1287"/>
      <c r="G1534" s="1287"/>
      <c r="H1534" s="1287"/>
      <c r="I1534" s="1287"/>
      <c r="J1534" s="1287"/>
      <c r="K1534" s="1287"/>
      <c r="L1534" s="1287"/>
      <c r="M1534" s="1287"/>
      <c r="N1534" s="1287"/>
      <c r="O1534" s="1287"/>
      <c r="P1534" s="1287"/>
      <c r="Q1534" s="1287"/>
      <c r="R1534" s="1287"/>
      <c r="U1534" s="456"/>
    </row>
    <row r="1535" spans="1:21" ht="18.75" customHeight="1">
      <c r="A1535" s="849"/>
      <c r="E1535" s="1286" t="s">
        <v>779</v>
      </c>
      <c r="F1535" s="1286"/>
      <c r="G1535" s="1286"/>
      <c r="H1535" s="1286"/>
      <c r="I1535" s="1286"/>
      <c r="J1535" s="1286"/>
      <c r="K1535" s="1286"/>
      <c r="L1535" s="1286"/>
      <c r="M1535" s="1286"/>
      <c r="N1535" s="1286"/>
      <c r="O1535" s="1286"/>
      <c r="P1535" s="1286"/>
      <c r="Q1535" s="1286"/>
      <c r="R1535" s="1286"/>
      <c r="U1535" s="853"/>
    </row>
    <row r="1536" spans="1:21" ht="23.25" customHeight="1">
      <c r="A1536" s="854" t="s">
        <v>780</v>
      </c>
      <c r="B1536" s="855"/>
      <c r="C1536" s="855"/>
      <c r="D1536" s="856" t="s">
        <v>869</v>
      </c>
      <c r="E1536" s="857"/>
      <c r="F1536" s="858"/>
      <c r="G1536" s="859"/>
      <c r="H1536" s="859"/>
      <c r="I1536" s="859"/>
      <c r="J1536" s="859"/>
      <c r="K1536" s="859"/>
      <c r="L1536" s="860"/>
      <c r="M1536" s="1460"/>
      <c r="N1536" s="1460"/>
      <c r="O1536" s="1460"/>
      <c r="P1536" s="1461" t="s">
        <v>781</v>
      </c>
      <c r="Q1536" s="1461"/>
      <c r="R1536" s="1461"/>
      <c r="S1536" s="855"/>
      <c r="T1536" s="861">
        <v>46318</v>
      </c>
      <c r="U1536" s="456"/>
    </row>
    <row r="1537" spans="1:21" ht="23.25" customHeight="1">
      <c r="A1537" s="854"/>
      <c r="B1537" s="862"/>
      <c r="C1537" s="862"/>
      <c r="D1537" s="862"/>
      <c r="E1537" s="163"/>
      <c r="F1537" s="863"/>
      <c r="G1537" s="863"/>
      <c r="H1537" s="863"/>
      <c r="I1537" s="863"/>
      <c r="J1537" s="863"/>
      <c r="K1537" s="863"/>
      <c r="U1537" s="456"/>
    </row>
    <row r="1538" spans="1:21" ht="21" customHeight="1">
      <c r="A1538" s="864" t="s">
        <v>782</v>
      </c>
      <c r="B1538" s="865"/>
      <c r="C1538" s="866"/>
      <c r="D1538" s="867"/>
      <c r="E1538" s="868"/>
      <c r="F1538" s="869"/>
      <c r="G1538" s="869"/>
      <c r="H1538" s="869"/>
      <c r="I1538" s="870"/>
      <c r="J1538" s="870"/>
      <c r="P1538" s="1462"/>
      <c r="Q1538" s="1462"/>
      <c r="R1538" s="1462"/>
      <c r="S1538" s="1462"/>
      <c r="T1538" s="871"/>
      <c r="U1538" s="456"/>
    </row>
    <row r="1539" spans="1:21" ht="21" customHeight="1">
      <c r="A1539" s="872"/>
      <c r="B1539" s="873"/>
      <c r="C1539" s="869"/>
      <c r="D1539" s="869"/>
      <c r="E1539" s="869"/>
      <c r="F1539" s="869"/>
      <c r="G1539" s="869"/>
      <c r="H1539" s="869"/>
      <c r="I1539" s="870"/>
      <c r="J1539" s="870"/>
      <c r="U1539" s="456"/>
    </row>
    <row r="1540" spans="1:21" ht="15" customHeight="1">
      <c r="A1540" s="1463" t="s">
        <v>783</v>
      </c>
      <c r="B1540" s="1463"/>
      <c r="C1540" s="1463"/>
      <c r="D1540" s="1463"/>
      <c r="E1540" s="1463"/>
      <c r="F1540" s="1463"/>
      <c r="G1540" s="1463"/>
      <c r="H1540" s="1463"/>
      <c r="I1540" s="1463"/>
      <c r="J1540" s="1463"/>
      <c r="K1540" s="1463"/>
      <c r="L1540" s="1463"/>
      <c r="M1540" s="1463"/>
      <c r="N1540" s="1463"/>
      <c r="O1540" s="1463"/>
      <c r="P1540" s="1463"/>
      <c r="Q1540" s="1463"/>
      <c r="R1540" s="1463"/>
      <c r="S1540" s="1463"/>
      <c r="T1540" s="1463"/>
      <c r="U1540" s="1463"/>
    </row>
    <row r="1541" spans="1:21" ht="15" customHeight="1">
      <c r="A1541" s="1463"/>
      <c r="B1541" s="1463"/>
      <c r="C1541" s="1463"/>
      <c r="D1541" s="1463"/>
      <c r="E1541" s="1463"/>
      <c r="F1541" s="1463"/>
      <c r="G1541" s="1463"/>
      <c r="H1541" s="1463"/>
      <c r="I1541" s="1463"/>
      <c r="J1541" s="1463"/>
      <c r="K1541" s="1463"/>
      <c r="L1541" s="1463"/>
      <c r="M1541" s="1463"/>
      <c r="N1541" s="1463"/>
      <c r="O1541" s="1463"/>
      <c r="P1541" s="1463"/>
      <c r="Q1541" s="1463"/>
      <c r="R1541" s="1463"/>
      <c r="S1541" s="1463"/>
      <c r="T1541" s="1463"/>
      <c r="U1541" s="1463"/>
    </row>
    <row r="1542" spans="1:21" ht="18" customHeight="1">
      <c r="A1542" s="1464" t="s">
        <v>784</v>
      </c>
      <c r="B1542" s="1464"/>
      <c r="C1542" s="1464"/>
      <c r="D1542" s="1464"/>
      <c r="E1542" s="1464"/>
      <c r="F1542" s="1464"/>
      <c r="G1542" s="1464"/>
      <c r="H1542" s="1464"/>
      <c r="I1542" s="1464"/>
      <c r="J1542" s="1464"/>
      <c r="K1542" s="1464"/>
      <c r="L1542" s="1464"/>
      <c r="M1542" s="1464"/>
      <c r="N1542" s="1464"/>
      <c r="O1542" s="1464"/>
      <c r="P1542" s="1464"/>
      <c r="Q1542" s="1464"/>
      <c r="R1542" s="1464"/>
      <c r="S1542" s="1464"/>
      <c r="T1542" s="1464"/>
      <c r="U1542" s="1464"/>
    </row>
    <row r="1543" spans="1:21" ht="23.25" customHeight="1">
      <c r="A1543" s="1465" t="s">
        <v>785</v>
      </c>
      <c r="B1543" s="1465"/>
      <c r="C1543" s="1465"/>
      <c r="D1543" s="1465"/>
      <c r="E1543" s="1465"/>
      <c r="F1543" s="1465"/>
      <c r="G1543" s="1465"/>
      <c r="H1543" s="1465"/>
      <c r="I1543" s="1465"/>
      <c r="J1543" s="1465"/>
      <c r="K1543" s="1465"/>
      <c r="L1543" s="1465"/>
      <c r="M1543" s="1465"/>
      <c r="N1543" s="1465"/>
      <c r="O1543" s="1465"/>
      <c r="P1543" s="1465"/>
      <c r="Q1543" s="1465"/>
      <c r="R1543" s="1465"/>
      <c r="S1543" s="1465"/>
      <c r="T1543" s="1465"/>
      <c r="U1543" s="1465"/>
    </row>
    <row r="1544" spans="1:21" ht="21.75" customHeight="1">
      <c r="A1544" s="874"/>
      <c r="B1544" s="875"/>
      <c r="C1544" s="875"/>
      <c r="D1544" s="875"/>
      <c r="E1544" s="875"/>
      <c r="F1544" s="875"/>
      <c r="G1544" s="875"/>
      <c r="H1544" s="875"/>
      <c r="I1544" s="875"/>
      <c r="J1544" s="875"/>
      <c r="K1544" s="875"/>
      <c r="L1544" s="875"/>
      <c r="M1544" s="875"/>
      <c r="N1544" s="875"/>
      <c r="O1544" s="875"/>
      <c r="P1544" s="875"/>
      <c r="Q1544" s="875"/>
      <c r="R1544" s="875"/>
      <c r="S1544" s="875"/>
      <c r="T1544" s="875"/>
      <c r="U1544" s="876"/>
    </row>
    <row r="1545" spans="1:21" ht="15" customHeight="1">
      <c r="A1545" s="1466" t="s">
        <v>786</v>
      </c>
      <c r="B1545" s="1467" t="s">
        <v>787</v>
      </c>
      <c r="C1545" s="1468" t="s">
        <v>788</v>
      </c>
      <c r="D1545" s="1468" t="s">
        <v>789</v>
      </c>
      <c r="E1545" s="1469" t="s">
        <v>790</v>
      </c>
      <c r="F1545" s="1468" t="s">
        <v>791</v>
      </c>
      <c r="G1545" s="1468"/>
      <c r="H1545" s="1468"/>
      <c r="I1545" s="1468"/>
      <c r="J1545" s="1468"/>
      <c r="K1545" s="1468"/>
      <c r="L1545" s="1468"/>
      <c r="M1545" s="1468"/>
      <c r="N1545" s="1468"/>
      <c r="O1545" s="1468"/>
      <c r="P1545" s="1470"/>
      <c r="Q1545" s="1470"/>
      <c r="R1545" s="1470"/>
      <c r="S1545" s="1470"/>
      <c r="T1545" s="1470"/>
      <c r="U1545" s="1470"/>
    </row>
    <row r="1546" spans="1:21" ht="15.75" customHeight="1">
      <c r="A1546" s="1466"/>
      <c r="B1546" s="1467"/>
      <c r="C1546" s="1468"/>
      <c r="D1546" s="1468"/>
      <c r="E1546" s="1469"/>
      <c r="F1546" s="1468"/>
      <c r="G1546" s="1468"/>
      <c r="H1546" s="1468"/>
      <c r="I1546" s="1468"/>
      <c r="J1546" s="1468"/>
      <c r="K1546" s="1468"/>
      <c r="L1546" s="1468"/>
      <c r="M1546" s="1468"/>
      <c r="N1546" s="1468"/>
      <c r="O1546" s="1468"/>
      <c r="P1546" s="1470"/>
      <c r="Q1546" s="1470"/>
      <c r="R1546" s="1470"/>
      <c r="S1546" s="1470"/>
      <c r="T1546" s="1470"/>
      <c r="U1546" s="1470"/>
    </row>
    <row r="1547" spans="1:21" ht="48" customHeight="1">
      <c r="A1547" s="1466"/>
      <c r="B1547" s="1467"/>
      <c r="C1547" s="1468"/>
      <c r="D1547" s="1468"/>
      <c r="E1547" s="1469"/>
      <c r="F1547" s="878" t="s">
        <v>792</v>
      </c>
      <c r="G1547" s="877" t="s">
        <v>793</v>
      </c>
      <c r="H1547" s="878" t="s">
        <v>794</v>
      </c>
      <c r="I1547" s="879" t="s">
        <v>795</v>
      </c>
      <c r="J1547" s="880" t="s">
        <v>796</v>
      </c>
      <c r="K1547" s="1468" t="s">
        <v>797</v>
      </c>
      <c r="L1547" s="1468"/>
      <c r="M1547" s="1468"/>
      <c r="N1547" s="1468"/>
      <c r="O1547" s="1468"/>
      <c r="P1547" s="881" t="s">
        <v>798</v>
      </c>
      <c r="Q1547" s="882" t="s">
        <v>799</v>
      </c>
      <c r="R1547" s="1469" t="s">
        <v>800</v>
      </c>
      <c r="S1547" s="1469"/>
      <c r="T1547" s="877" t="s">
        <v>801</v>
      </c>
      <c r="U1547" s="879" t="s">
        <v>104</v>
      </c>
    </row>
    <row r="1548" spans="1:21" ht="19.5" customHeight="1">
      <c r="A1548" s="883"/>
      <c r="B1548" s="884" t="str">
        <f>IF('BIS Doc'!AC723=130, "130 × 130", IF('BIS Doc'!AC723=160, "160 × 160", IF('BIS Doc'!AC723=110, "110 × 110", "Value not 130, 160, or 110")))</f>
        <v>Value not 130, 160, or 110</v>
      </c>
      <c r="C1548" s="885">
        <f>'BIS Doc'!W723</f>
        <v>0</v>
      </c>
      <c r="D1548" s="886"/>
      <c r="E1548" s="887">
        <f>'BIS Doc'!AE723</f>
        <v>0</v>
      </c>
      <c r="F1548" s="888">
        <f ca="1">'BIS Doc'!F723</f>
        <v>0</v>
      </c>
      <c r="G1548" s="888">
        <f ca="1">'BIS Doc'!J723</f>
        <v>0</v>
      </c>
      <c r="H1548" s="888">
        <f ca="1">'BIS Doc'!G723</f>
        <v>0.51082547801749956</v>
      </c>
      <c r="I1548" s="889">
        <f ca="1">'BIS Doc'!H723</f>
        <v>0</v>
      </c>
      <c r="J1548" s="889">
        <f ca="1">'BIS Doc'!I723</f>
        <v>0</v>
      </c>
      <c r="K1548" s="1449" t="str">
        <f t="shared" ref="K1548:K1553" ca="1" si="44">IF(H1548&lt;0.6, "IS 14650 CPS 10748/GR2", "IS 14650 CPS 10748/GR3")</f>
        <v>IS 14650 CPS 10748/GR2</v>
      </c>
      <c r="L1548" s="1449"/>
      <c r="M1548" s="1449"/>
      <c r="N1548" s="1449"/>
      <c r="O1548" s="1449"/>
      <c r="P1548" s="890"/>
      <c r="Q1548" s="891"/>
      <c r="R1548" s="1449"/>
      <c r="S1548" s="1449"/>
      <c r="T1548" s="892"/>
      <c r="U1548" s="1450" t="s">
        <v>802</v>
      </c>
    </row>
    <row r="1549" spans="1:21" ht="19.5" customHeight="1">
      <c r="A1549" s="893"/>
      <c r="B1549" s="894" t="str">
        <f>IF('BIS Doc'!AC725=130, "130 × 130", IF('BIS Doc'!AC725=160, "160 × 160", IF('BIS Doc'!AC725=110, "110 × 110", "Value not 130, 160, or 110")))</f>
        <v>Value not 130, 160, or 110</v>
      </c>
      <c r="C1549" s="895">
        <f>'BIS Doc'!W725</f>
        <v>0</v>
      </c>
      <c r="D1549" s="896"/>
      <c r="E1549" s="897">
        <f>'BIS Doc'!AE725</f>
        <v>0</v>
      </c>
      <c r="F1549" s="898">
        <f ca="1">'BIS Doc'!F725</f>
        <v>0</v>
      </c>
      <c r="G1549" s="899">
        <f ca="1">'BIS Doc'!J725</f>
        <v>0</v>
      </c>
      <c r="H1549" s="900">
        <f ca="1">'BIS Doc'!G725</f>
        <v>0.51845329035443344</v>
      </c>
      <c r="I1549" s="901">
        <f ca="1">'BIS Doc'!H725</f>
        <v>0</v>
      </c>
      <c r="J1549" s="901">
        <f ca="1">'BIS Doc'!I725</f>
        <v>0</v>
      </c>
      <c r="K1549" s="1451" t="str">
        <f t="shared" ca="1" si="44"/>
        <v>IS 14650 CPS 10748/GR2</v>
      </c>
      <c r="L1549" s="1451"/>
      <c r="M1549" s="1451"/>
      <c r="N1549" s="1451"/>
      <c r="O1549" s="1451"/>
      <c r="P1549" s="902"/>
      <c r="Q1549" s="903"/>
      <c r="R1549" s="1451"/>
      <c r="S1549" s="1451"/>
      <c r="T1549" s="904"/>
      <c r="U1549" s="1450"/>
    </row>
    <row r="1550" spans="1:21" ht="19.5" customHeight="1">
      <c r="A1550" s="864"/>
      <c r="B1550" s="894" t="str">
        <f>IF('BIS Doc'!AC727=130, "130 × 130", IF('BIS Doc'!AC727=160, "160 × 160", IF('BIS Doc'!AC727=110, "110 × 110", "Value not 130, 160, or 110")))</f>
        <v>Value not 130, 160, or 110</v>
      </c>
      <c r="C1550" s="895">
        <f>'BIS Doc'!W727</f>
        <v>0</v>
      </c>
      <c r="D1550" s="896" t="s">
        <v>803</v>
      </c>
      <c r="E1550" s="897">
        <f>'BIS Doc'!AE727</f>
        <v>0</v>
      </c>
      <c r="F1550" s="898">
        <f ca="1">'BIS Doc'!F727</f>
        <v>0</v>
      </c>
      <c r="G1550" s="899">
        <f ca="1">'BIS Doc'!J727</f>
        <v>0</v>
      </c>
      <c r="H1550" s="900">
        <f ca="1">'BIS Doc'!G727</f>
        <v>0.55662717395255379</v>
      </c>
      <c r="I1550" s="901">
        <f ca="1">'BIS Doc'!H727</f>
        <v>0</v>
      </c>
      <c r="J1550" s="901">
        <f ca="1">'BIS Doc'!I727</f>
        <v>0</v>
      </c>
      <c r="K1550" s="1451" t="str">
        <f t="shared" ca="1" si="44"/>
        <v>IS 14650 CPS 10748/GR2</v>
      </c>
      <c r="L1550" s="1451"/>
      <c r="M1550" s="1451"/>
      <c r="N1550" s="1451"/>
      <c r="O1550" s="1451"/>
      <c r="P1550" s="902"/>
      <c r="Q1550" s="905"/>
      <c r="R1550" s="1451"/>
      <c r="S1550" s="1451"/>
      <c r="T1550" s="904"/>
      <c r="U1550" s="1450"/>
    </row>
    <row r="1551" spans="1:21" ht="19.5" customHeight="1">
      <c r="A1551" s="864"/>
      <c r="B1551" s="894" t="str">
        <f>IF('BIS Doc'!AC729=130, "130 × 130", IF('BIS Doc'!AC729=160, "160 × 160", IF('BIS Doc'!AC729=110, "110 × 110", "Value not 130, 160, or 110")))</f>
        <v>Value not 130, 160, or 110</v>
      </c>
      <c r="C1551" s="895">
        <f>'BIS Doc'!W729</f>
        <v>0</v>
      </c>
      <c r="D1551" s="896"/>
      <c r="E1551" s="897">
        <f>'BIS Doc'!AE729</f>
        <v>0</v>
      </c>
      <c r="F1551" s="898">
        <f ca="1">'BIS Doc'!F729</f>
        <v>0</v>
      </c>
      <c r="G1551" s="899">
        <f ca="1">'BIS Doc'!J729</f>
        <v>0</v>
      </c>
      <c r="H1551" s="900">
        <f ca="1">'BIS Doc'!G729</f>
        <v>0.53958606971569323</v>
      </c>
      <c r="I1551" s="901">
        <f ca="1">'BIS Doc'!H729</f>
        <v>0</v>
      </c>
      <c r="J1551" s="901">
        <f ca="1">'BIS Doc'!I729</f>
        <v>0</v>
      </c>
      <c r="K1551" s="1451" t="str">
        <f t="shared" ca="1" si="44"/>
        <v>IS 14650 CPS 10748/GR2</v>
      </c>
      <c r="L1551" s="1451"/>
      <c r="M1551" s="1451"/>
      <c r="N1551" s="1451"/>
      <c r="O1551" s="1451"/>
      <c r="P1551" s="902"/>
      <c r="Q1551" s="905"/>
      <c r="R1551" s="1451"/>
      <c r="S1551" s="1451"/>
      <c r="T1551" s="904"/>
      <c r="U1551" s="1450"/>
    </row>
    <row r="1552" spans="1:21" ht="19.5" customHeight="1">
      <c r="A1552" s="864"/>
      <c r="B1552" s="894" t="str">
        <f>IF('BIS Doc'!AC731=130, "130 × 130", IF('BIS Doc'!AC731=160, "160 × 160", IF('BIS Doc'!AC731=110, "110 × 110", "Value not 130, 160, or 110")))</f>
        <v>Value not 130, 160, or 110</v>
      </c>
      <c r="C1552" s="895">
        <f>'BIS Doc'!W731</f>
        <v>0</v>
      </c>
      <c r="D1552" s="896"/>
      <c r="E1552" s="897">
        <f>'BIS Doc'!AE731</f>
        <v>0</v>
      </c>
      <c r="F1552" s="898">
        <f ca="1">'BIS Doc'!F731</f>
        <v>0</v>
      </c>
      <c r="G1552" s="899">
        <f ca="1">'BIS Doc'!J731</f>
        <v>0</v>
      </c>
      <c r="H1552" s="900">
        <f ca="1">'BIS Doc'!G731</f>
        <v>0.52178987528528031</v>
      </c>
      <c r="I1552" s="901">
        <f ca="1">'BIS Doc'!H731</f>
        <v>0</v>
      </c>
      <c r="J1552" s="901">
        <f ca="1">'BIS Doc'!I731</f>
        <v>0</v>
      </c>
      <c r="K1552" s="1451" t="str">
        <f t="shared" ca="1" si="44"/>
        <v>IS 14650 CPS 10748/GR2</v>
      </c>
      <c r="L1552" s="1451"/>
      <c r="M1552" s="1451"/>
      <c r="N1552" s="1451"/>
      <c r="O1552" s="1451"/>
      <c r="P1552" s="902"/>
      <c r="Q1552" s="905"/>
      <c r="R1552" s="1451"/>
      <c r="S1552" s="1451"/>
      <c r="T1552" s="904"/>
      <c r="U1552" s="1450"/>
    </row>
    <row r="1553" spans="1:21" ht="19.5" customHeight="1">
      <c r="A1553" s="864"/>
      <c r="B1553" s="894" t="str">
        <f>IF('BIS Doc'!AC733=130, "130 × 130", IF('BIS Doc'!AC733=160, "160 × 160", IF('BIS Doc'!AC733=110, "110 × 110", "Value not 130, 160, or 110")))</f>
        <v>Value not 130, 160, or 110</v>
      </c>
      <c r="C1553" s="895">
        <f>'BIS Doc'!W733</f>
        <v>0</v>
      </c>
      <c r="D1553" s="896"/>
      <c r="E1553" s="897">
        <f>'BIS Doc'!AE733</f>
        <v>0</v>
      </c>
      <c r="F1553" s="898">
        <f ca="1">'BIS Doc'!F733</f>
        <v>0</v>
      </c>
      <c r="G1553" s="899">
        <f ca="1">'BIS Doc'!J733</f>
        <v>0</v>
      </c>
      <c r="H1553" s="900">
        <f ca="1">'BIS Doc'!G733</f>
        <v>0.51646758737851928</v>
      </c>
      <c r="I1553" s="901">
        <f ca="1">'BIS Doc'!H733</f>
        <v>0</v>
      </c>
      <c r="J1553" s="901">
        <f ca="1">'BIS Doc'!I733</f>
        <v>0</v>
      </c>
      <c r="K1553" s="1451" t="str">
        <f t="shared" ca="1" si="44"/>
        <v>IS 14650 CPS 10748/GR2</v>
      </c>
      <c r="L1553" s="1451"/>
      <c r="M1553" s="1451"/>
      <c r="N1553" s="1451"/>
      <c r="O1553" s="1451"/>
      <c r="P1553" s="902"/>
      <c r="Q1553" s="903"/>
      <c r="R1553" s="1451"/>
      <c r="S1553" s="1451"/>
      <c r="T1553" s="904"/>
      <c r="U1553" s="1450"/>
    </row>
    <row r="1554" spans="1:21" ht="19.5" customHeight="1">
      <c r="A1554" s="864"/>
      <c r="B1554" s="904"/>
      <c r="C1554" s="895"/>
      <c r="D1554" s="896"/>
      <c r="E1554" s="897"/>
      <c r="F1554" s="906"/>
      <c r="G1554" s="907"/>
      <c r="H1554" s="908"/>
      <c r="I1554" s="909"/>
      <c r="J1554" s="909"/>
      <c r="K1554" s="1451"/>
      <c r="L1554" s="1451"/>
      <c r="M1554" s="1451"/>
      <c r="N1554" s="1451"/>
      <c r="O1554" s="1451"/>
      <c r="P1554" s="902"/>
      <c r="Q1554" s="903"/>
      <c r="R1554" s="1451"/>
      <c r="S1554" s="1451"/>
      <c r="T1554" s="904"/>
      <c r="U1554" s="1450"/>
    </row>
    <row r="1555" spans="1:21" ht="19.5" customHeight="1">
      <c r="A1555" s="864"/>
      <c r="B1555" s="904"/>
      <c r="C1555" s="895"/>
      <c r="D1555" s="896"/>
      <c r="E1555" s="897"/>
      <c r="F1555" s="906"/>
      <c r="G1555" s="907"/>
      <c r="H1555" s="908"/>
      <c r="I1555" s="909"/>
      <c r="J1555" s="909"/>
      <c r="K1555" s="1451"/>
      <c r="L1555" s="1451"/>
      <c r="M1555" s="1451"/>
      <c r="N1555" s="1451"/>
      <c r="O1555" s="1451"/>
      <c r="P1555" s="902"/>
      <c r="Q1555" s="905"/>
      <c r="R1555" s="1451"/>
      <c r="S1555" s="1451"/>
      <c r="T1555" s="904"/>
      <c r="U1555" s="1450"/>
    </row>
    <row r="1556" spans="1:21" ht="19.5" customHeight="1">
      <c r="A1556" s="864"/>
      <c r="B1556" s="910"/>
      <c r="C1556" s="911"/>
      <c r="D1556" s="896"/>
      <c r="E1556" s="897"/>
      <c r="F1556" s="906"/>
      <c r="G1556" s="907"/>
      <c r="H1556" s="908"/>
      <c r="I1556" s="909"/>
      <c r="J1556" s="909"/>
      <c r="K1556" s="1451"/>
      <c r="L1556" s="1451"/>
      <c r="M1556" s="1451"/>
      <c r="N1556" s="1451"/>
      <c r="O1556" s="1451"/>
      <c r="P1556" s="912"/>
      <c r="Q1556" s="913"/>
      <c r="R1556" s="1452"/>
      <c r="S1556" s="1452"/>
      <c r="T1556" s="910"/>
      <c r="U1556" s="1450"/>
    </row>
    <row r="1557" spans="1:21" ht="19.5" customHeight="1">
      <c r="A1557" s="914"/>
      <c r="B1557" s="915"/>
      <c r="C1557" s="916"/>
      <c r="D1557" s="917"/>
      <c r="E1557" s="918">
        <f>SUM(E1548:E1553)</f>
        <v>0</v>
      </c>
      <c r="F1557" s="919"/>
      <c r="G1557" s="920"/>
      <c r="H1557" s="921"/>
      <c r="I1557" s="922"/>
      <c r="J1557" s="922"/>
      <c r="K1557" s="1453"/>
      <c r="L1557" s="1453"/>
      <c r="M1557" s="1453"/>
      <c r="N1557" s="1453"/>
      <c r="O1557" s="1453"/>
      <c r="P1557" s="923"/>
      <c r="Q1557" s="924"/>
      <c r="R1557" s="1454"/>
      <c r="S1557" s="1454"/>
      <c r="T1557" s="915"/>
      <c r="U1557" s="1450"/>
    </row>
    <row r="1558" spans="1:21" ht="15.75" customHeight="1">
      <c r="A1558" s="864"/>
      <c r="B1558" s="773"/>
      <c r="C1558" s="773"/>
      <c r="D1558" s="925"/>
      <c r="E1558" s="926"/>
      <c r="F1558" s="927"/>
      <c r="G1558" s="928"/>
      <c r="H1558" s="259"/>
      <c r="I1558" s="259"/>
      <c r="J1558" s="928"/>
      <c r="K1558" s="929"/>
      <c r="L1558" s="929"/>
      <c r="M1558" s="929"/>
      <c r="N1558" s="929"/>
      <c r="O1558" s="928"/>
      <c r="P1558" s="930"/>
      <c r="Q1558" s="931"/>
      <c r="R1558" s="931"/>
      <c r="U1558" s="932"/>
    </row>
    <row r="1559" spans="1:21" ht="18.75" customHeight="1">
      <c r="A1559" s="864"/>
      <c r="B1559" s="773"/>
      <c r="C1559" s="773"/>
      <c r="D1559" s="773"/>
      <c r="E1559" s="773"/>
      <c r="F1559" s="773"/>
      <c r="G1559" s="773"/>
      <c r="H1559" s="773"/>
      <c r="I1559" s="773"/>
      <c r="J1559" s="773"/>
      <c r="K1559" s="773"/>
      <c r="P1559" s="1446" t="s">
        <v>804</v>
      </c>
      <c r="Q1559" s="1446"/>
      <c r="R1559" s="1446"/>
      <c r="S1559" s="1446"/>
      <c r="T1559" s="1446"/>
      <c r="U1559" s="1446"/>
    </row>
    <row r="1560" spans="1:21" ht="18.75" customHeight="1">
      <c r="A1560" s="1447" t="s">
        <v>805</v>
      </c>
      <c r="B1560" s="1447"/>
      <c r="C1560" s="933"/>
      <c r="D1560" s="933"/>
      <c r="E1560" s="933"/>
      <c r="F1560" s="933"/>
      <c r="P1560" s="855"/>
      <c r="Q1560" s="855"/>
      <c r="R1560" s="855"/>
      <c r="S1560" s="855"/>
      <c r="T1560" s="855"/>
      <c r="U1560" s="934"/>
    </row>
    <row r="1561" spans="1:21" ht="18.75" customHeight="1">
      <c r="A1561" s="854"/>
      <c r="B1561" s="855"/>
      <c r="P1561" s="855"/>
      <c r="Q1561" s="855"/>
      <c r="R1561" s="855"/>
      <c r="S1561" s="855"/>
      <c r="T1561" s="855"/>
      <c r="U1561" s="934"/>
    </row>
    <row r="1562" spans="1:21" ht="18.75" customHeight="1">
      <c r="A1562" s="854" t="s">
        <v>806</v>
      </c>
      <c r="B1562" s="855"/>
      <c r="C1562" s="867"/>
      <c r="D1562" s="941"/>
      <c r="E1562" s="933"/>
      <c r="F1562" s="933"/>
      <c r="P1562" s="855"/>
      <c r="Q1562" s="855"/>
      <c r="R1562" s="855"/>
      <c r="S1562" s="855"/>
      <c r="T1562" s="855"/>
      <c r="U1562" s="934"/>
    </row>
    <row r="1563" spans="1:21" ht="18.75" customHeight="1">
      <c r="A1563" s="854"/>
      <c r="B1563" s="855"/>
      <c r="C1563" s="937"/>
      <c r="P1563" s="855"/>
      <c r="Q1563" s="855"/>
      <c r="R1563" s="855"/>
      <c r="S1563" s="855"/>
      <c r="T1563" s="855"/>
      <c r="U1563" s="934"/>
    </row>
    <row r="1564" spans="1:21" ht="19.5" customHeight="1">
      <c r="A1564" s="938"/>
      <c r="B1564" s="939"/>
      <c r="C1564" s="940"/>
      <c r="D1564" s="453"/>
      <c r="E1564" s="453"/>
      <c r="F1564" s="453"/>
      <c r="G1564" s="453"/>
      <c r="H1564" s="453"/>
      <c r="I1564" s="453"/>
      <c r="J1564" s="453"/>
      <c r="K1564" s="453"/>
      <c r="L1564" s="453"/>
      <c r="M1564" s="453"/>
      <c r="N1564" s="453"/>
      <c r="O1564" s="453"/>
      <c r="P1564" s="1448" t="s">
        <v>807</v>
      </c>
      <c r="Q1564" s="1448"/>
      <c r="R1564" s="1448"/>
      <c r="S1564" s="1448"/>
      <c r="T1564" s="1448"/>
      <c r="U1564" s="1448"/>
    </row>
    <row r="1565" spans="1:21" ht="45.75" customHeight="1">
      <c r="A1565" s="1455"/>
      <c r="B1565" s="1455"/>
      <c r="C1565" s="1455"/>
      <c r="D1565" s="847"/>
      <c r="E1565" s="1456" t="s">
        <v>774</v>
      </c>
      <c r="F1565" s="1456"/>
      <c r="G1565" s="1456"/>
      <c r="H1565" s="1456"/>
      <c r="I1565" s="1456"/>
      <c r="J1565" s="1456"/>
      <c r="K1565" s="1456"/>
      <c r="L1565" s="1456"/>
      <c r="M1565" s="1456"/>
      <c r="N1565" s="1456"/>
      <c r="O1565" s="1456"/>
      <c r="P1565" s="1456"/>
      <c r="Q1565" s="1456"/>
      <c r="R1565" s="1456"/>
      <c r="S1565" s="848"/>
      <c r="T1565" s="1457" t="s">
        <v>775</v>
      </c>
      <c r="U1565" s="1457"/>
    </row>
    <row r="1566" spans="1:21" ht="18.75" customHeight="1">
      <c r="A1566" s="849"/>
      <c r="E1566" s="1458" t="s">
        <v>776</v>
      </c>
      <c r="F1566" s="1458"/>
      <c r="G1566" s="1458"/>
      <c r="H1566" s="1458"/>
      <c r="I1566" s="1458"/>
      <c r="J1566" s="1458"/>
      <c r="K1566" s="1458"/>
      <c r="L1566" s="1458"/>
      <c r="M1566" s="1458"/>
      <c r="N1566" s="1458"/>
      <c r="O1566" s="1458"/>
      <c r="P1566" s="1458"/>
      <c r="Q1566" s="1458"/>
      <c r="R1566" s="1458"/>
      <c r="U1566" s="456"/>
    </row>
    <row r="1567" spans="1:21" ht="18.75" customHeight="1">
      <c r="A1567" s="850"/>
      <c r="F1567" s="587"/>
      <c r="G1567" s="587"/>
      <c r="H1567" s="587"/>
      <c r="I1567" s="587"/>
      <c r="J1567" s="587"/>
      <c r="K1567" s="587"/>
      <c r="L1567" s="587"/>
      <c r="M1567" s="851"/>
      <c r="N1567" s="852"/>
      <c r="O1567" s="851"/>
      <c r="P1567" s="1459" t="s">
        <v>777</v>
      </c>
      <c r="Q1567" s="1459"/>
      <c r="R1567" s="1459"/>
      <c r="S1567" s="1459"/>
      <c r="T1567" s="1459"/>
      <c r="U1567" s="1459"/>
    </row>
    <row r="1568" spans="1:21" ht="15" customHeight="1">
      <c r="A1568" s="849"/>
      <c r="E1568" s="1287" t="s">
        <v>778</v>
      </c>
      <c r="F1568" s="1287"/>
      <c r="G1568" s="1287"/>
      <c r="H1568" s="1287"/>
      <c r="I1568" s="1287"/>
      <c r="J1568" s="1287"/>
      <c r="K1568" s="1287"/>
      <c r="L1568" s="1287"/>
      <c r="M1568" s="1287"/>
      <c r="N1568" s="1287"/>
      <c r="O1568" s="1287"/>
      <c r="P1568" s="1287"/>
      <c r="Q1568" s="1287"/>
      <c r="R1568" s="1287"/>
      <c r="U1568" s="456"/>
    </row>
    <row r="1569" spans="1:21" ht="18.75" customHeight="1">
      <c r="A1569" s="849"/>
      <c r="E1569" s="1286" t="s">
        <v>779</v>
      </c>
      <c r="F1569" s="1286"/>
      <c r="G1569" s="1286"/>
      <c r="H1569" s="1286"/>
      <c r="I1569" s="1286"/>
      <c r="J1569" s="1286"/>
      <c r="K1569" s="1286"/>
      <c r="L1569" s="1286"/>
      <c r="M1569" s="1286"/>
      <c r="N1569" s="1286"/>
      <c r="O1569" s="1286"/>
      <c r="P1569" s="1286"/>
      <c r="Q1569" s="1286"/>
      <c r="R1569" s="1286"/>
      <c r="U1569" s="853"/>
    </row>
    <row r="1570" spans="1:21" ht="23.25" customHeight="1">
      <c r="A1570" s="854" t="s">
        <v>780</v>
      </c>
      <c r="B1570" s="855"/>
      <c r="C1570" s="855"/>
      <c r="D1570" s="856" t="s">
        <v>870</v>
      </c>
      <c r="E1570" s="857"/>
      <c r="F1570" s="858"/>
      <c r="G1570" s="859"/>
      <c r="H1570" s="859"/>
      <c r="I1570" s="859"/>
      <c r="J1570" s="859"/>
      <c r="K1570" s="859"/>
      <c r="L1570" s="860"/>
      <c r="M1570" s="1460"/>
      <c r="N1570" s="1460"/>
      <c r="O1570" s="1460"/>
      <c r="P1570" s="1461" t="s">
        <v>781</v>
      </c>
      <c r="Q1570" s="1461"/>
      <c r="R1570" s="1461"/>
      <c r="S1570" s="855"/>
      <c r="T1570" s="861">
        <v>46319</v>
      </c>
      <c r="U1570" s="456"/>
    </row>
    <row r="1571" spans="1:21" ht="23.25" customHeight="1">
      <c r="A1571" s="854"/>
      <c r="B1571" s="862"/>
      <c r="C1571" s="862"/>
      <c r="D1571" s="862"/>
      <c r="E1571" s="163"/>
      <c r="F1571" s="863"/>
      <c r="G1571" s="863"/>
      <c r="H1571" s="863"/>
      <c r="I1571" s="863"/>
      <c r="J1571" s="863"/>
      <c r="K1571" s="863"/>
      <c r="U1571" s="456"/>
    </row>
    <row r="1572" spans="1:21" ht="21" customHeight="1">
      <c r="A1572" s="864" t="s">
        <v>782</v>
      </c>
      <c r="B1572" s="865"/>
      <c r="C1572" s="866"/>
      <c r="D1572" s="867"/>
      <c r="E1572" s="868"/>
      <c r="F1572" s="869"/>
      <c r="G1572" s="869"/>
      <c r="H1572" s="869"/>
      <c r="I1572" s="870"/>
      <c r="J1572" s="870"/>
      <c r="P1572" s="1462"/>
      <c r="Q1572" s="1462"/>
      <c r="R1572" s="1462"/>
      <c r="S1572" s="1462"/>
      <c r="T1572" s="871"/>
      <c r="U1572" s="456"/>
    </row>
    <row r="1573" spans="1:21" ht="21" customHeight="1">
      <c r="A1573" s="872"/>
      <c r="B1573" s="873"/>
      <c r="C1573" s="869"/>
      <c r="D1573" s="869"/>
      <c r="E1573" s="869"/>
      <c r="F1573" s="869"/>
      <c r="G1573" s="869"/>
      <c r="H1573" s="869"/>
      <c r="I1573" s="870"/>
      <c r="J1573" s="870"/>
      <c r="U1573" s="456"/>
    </row>
    <row r="1574" spans="1:21" ht="15" customHeight="1">
      <c r="A1574" s="1463" t="s">
        <v>783</v>
      </c>
      <c r="B1574" s="1463"/>
      <c r="C1574" s="1463"/>
      <c r="D1574" s="1463"/>
      <c r="E1574" s="1463"/>
      <c r="F1574" s="1463"/>
      <c r="G1574" s="1463"/>
      <c r="H1574" s="1463"/>
      <c r="I1574" s="1463"/>
      <c r="J1574" s="1463"/>
      <c r="K1574" s="1463"/>
      <c r="L1574" s="1463"/>
      <c r="M1574" s="1463"/>
      <c r="N1574" s="1463"/>
      <c r="O1574" s="1463"/>
      <c r="P1574" s="1463"/>
      <c r="Q1574" s="1463"/>
      <c r="R1574" s="1463"/>
      <c r="S1574" s="1463"/>
      <c r="T1574" s="1463"/>
      <c r="U1574" s="1463"/>
    </row>
    <row r="1575" spans="1:21" ht="15" customHeight="1">
      <c r="A1575" s="1463"/>
      <c r="B1575" s="1463"/>
      <c r="C1575" s="1463"/>
      <c r="D1575" s="1463"/>
      <c r="E1575" s="1463"/>
      <c r="F1575" s="1463"/>
      <c r="G1575" s="1463"/>
      <c r="H1575" s="1463"/>
      <c r="I1575" s="1463"/>
      <c r="J1575" s="1463"/>
      <c r="K1575" s="1463"/>
      <c r="L1575" s="1463"/>
      <c r="M1575" s="1463"/>
      <c r="N1575" s="1463"/>
      <c r="O1575" s="1463"/>
      <c r="P1575" s="1463"/>
      <c r="Q1575" s="1463"/>
      <c r="R1575" s="1463"/>
      <c r="S1575" s="1463"/>
      <c r="T1575" s="1463"/>
      <c r="U1575" s="1463"/>
    </row>
    <row r="1576" spans="1:21" ht="18" customHeight="1">
      <c r="A1576" s="1464" t="s">
        <v>784</v>
      </c>
      <c r="B1576" s="1464"/>
      <c r="C1576" s="1464"/>
      <c r="D1576" s="1464"/>
      <c r="E1576" s="1464"/>
      <c r="F1576" s="1464"/>
      <c r="G1576" s="1464"/>
      <c r="H1576" s="1464"/>
      <c r="I1576" s="1464"/>
      <c r="J1576" s="1464"/>
      <c r="K1576" s="1464"/>
      <c r="L1576" s="1464"/>
      <c r="M1576" s="1464"/>
      <c r="N1576" s="1464"/>
      <c r="O1576" s="1464"/>
      <c r="P1576" s="1464"/>
      <c r="Q1576" s="1464"/>
      <c r="R1576" s="1464"/>
      <c r="S1576" s="1464"/>
      <c r="T1576" s="1464"/>
      <c r="U1576" s="1464"/>
    </row>
    <row r="1577" spans="1:21" ht="23.25" customHeight="1">
      <c r="A1577" s="1465" t="s">
        <v>785</v>
      </c>
      <c r="B1577" s="1465"/>
      <c r="C1577" s="1465"/>
      <c r="D1577" s="1465"/>
      <c r="E1577" s="1465"/>
      <c r="F1577" s="1465"/>
      <c r="G1577" s="1465"/>
      <c r="H1577" s="1465"/>
      <c r="I1577" s="1465"/>
      <c r="J1577" s="1465"/>
      <c r="K1577" s="1465"/>
      <c r="L1577" s="1465"/>
      <c r="M1577" s="1465"/>
      <c r="N1577" s="1465"/>
      <c r="O1577" s="1465"/>
      <c r="P1577" s="1465"/>
      <c r="Q1577" s="1465"/>
      <c r="R1577" s="1465"/>
      <c r="S1577" s="1465"/>
      <c r="T1577" s="1465"/>
      <c r="U1577" s="1465"/>
    </row>
    <row r="1578" spans="1:21" ht="21.75" customHeight="1">
      <c r="A1578" s="874"/>
      <c r="B1578" s="875"/>
      <c r="C1578" s="875"/>
      <c r="D1578" s="875"/>
      <c r="E1578" s="875"/>
      <c r="F1578" s="875"/>
      <c r="G1578" s="875"/>
      <c r="H1578" s="875"/>
      <c r="I1578" s="875"/>
      <c r="J1578" s="875"/>
      <c r="K1578" s="875"/>
      <c r="L1578" s="875"/>
      <c r="M1578" s="875"/>
      <c r="N1578" s="875"/>
      <c r="O1578" s="875"/>
      <c r="P1578" s="875"/>
      <c r="Q1578" s="875"/>
      <c r="R1578" s="875"/>
      <c r="S1578" s="875"/>
      <c r="T1578" s="875"/>
      <c r="U1578" s="876"/>
    </row>
    <row r="1579" spans="1:21" ht="15" customHeight="1">
      <c r="A1579" s="1466" t="s">
        <v>786</v>
      </c>
      <c r="B1579" s="1467" t="s">
        <v>787</v>
      </c>
      <c r="C1579" s="1468" t="s">
        <v>788</v>
      </c>
      <c r="D1579" s="1468" t="s">
        <v>789</v>
      </c>
      <c r="E1579" s="1469" t="s">
        <v>790</v>
      </c>
      <c r="F1579" s="1468" t="s">
        <v>791</v>
      </c>
      <c r="G1579" s="1468"/>
      <c r="H1579" s="1468"/>
      <c r="I1579" s="1468"/>
      <c r="J1579" s="1468"/>
      <c r="K1579" s="1468"/>
      <c r="L1579" s="1468"/>
      <c r="M1579" s="1468"/>
      <c r="N1579" s="1468"/>
      <c r="O1579" s="1468"/>
      <c r="P1579" s="1470"/>
      <c r="Q1579" s="1470"/>
      <c r="R1579" s="1470"/>
      <c r="S1579" s="1470"/>
      <c r="T1579" s="1470"/>
      <c r="U1579" s="1470"/>
    </row>
    <row r="1580" spans="1:21" ht="15.75" customHeight="1">
      <c r="A1580" s="1466"/>
      <c r="B1580" s="1467"/>
      <c r="C1580" s="1468"/>
      <c r="D1580" s="1468"/>
      <c r="E1580" s="1469"/>
      <c r="F1580" s="1468"/>
      <c r="G1580" s="1468"/>
      <c r="H1580" s="1468"/>
      <c r="I1580" s="1468"/>
      <c r="J1580" s="1468"/>
      <c r="K1580" s="1468"/>
      <c r="L1580" s="1468"/>
      <c r="M1580" s="1468"/>
      <c r="N1580" s="1468"/>
      <c r="O1580" s="1468"/>
      <c r="P1580" s="1470"/>
      <c r="Q1580" s="1470"/>
      <c r="R1580" s="1470"/>
      <c r="S1580" s="1470"/>
      <c r="T1580" s="1470"/>
      <c r="U1580" s="1470"/>
    </row>
    <row r="1581" spans="1:21" ht="48" customHeight="1">
      <c r="A1581" s="1466"/>
      <c r="B1581" s="1467"/>
      <c r="C1581" s="1468"/>
      <c r="D1581" s="1468"/>
      <c r="E1581" s="1469"/>
      <c r="F1581" s="878" t="s">
        <v>792</v>
      </c>
      <c r="G1581" s="877" t="s">
        <v>793</v>
      </c>
      <c r="H1581" s="878" t="s">
        <v>794</v>
      </c>
      <c r="I1581" s="879" t="s">
        <v>795</v>
      </c>
      <c r="J1581" s="880" t="s">
        <v>796</v>
      </c>
      <c r="K1581" s="1468" t="s">
        <v>797</v>
      </c>
      <c r="L1581" s="1468"/>
      <c r="M1581" s="1468"/>
      <c r="N1581" s="1468"/>
      <c r="O1581" s="1468"/>
      <c r="P1581" s="881" t="s">
        <v>798</v>
      </c>
      <c r="Q1581" s="882" t="s">
        <v>799</v>
      </c>
      <c r="R1581" s="1469" t="s">
        <v>800</v>
      </c>
      <c r="S1581" s="1469"/>
      <c r="T1581" s="877" t="s">
        <v>801</v>
      </c>
      <c r="U1581" s="879" t="s">
        <v>104</v>
      </c>
    </row>
    <row r="1582" spans="1:21" ht="19.5" customHeight="1">
      <c r="A1582" s="883"/>
      <c r="B1582" s="884" t="str">
        <f>IF('BIS Doc'!AC743=130, "130 × 130", IF('BIS Doc'!AC743=160, "160 × 160", IF('BIS Doc'!AC743=110, "110 × 110", "Value not 130, 160, or 110")))</f>
        <v>Value not 130, 160, or 110</v>
      </c>
      <c r="C1582" s="885">
        <f>'BIS Doc'!W743</f>
        <v>0</v>
      </c>
      <c r="D1582" s="886"/>
      <c r="E1582" s="887">
        <f>'BIS Doc'!AE743</f>
        <v>0</v>
      </c>
      <c r="F1582" s="888">
        <f ca="1">'BIS Doc'!F743</f>
        <v>0</v>
      </c>
      <c r="G1582" s="888">
        <f ca="1">'BIS Doc'!J743</f>
        <v>0</v>
      </c>
      <c r="H1582" s="888">
        <f ca="1">'BIS Doc'!G743</f>
        <v>0.52481807118639123</v>
      </c>
      <c r="I1582" s="889">
        <f ca="1">'BIS Doc'!H743</f>
        <v>0</v>
      </c>
      <c r="J1582" s="889">
        <f ca="1">'BIS Doc'!I743</f>
        <v>0</v>
      </c>
      <c r="K1582" s="1449" t="str">
        <f t="shared" ref="K1582:K1587" ca="1" si="45">IF(H1582&lt;0.6, "IS 14650 CPS 10748/GR2", "IS 14650 CPS 10748/GR3")</f>
        <v>IS 14650 CPS 10748/GR2</v>
      </c>
      <c r="L1582" s="1449"/>
      <c r="M1582" s="1449"/>
      <c r="N1582" s="1449"/>
      <c r="O1582" s="1449"/>
      <c r="P1582" s="890"/>
      <c r="Q1582" s="891"/>
      <c r="R1582" s="1449"/>
      <c r="S1582" s="1449"/>
      <c r="T1582" s="892"/>
      <c r="U1582" s="1450" t="s">
        <v>802</v>
      </c>
    </row>
    <row r="1583" spans="1:21" ht="19.5" customHeight="1">
      <c r="A1583" s="893"/>
      <c r="B1583" s="894" t="str">
        <f>IF('BIS Doc'!AC745=130, "130 × 130", IF('BIS Doc'!AC745=160, "160 × 160", IF('BIS Doc'!AC745=110, "110 × 110", "Value not 130, 160, or 110")))</f>
        <v>Value not 130, 160, or 110</v>
      </c>
      <c r="C1583" s="895">
        <f>'BIS Doc'!W745</f>
        <v>0</v>
      </c>
      <c r="D1583" s="896"/>
      <c r="E1583" s="897">
        <f>'BIS Doc'!AE745</f>
        <v>0</v>
      </c>
      <c r="F1583" s="898">
        <f ca="1">'BIS Doc'!F745</f>
        <v>0</v>
      </c>
      <c r="G1583" s="899">
        <f ca="1">'BIS Doc'!J745</f>
        <v>0</v>
      </c>
      <c r="H1583" s="900">
        <f ca="1">'BIS Doc'!G745</f>
        <v>0.53775323082087489</v>
      </c>
      <c r="I1583" s="901">
        <f ca="1">'BIS Doc'!H745</f>
        <v>0</v>
      </c>
      <c r="J1583" s="901">
        <f ca="1">'BIS Doc'!I745</f>
        <v>0</v>
      </c>
      <c r="K1583" s="1451" t="str">
        <f t="shared" ca="1" si="45"/>
        <v>IS 14650 CPS 10748/GR2</v>
      </c>
      <c r="L1583" s="1451"/>
      <c r="M1583" s="1451"/>
      <c r="N1583" s="1451"/>
      <c r="O1583" s="1451"/>
      <c r="P1583" s="902"/>
      <c r="Q1583" s="903"/>
      <c r="R1583" s="1451"/>
      <c r="S1583" s="1451"/>
      <c r="T1583" s="904"/>
      <c r="U1583" s="1450"/>
    </row>
    <row r="1584" spans="1:21" ht="19.5" customHeight="1">
      <c r="A1584" s="864"/>
      <c r="B1584" s="894" t="str">
        <f>IF('BIS Doc'!AC747=130, "130 × 130", IF('BIS Doc'!AC747=160, "160 × 160", IF('BIS Doc'!AC747=110, "110 × 110", "Value not 130, 160, or 110")))</f>
        <v>Value not 130, 160, or 110</v>
      </c>
      <c r="C1584" s="895">
        <f>'BIS Doc'!W747</f>
        <v>0</v>
      </c>
      <c r="D1584" s="896" t="s">
        <v>803</v>
      </c>
      <c r="E1584" s="897">
        <f>'BIS Doc'!AE747</f>
        <v>0</v>
      </c>
      <c r="F1584" s="898">
        <f ca="1">'BIS Doc'!F747</f>
        <v>0</v>
      </c>
      <c r="G1584" s="899">
        <f ca="1">'BIS Doc'!J747</f>
        <v>0</v>
      </c>
      <c r="H1584" s="900">
        <f ca="1">'BIS Doc'!G747</f>
        <v>0.59419755391048645</v>
      </c>
      <c r="I1584" s="901">
        <f ca="1">'BIS Doc'!H747</f>
        <v>0</v>
      </c>
      <c r="J1584" s="901">
        <f ca="1">'BIS Doc'!I747</f>
        <v>0</v>
      </c>
      <c r="K1584" s="1451" t="str">
        <f t="shared" ca="1" si="45"/>
        <v>IS 14650 CPS 10748/GR2</v>
      </c>
      <c r="L1584" s="1451"/>
      <c r="M1584" s="1451"/>
      <c r="N1584" s="1451"/>
      <c r="O1584" s="1451"/>
      <c r="P1584" s="902"/>
      <c r="Q1584" s="905"/>
      <c r="R1584" s="1451"/>
      <c r="S1584" s="1451"/>
      <c r="T1584" s="904"/>
      <c r="U1584" s="1450"/>
    </row>
    <row r="1585" spans="1:21" ht="19.5" customHeight="1">
      <c r="A1585" s="864"/>
      <c r="B1585" s="894" t="str">
        <f>IF('BIS Doc'!AC749=130, "130 × 130", IF('BIS Doc'!AC749=160, "160 × 160", IF('BIS Doc'!AC749=110, "110 × 110", "Value not 130, 160, or 110")))</f>
        <v>Value not 130, 160, or 110</v>
      </c>
      <c r="C1585" s="895">
        <f>'BIS Doc'!W749</f>
        <v>0</v>
      </c>
      <c r="D1585" s="896"/>
      <c r="E1585" s="897">
        <f>'BIS Doc'!AE749</f>
        <v>0</v>
      </c>
      <c r="F1585" s="898">
        <f ca="1">'BIS Doc'!F749</f>
        <v>0</v>
      </c>
      <c r="G1585" s="899">
        <f ca="1">'BIS Doc'!J749</f>
        <v>0</v>
      </c>
      <c r="H1585" s="900">
        <f ca="1">'BIS Doc'!G749</f>
        <v>0.54999976282290519</v>
      </c>
      <c r="I1585" s="901">
        <f ca="1">'BIS Doc'!H749</f>
        <v>0</v>
      </c>
      <c r="J1585" s="901">
        <f ca="1">'BIS Doc'!I749</f>
        <v>0</v>
      </c>
      <c r="K1585" s="1451" t="str">
        <f t="shared" ca="1" si="45"/>
        <v>IS 14650 CPS 10748/GR2</v>
      </c>
      <c r="L1585" s="1451"/>
      <c r="M1585" s="1451"/>
      <c r="N1585" s="1451"/>
      <c r="O1585" s="1451"/>
      <c r="P1585" s="902"/>
      <c r="Q1585" s="905"/>
      <c r="R1585" s="1451"/>
      <c r="S1585" s="1451"/>
      <c r="T1585" s="904"/>
      <c r="U1585" s="1450"/>
    </row>
    <row r="1586" spans="1:21" ht="19.5" customHeight="1">
      <c r="A1586" s="864"/>
      <c r="B1586" s="894" t="str">
        <f>IF('BIS Doc'!AC751=130, "130 × 130", IF('BIS Doc'!AC751=160, "160 × 160", IF('BIS Doc'!AC751=110, "110 × 110", "Value not 130, 160, or 110")))</f>
        <v>Value not 130, 160, or 110</v>
      </c>
      <c r="C1586" s="895">
        <f>'BIS Doc'!W751</f>
        <v>0</v>
      </c>
      <c r="D1586" s="896"/>
      <c r="E1586" s="897">
        <f>'BIS Doc'!AE751</f>
        <v>0</v>
      </c>
      <c r="F1586" s="898">
        <f ca="1">'BIS Doc'!F751</f>
        <v>0</v>
      </c>
      <c r="G1586" s="899">
        <f ca="1">'BIS Doc'!J751</f>
        <v>0</v>
      </c>
      <c r="H1586" s="900">
        <f ca="1">'BIS Doc'!G751</f>
        <v>0.59786137487394497</v>
      </c>
      <c r="I1586" s="901">
        <f ca="1">'BIS Doc'!H751</f>
        <v>0</v>
      </c>
      <c r="J1586" s="901">
        <f ca="1">'BIS Doc'!I751</f>
        <v>0</v>
      </c>
      <c r="K1586" s="1451" t="str">
        <f t="shared" ca="1" si="45"/>
        <v>IS 14650 CPS 10748/GR2</v>
      </c>
      <c r="L1586" s="1451"/>
      <c r="M1586" s="1451"/>
      <c r="N1586" s="1451"/>
      <c r="O1586" s="1451"/>
      <c r="P1586" s="902"/>
      <c r="Q1586" s="905"/>
      <c r="R1586" s="1451"/>
      <c r="S1586" s="1451"/>
      <c r="T1586" s="904"/>
      <c r="U1586" s="1450"/>
    </row>
    <row r="1587" spans="1:21" ht="19.5" customHeight="1">
      <c r="A1587" s="864"/>
      <c r="B1587" s="894" t="str">
        <f>IF('BIS Doc'!AC753=130, "130 × 130", IF('BIS Doc'!AC753=160, "160 × 160", IF('BIS Doc'!AC753=110, "110 × 110", "Value not 130, 160, or 110")))</f>
        <v>Value not 130, 160, or 110</v>
      </c>
      <c r="C1587" s="895">
        <f>'BIS Doc'!W753</f>
        <v>0</v>
      </c>
      <c r="D1587" s="896"/>
      <c r="E1587" s="897">
        <f>'BIS Doc'!AE753</f>
        <v>0</v>
      </c>
      <c r="F1587" s="898">
        <f ca="1">'BIS Doc'!F753</f>
        <v>0</v>
      </c>
      <c r="G1587" s="899">
        <f ca="1">'BIS Doc'!J753</f>
        <v>0</v>
      </c>
      <c r="H1587" s="900">
        <f ca="1">'BIS Doc'!G753</f>
        <v>0.54355697297862116</v>
      </c>
      <c r="I1587" s="901">
        <f ca="1">'BIS Doc'!H753</f>
        <v>0</v>
      </c>
      <c r="J1587" s="901">
        <f ca="1">'BIS Doc'!I753</f>
        <v>0</v>
      </c>
      <c r="K1587" s="1451" t="str">
        <f t="shared" ca="1" si="45"/>
        <v>IS 14650 CPS 10748/GR2</v>
      </c>
      <c r="L1587" s="1451"/>
      <c r="M1587" s="1451"/>
      <c r="N1587" s="1451"/>
      <c r="O1587" s="1451"/>
      <c r="P1587" s="902"/>
      <c r="Q1587" s="903"/>
      <c r="R1587" s="1451"/>
      <c r="S1587" s="1451"/>
      <c r="T1587" s="904"/>
      <c r="U1587" s="1450"/>
    </row>
    <row r="1588" spans="1:21" ht="19.5" customHeight="1">
      <c r="A1588" s="864"/>
      <c r="B1588" s="904"/>
      <c r="C1588" s="895"/>
      <c r="D1588" s="896"/>
      <c r="E1588" s="897"/>
      <c r="F1588" s="906"/>
      <c r="G1588" s="907"/>
      <c r="H1588" s="908"/>
      <c r="I1588" s="909"/>
      <c r="J1588" s="909"/>
      <c r="K1588" s="1451"/>
      <c r="L1588" s="1451"/>
      <c r="M1588" s="1451"/>
      <c r="N1588" s="1451"/>
      <c r="O1588" s="1451"/>
      <c r="P1588" s="902"/>
      <c r="Q1588" s="903"/>
      <c r="R1588" s="1451"/>
      <c r="S1588" s="1451"/>
      <c r="T1588" s="904"/>
      <c r="U1588" s="1450"/>
    </row>
    <row r="1589" spans="1:21" ht="19.5" customHeight="1">
      <c r="A1589" s="864"/>
      <c r="B1589" s="904"/>
      <c r="C1589" s="895"/>
      <c r="D1589" s="896"/>
      <c r="E1589" s="897"/>
      <c r="F1589" s="906"/>
      <c r="G1589" s="907"/>
      <c r="H1589" s="908"/>
      <c r="I1589" s="909"/>
      <c r="J1589" s="909"/>
      <c r="K1589" s="1451"/>
      <c r="L1589" s="1451"/>
      <c r="M1589" s="1451"/>
      <c r="N1589" s="1451"/>
      <c r="O1589" s="1451"/>
      <c r="P1589" s="902"/>
      <c r="Q1589" s="905"/>
      <c r="R1589" s="1451"/>
      <c r="S1589" s="1451"/>
      <c r="T1589" s="904"/>
      <c r="U1589" s="1450"/>
    </row>
    <row r="1590" spans="1:21" ht="19.5" customHeight="1">
      <c r="A1590" s="864"/>
      <c r="B1590" s="910"/>
      <c r="C1590" s="911"/>
      <c r="D1590" s="896"/>
      <c r="E1590" s="897"/>
      <c r="F1590" s="906"/>
      <c r="G1590" s="907"/>
      <c r="H1590" s="908"/>
      <c r="I1590" s="909"/>
      <c r="J1590" s="909"/>
      <c r="K1590" s="1451"/>
      <c r="L1590" s="1451"/>
      <c r="M1590" s="1451"/>
      <c r="N1590" s="1451"/>
      <c r="O1590" s="1451"/>
      <c r="P1590" s="912"/>
      <c r="Q1590" s="913"/>
      <c r="R1590" s="1452"/>
      <c r="S1590" s="1452"/>
      <c r="T1590" s="910"/>
      <c r="U1590" s="1450"/>
    </row>
    <row r="1591" spans="1:21" ht="19.5" customHeight="1">
      <c r="A1591" s="914"/>
      <c r="B1591" s="915"/>
      <c r="C1591" s="916"/>
      <c r="D1591" s="917"/>
      <c r="E1591" s="918">
        <f>SUM(E1582:E1587)</f>
        <v>0</v>
      </c>
      <c r="F1591" s="919"/>
      <c r="G1591" s="920"/>
      <c r="H1591" s="921"/>
      <c r="I1591" s="922"/>
      <c r="J1591" s="922"/>
      <c r="K1591" s="1453"/>
      <c r="L1591" s="1453"/>
      <c r="M1591" s="1453"/>
      <c r="N1591" s="1453"/>
      <c r="O1591" s="1453"/>
      <c r="P1591" s="923"/>
      <c r="Q1591" s="924"/>
      <c r="R1591" s="1454"/>
      <c r="S1591" s="1454"/>
      <c r="T1591" s="915"/>
      <c r="U1591" s="1450"/>
    </row>
    <row r="1592" spans="1:21" ht="15.75" customHeight="1">
      <c r="A1592" s="864"/>
      <c r="B1592" s="773"/>
      <c r="C1592" s="773"/>
      <c r="D1592" s="925"/>
      <c r="E1592" s="926"/>
      <c r="F1592" s="927"/>
      <c r="G1592" s="928"/>
      <c r="H1592" s="259"/>
      <c r="I1592" s="259"/>
      <c r="J1592" s="928"/>
      <c r="K1592" s="929"/>
      <c r="L1592" s="929"/>
      <c r="M1592" s="929"/>
      <c r="N1592" s="929"/>
      <c r="O1592" s="928"/>
      <c r="P1592" s="930"/>
      <c r="Q1592" s="931"/>
      <c r="R1592" s="931"/>
      <c r="U1592" s="932"/>
    </row>
    <row r="1593" spans="1:21" ht="18.75" customHeight="1">
      <c r="A1593" s="864"/>
      <c r="B1593" s="773"/>
      <c r="C1593" s="773"/>
      <c r="D1593" s="773"/>
      <c r="E1593" s="773"/>
      <c r="F1593" s="773"/>
      <c r="G1593" s="773"/>
      <c r="H1593" s="773"/>
      <c r="I1593" s="773"/>
      <c r="J1593" s="773"/>
      <c r="K1593" s="773"/>
      <c r="P1593" s="1446" t="s">
        <v>804</v>
      </c>
      <c r="Q1593" s="1446"/>
      <c r="R1593" s="1446"/>
      <c r="S1593" s="1446"/>
      <c r="T1593" s="1446"/>
      <c r="U1593" s="1446"/>
    </row>
    <row r="1594" spans="1:21" ht="18.75" customHeight="1">
      <c r="A1594" s="1447" t="s">
        <v>805</v>
      </c>
      <c r="B1594" s="1447"/>
      <c r="C1594" s="933"/>
      <c r="D1594" s="933"/>
      <c r="E1594" s="933"/>
      <c r="F1594" s="933"/>
      <c r="P1594" s="855"/>
      <c r="Q1594" s="855"/>
      <c r="R1594" s="855"/>
      <c r="S1594" s="855"/>
      <c r="T1594" s="855"/>
      <c r="U1594" s="934"/>
    </row>
    <row r="1595" spans="1:21" ht="18.75" customHeight="1">
      <c r="A1595" s="854"/>
      <c r="B1595" s="855"/>
      <c r="P1595" s="855"/>
      <c r="Q1595" s="855"/>
      <c r="R1595" s="855"/>
      <c r="S1595" s="855"/>
      <c r="T1595" s="855"/>
      <c r="U1595" s="934"/>
    </row>
    <row r="1596" spans="1:21" ht="18.75" customHeight="1">
      <c r="A1596" s="854" t="s">
        <v>806</v>
      </c>
      <c r="B1596" s="855"/>
      <c r="C1596" s="867"/>
      <c r="D1596" s="941"/>
      <c r="E1596" s="933"/>
      <c r="F1596" s="933"/>
      <c r="P1596" s="855"/>
      <c r="Q1596" s="855"/>
      <c r="R1596" s="855"/>
      <c r="S1596" s="855"/>
      <c r="T1596" s="855"/>
      <c r="U1596" s="934"/>
    </row>
    <row r="1597" spans="1:21" ht="18.75" customHeight="1">
      <c r="A1597" s="854"/>
      <c r="B1597" s="855"/>
      <c r="C1597" s="937"/>
      <c r="P1597" s="855"/>
      <c r="Q1597" s="855"/>
      <c r="R1597" s="855"/>
      <c r="S1597" s="855"/>
      <c r="T1597" s="855"/>
      <c r="U1597" s="934"/>
    </row>
    <row r="1598" spans="1:21" ht="19.5" customHeight="1">
      <c r="A1598" s="938"/>
      <c r="B1598" s="939"/>
      <c r="C1598" s="940"/>
      <c r="D1598" s="453"/>
      <c r="E1598" s="453"/>
      <c r="F1598" s="453"/>
      <c r="G1598" s="453"/>
      <c r="H1598" s="453"/>
      <c r="I1598" s="453"/>
      <c r="J1598" s="453"/>
      <c r="K1598" s="453"/>
      <c r="L1598" s="453"/>
      <c r="M1598" s="453"/>
      <c r="N1598" s="453"/>
      <c r="O1598" s="453"/>
      <c r="P1598" s="1448" t="s">
        <v>807</v>
      </c>
      <c r="Q1598" s="1448"/>
      <c r="R1598" s="1448"/>
      <c r="S1598" s="1448"/>
      <c r="T1598" s="1448"/>
      <c r="U1598" s="1448"/>
    </row>
    <row r="1599" spans="1:21" ht="45.75" customHeight="1">
      <c r="A1599" s="1455"/>
      <c r="B1599" s="1455"/>
      <c r="C1599" s="1455"/>
      <c r="D1599" s="847"/>
      <c r="E1599" s="1456" t="s">
        <v>774</v>
      </c>
      <c r="F1599" s="1456"/>
      <c r="G1599" s="1456"/>
      <c r="H1599" s="1456"/>
      <c r="I1599" s="1456"/>
      <c r="J1599" s="1456"/>
      <c r="K1599" s="1456"/>
      <c r="L1599" s="1456"/>
      <c r="M1599" s="1456"/>
      <c r="N1599" s="1456"/>
      <c r="O1599" s="1456"/>
      <c r="P1599" s="1456"/>
      <c r="Q1599" s="1456"/>
      <c r="R1599" s="1456"/>
      <c r="S1599" s="848"/>
      <c r="T1599" s="1457" t="s">
        <v>775</v>
      </c>
      <c r="U1599" s="1457"/>
    </row>
    <row r="1600" spans="1:21" ht="18.75" customHeight="1">
      <c r="A1600" s="849"/>
      <c r="E1600" s="1458" t="s">
        <v>776</v>
      </c>
      <c r="F1600" s="1458"/>
      <c r="G1600" s="1458"/>
      <c r="H1600" s="1458"/>
      <c r="I1600" s="1458"/>
      <c r="J1600" s="1458"/>
      <c r="K1600" s="1458"/>
      <c r="L1600" s="1458"/>
      <c r="M1600" s="1458"/>
      <c r="N1600" s="1458"/>
      <c r="O1600" s="1458"/>
      <c r="P1600" s="1458"/>
      <c r="Q1600" s="1458"/>
      <c r="R1600" s="1458"/>
      <c r="U1600" s="456"/>
    </row>
    <row r="1601" spans="1:21" ht="18.75" customHeight="1">
      <c r="A1601" s="850"/>
      <c r="F1601" s="587"/>
      <c r="G1601" s="587"/>
      <c r="H1601" s="587"/>
      <c r="I1601" s="587"/>
      <c r="J1601" s="587"/>
      <c r="K1601" s="587"/>
      <c r="L1601" s="587"/>
      <c r="M1601" s="851"/>
      <c r="N1601" s="852"/>
      <c r="O1601" s="851"/>
      <c r="P1601" s="1459" t="s">
        <v>777</v>
      </c>
      <c r="Q1601" s="1459"/>
      <c r="R1601" s="1459"/>
      <c r="S1601" s="1459"/>
      <c r="T1601" s="1459"/>
      <c r="U1601" s="1459"/>
    </row>
    <row r="1602" spans="1:21" ht="15" customHeight="1">
      <c r="A1602" s="849"/>
      <c r="E1602" s="1287" t="s">
        <v>778</v>
      </c>
      <c r="F1602" s="1287"/>
      <c r="G1602" s="1287"/>
      <c r="H1602" s="1287"/>
      <c r="I1602" s="1287"/>
      <c r="J1602" s="1287"/>
      <c r="K1602" s="1287"/>
      <c r="L1602" s="1287"/>
      <c r="M1602" s="1287"/>
      <c r="N1602" s="1287"/>
      <c r="O1602" s="1287"/>
      <c r="P1602" s="1287"/>
      <c r="Q1602" s="1287"/>
      <c r="R1602" s="1287"/>
      <c r="U1602" s="456"/>
    </row>
    <row r="1603" spans="1:21" ht="18.75" customHeight="1">
      <c r="A1603" s="849"/>
      <c r="E1603" s="1286" t="s">
        <v>779</v>
      </c>
      <c r="F1603" s="1286"/>
      <c r="G1603" s="1286"/>
      <c r="H1603" s="1286"/>
      <c r="I1603" s="1286"/>
      <c r="J1603" s="1286"/>
      <c r="K1603" s="1286"/>
      <c r="L1603" s="1286"/>
      <c r="M1603" s="1286"/>
      <c r="N1603" s="1286"/>
      <c r="O1603" s="1286"/>
      <c r="P1603" s="1286"/>
      <c r="Q1603" s="1286"/>
      <c r="R1603" s="1286"/>
      <c r="U1603" s="853"/>
    </row>
    <row r="1604" spans="1:21" ht="23.25" customHeight="1">
      <c r="A1604" s="854" t="s">
        <v>780</v>
      </c>
      <c r="B1604" s="855"/>
      <c r="C1604" s="855"/>
      <c r="D1604" s="856" t="s">
        <v>871</v>
      </c>
      <c r="E1604" s="857"/>
      <c r="F1604" s="858"/>
      <c r="G1604" s="859"/>
      <c r="H1604" s="859"/>
      <c r="I1604" s="859"/>
      <c r="J1604" s="859"/>
      <c r="K1604" s="859"/>
      <c r="L1604" s="860"/>
      <c r="M1604" s="1460"/>
      <c r="N1604" s="1460"/>
      <c r="O1604" s="1460"/>
      <c r="P1604" s="1461" t="s">
        <v>781</v>
      </c>
      <c r="Q1604" s="1461"/>
      <c r="R1604" s="1461"/>
      <c r="S1604" s="855"/>
      <c r="T1604" s="861">
        <v>46319</v>
      </c>
      <c r="U1604" s="456"/>
    </row>
    <row r="1605" spans="1:21" ht="23.25" customHeight="1">
      <c r="A1605" s="854"/>
      <c r="B1605" s="862"/>
      <c r="C1605" s="862"/>
      <c r="D1605" s="862"/>
      <c r="E1605" s="163"/>
      <c r="F1605" s="863"/>
      <c r="G1605" s="863"/>
      <c r="H1605" s="863"/>
      <c r="I1605" s="863"/>
      <c r="J1605" s="863"/>
      <c r="K1605" s="863"/>
      <c r="U1605" s="456"/>
    </row>
    <row r="1606" spans="1:21" ht="21" customHeight="1">
      <c r="A1606" s="864" t="s">
        <v>782</v>
      </c>
      <c r="B1606" s="865"/>
      <c r="C1606" s="866"/>
      <c r="D1606" s="867"/>
      <c r="E1606" s="868"/>
      <c r="F1606" s="869"/>
      <c r="G1606" s="869"/>
      <c r="H1606" s="869"/>
      <c r="I1606" s="870"/>
      <c r="J1606" s="870"/>
      <c r="P1606" s="1462"/>
      <c r="Q1606" s="1462"/>
      <c r="R1606" s="1462"/>
      <c r="S1606" s="1462"/>
      <c r="T1606" s="871"/>
      <c r="U1606" s="456"/>
    </row>
    <row r="1607" spans="1:21" ht="21" customHeight="1">
      <c r="A1607" s="872"/>
      <c r="B1607" s="873"/>
      <c r="C1607" s="869"/>
      <c r="D1607" s="869"/>
      <c r="E1607" s="869"/>
      <c r="F1607" s="869"/>
      <c r="G1607" s="869"/>
      <c r="H1607" s="869"/>
      <c r="I1607" s="870"/>
      <c r="J1607" s="870"/>
      <c r="U1607" s="456"/>
    </row>
    <row r="1608" spans="1:21" ht="15" customHeight="1">
      <c r="A1608" s="1463" t="s">
        <v>783</v>
      </c>
      <c r="B1608" s="1463"/>
      <c r="C1608" s="1463"/>
      <c r="D1608" s="1463"/>
      <c r="E1608" s="1463"/>
      <c r="F1608" s="1463"/>
      <c r="G1608" s="1463"/>
      <c r="H1608" s="1463"/>
      <c r="I1608" s="1463"/>
      <c r="J1608" s="1463"/>
      <c r="K1608" s="1463"/>
      <c r="L1608" s="1463"/>
      <c r="M1608" s="1463"/>
      <c r="N1608" s="1463"/>
      <c r="O1608" s="1463"/>
      <c r="P1608" s="1463"/>
      <c r="Q1608" s="1463"/>
      <c r="R1608" s="1463"/>
      <c r="S1608" s="1463"/>
      <c r="T1608" s="1463"/>
      <c r="U1608" s="1463"/>
    </row>
    <row r="1609" spans="1:21" ht="15" customHeight="1">
      <c r="A1609" s="1463"/>
      <c r="B1609" s="1463"/>
      <c r="C1609" s="1463"/>
      <c r="D1609" s="1463"/>
      <c r="E1609" s="1463"/>
      <c r="F1609" s="1463"/>
      <c r="G1609" s="1463"/>
      <c r="H1609" s="1463"/>
      <c r="I1609" s="1463"/>
      <c r="J1609" s="1463"/>
      <c r="K1609" s="1463"/>
      <c r="L1609" s="1463"/>
      <c r="M1609" s="1463"/>
      <c r="N1609" s="1463"/>
      <c r="O1609" s="1463"/>
      <c r="P1609" s="1463"/>
      <c r="Q1609" s="1463"/>
      <c r="R1609" s="1463"/>
      <c r="S1609" s="1463"/>
      <c r="T1609" s="1463"/>
      <c r="U1609" s="1463"/>
    </row>
    <row r="1610" spans="1:21" ht="18" customHeight="1">
      <c r="A1610" s="1464" t="s">
        <v>784</v>
      </c>
      <c r="B1610" s="1464"/>
      <c r="C1610" s="1464"/>
      <c r="D1610" s="1464"/>
      <c r="E1610" s="1464"/>
      <c r="F1610" s="1464"/>
      <c r="G1610" s="1464"/>
      <c r="H1610" s="1464"/>
      <c r="I1610" s="1464"/>
      <c r="J1610" s="1464"/>
      <c r="K1610" s="1464"/>
      <c r="L1610" s="1464"/>
      <c r="M1610" s="1464"/>
      <c r="N1610" s="1464"/>
      <c r="O1610" s="1464"/>
      <c r="P1610" s="1464"/>
      <c r="Q1610" s="1464"/>
      <c r="R1610" s="1464"/>
      <c r="S1610" s="1464"/>
      <c r="T1610" s="1464"/>
      <c r="U1610" s="1464"/>
    </row>
    <row r="1611" spans="1:21" ht="23.25" customHeight="1">
      <c r="A1611" s="1465" t="s">
        <v>785</v>
      </c>
      <c r="B1611" s="1465"/>
      <c r="C1611" s="1465"/>
      <c r="D1611" s="1465"/>
      <c r="E1611" s="1465"/>
      <c r="F1611" s="1465"/>
      <c r="G1611" s="1465"/>
      <c r="H1611" s="1465"/>
      <c r="I1611" s="1465"/>
      <c r="J1611" s="1465"/>
      <c r="K1611" s="1465"/>
      <c r="L1611" s="1465"/>
      <c r="M1611" s="1465"/>
      <c r="N1611" s="1465"/>
      <c r="O1611" s="1465"/>
      <c r="P1611" s="1465"/>
      <c r="Q1611" s="1465"/>
      <c r="R1611" s="1465"/>
      <c r="S1611" s="1465"/>
      <c r="T1611" s="1465"/>
      <c r="U1611" s="1465"/>
    </row>
    <row r="1612" spans="1:21" ht="21.75" customHeight="1">
      <c r="A1612" s="874"/>
      <c r="B1612" s="875"/>
      <c r="C1612" s="875"/>
      <c r="D1612" s="875"/>
      <c r="E1612" s="875"/>
      <c r="F1612" s="875"/>
      <c r="G1612" s="875"/>
      <c r="H1612" s="875"/>
      <c r="I1612" s="875"/>
      <c r="J1612" s="875"/>
      <c r="K1612" s="875"/>
      <c r="L1612" s="875"/>
      <c r="M1612" s="875"/>
      <c r="N1612" s="875"/>
      <c r="O1612" s="875"/>
      <c r="P1612" s="875"/>
      <c r="Q1612" s="875"/>
      <c r="R1612" s="875"/>
      <c r="S1612" s="875"/>
      <c r="T1612" s="875"/>
      <c r="U1612" s="876"/>
    </row>
    <row r="1613" spans="1:21" ht="15" customHeight="1">
      <c r="A1613" s="1466" t="s">
        <v>786</v>
      </c>
      <c r="B1613" s="1467" t="s">
        <v>787</v>
      </c>
      <c r="C1613" s="1468" t="s">
        <v>788</v>
      </c>
      <c r="D1613" s="1468" t="s">
        <v>789</v>
      </c>
      <c r="E1613" s="1469" t="s">
        <v>790</v>
      </c>
      <c r="F1613" s="1468" t="s">
        <v>791</v>
      </c>
      <c r="G1613" s="1468"/>
      <c r="H1613" s="1468"/>
      <c r="I1613" s="1468"/>
      <c r="J1613" s="1468"/>
      <c r="K1613" s="1468"/>
      <c r="L1613" s="1468"/>
      <c r="M1613" s="1468"/>
      <c r="N1613" s="1468"/>
      <c r="O1613" s="1468"/>
      <c r="P1613" s="1470"/>
      <c r="Q1613" s="1470"/>
      <c r="R1613" s="1470"/>
      <c r="S1613" s="1470"/>
      <c r="T1613" s="1470"/>
      <c r="U1613" s="1470"/>
    </row>
    <row r="1614" spans="1:21" ht="15.75" customHeight="1">
      <c r="A1614" s="1466"/>
      <c r="B1614" s="1467"/>
      <c r="C1614" s="1468"/>
      <c r="D1614" s="1468"/>
      <c r="E1614" s="1469"/>
      <c r="F1614" s="1468"/>
      <c r="G1614" s="1468"/>
      <c r="H1614" s="1468"/>
      <c r="I1614" s="1468"/>
      <c r="J1614" s="1468"/>
      <c r="K1614" s="1468"/>
      <c r="L1614" s="1468"/>
      <c r="M1614" s="1468"/>
      <c r="N1614" s="1468"/>
      <c r="O1614" s="1468"/>
      <c r="P1614" s="1470"/>
      <c r="Q1614" s="1470"/>
      <c r="R1614" s="1470"/>
      <c r="S1614" s="1470"/>
      <c r="T1614" s="1470"/>
      <c r="U1614" s="1470"/>
    </row>
    <row r="1615" spans="1:21" ht="48" customHeight="1">
      <c r="A1615" s="1466"/>
      <c r="B1615" s="1467"/>
      <c r="C1615" s="1468"/>
      <c r="D1615" s="1468"/>
      <c r="E1615" s="1469"/>
      <c r="F1615" s="878" t="s">
        <v>792</v>
      </c>
      <c r="G1615" s="877" t="s">
        <v>793</v>
      </c>
      <c r="H1615" s="878" t="s">
        <v>794</v>
      </c>
      <c r="I1615" s="879" t="s">
        <v>795</v>
      </c>
      <c r="J1615" s="880" t="s">
        <v>796</v>
      </c>
      <c r="K1615" s="1468" t="s">
        <v>797</v>
      </c>
      <c r="L1615" s="1468"/>
      <c r="M1615" s="1468"/>
      <c r="N1615" s="1468"/>
      <c r="O1615" s="1468"/>
      <c r="P1615" s="881" t="s">
        <v>798</v>
      </c>
      <c r="Q1615" s="882" t="s">
        <v>799</v>
      </c>
      <c r="R1615" s="1469" t="s">
        <v>800</v>
      </c>
      <c r="S1615" s="1469"/>
      <c r="T1615" s="877" t="s">
        <v>801</v>
      </c>
      <c r="U1615" s="879" t="s">
        <v>104</v>
      </c>
    </row>
    <row r="1616" spans="1:21" ht="19.5" customHeight="1">
      <c r="A1616" s="883"/>
      <c r="B1616" s="884" t="str">
        <f>IF('BIS Doc'!AC755=130, "130 × 130", IF('BIS Doc'!AC755=160, "160 × 160", IF('BIS Doc'!AC755=110, "110 × 110", "Value not 130, 160, or 110")))</f>
        <v>Value not 130, 160, or 110</v>
      </c>
      <c r="C1616" s="885">
        <f>'BIS Doc'!W755</f>
        <v>0</v>
      </c>
      <c r="D1616" s="886"/>
      <c r="E1616" s="887">
        <f>'BIS Doc'!AE755</f>
        <v>0</v>
      </c>
      <c r="F1616" s="888">
        <f ca="1">'BIS Doc'!F755</f>
        <v>0</v>
      </c>
      <c r="G1616" s="888">
        <f ca="1">'BIS Doc'!J755</f>
        <v>0</v>
      </c>
      <c r="H1616" s="888">
        <f ca="1">'BIS Doc'!G755</f>
        <v>0.52673243638512823</v>
      </c>
      <c r="I1616" s="889">
        <f ca="1">'BIS Doc'!H755</f>
        <v>0</v>
      </c>
      <c r="J1616" s="889">
        <f ca="1">'BIS Doc'!I755</f>
        <v>0</v>
      </c>
      <c r="K1616" s="1449" t="str">
        <f t="shared" ref="K1616:K1621" ca="1" si="46">IF(H1616&lt;0.6, "IS 14650 CPS 10748/GR2", "IS 14650 CPS 10748/GR3")</f>
        <v>IS 14650 CPS 10748/GR2</v>
      </c>
      <c r="L1616" s="1449"/>
      <c r="M1616" s="1449"/>
      <c r="N1616" s="1449"/>
      <c r="O1616" s="1449"/>
      <c r="P1616" s="890"/>
      <c r="Q1616" s="891"/>
      <c r="R1616" s="1449"/>
      <c r="S1616" s="1449"/>
      <c r="T1616" s="892"/>
      <c r="U1616" s="1450" t="s">
        <v>802</v>
      </c>
    </row>
    <row r="1617" spans="1:21" ht="19.5" customHeight="1">
      <c r="A1617" s="893"/>
      <c r="B1617" s="894" t="str">
        <f>IF('BIS Doc'!AC757=130, "130 × 130", IF('BIS Doc'!AC757=160, "160 × 160", IF('BIS Doc'!AC757=110, "110 × 110", "Value not 130, 160, or 110")))</f>
        <v>Value not 130, 160, or 110</v>
      </c>
      <c r="C1617" s="895">
        <f>'BIS Doc'!W757</f>
        <v>0</v>
      </c>
      <c r="D1617" s="896"/>
      <c r="E1617" s="897">
        <f>'BIS Doc'!AE757</f>
        <v>0</v>
      </c>
      <c r="F1617" s="898">
        <f ca="1">'BIS Doc'!F757</f>
        <v>0</v>
      </c>
      <c r="G1617" s="899">
        <f ca="1">'BIS Doc'!J757</f>
        <v>0</v>
      </c>
      <c r="H1617" s="900">
        <f ca="1">'BIS Doc'!G757</f>
        <v>0.57098698853004415</v>
      </c>
      <c r="I1617" s="901">
        <f ca="1">'BIS Doc'!H757</f>
        <v>0</v>
      </c>
      <c r="J1617" s="901">
        <f ca="1">'BIS Doc'!I757</f>
        <v>0</v>
      </c>
      <c r="K1617" s="1451" t="str">
        <f t="shared" ca="1" si="46"/>
        <v>IS 14650 CPS 10748/GR2</v>
      </c>
      <c r="L1617" s="1451"/>
      <c r="M1617" s="1451"/>
      <c r="N1617" s="1451"/>
      <c r="O1617" s="1451"/>
      <c r="P1617" s="902"/>
      <c r="Q1617" s="903"/>
      <c r="R1617" s="1451"/>
      <c r="S1617" s="1451"/>
      <c r="T1617" s="904"/>
      <c r="U1617" s="1450"/>
    </row>
    <row r="1618" spans="1:21" ht="19.5" customHeight="1">
      <c r="A1618" s="864"/>
      <c r="B1618" s="894" t="str">
        <f>IF('BIS Doc'!AC759=130, "130 × 130", IF('BIS Doc'!AC759=160, "160 × 160", IF('BIS Doc'!AC759=110, "110 × 110", "Value not 130, 160, or 110")))</f>
        <v>Value not 130, 160, or 110</v>
      </c>
      <c r="C1618" s="895">
        <f>'BIS Doc'!W759</f>
        <v>0</v>
      </c>
      <c r="D1618" s="896" t="s">
        <v>803</v>
      </c>
      <c r="E1618" s="897">
        <f>'BIS Doc'!AE759</f>
        <v>0</v>
      </c>
      <c r="F1618" s="898">
        <f ca="1">'BIS Doc'!F759</f>
        <v>0</v>
      </c>
      <c r="G1618" s="899">
        <f ca="1">'BIS Doc'!J759</f>
        <v>0</v>
      </c>
      <c r="H1618" s="900">
        <f ca="1">'BIS Doc'!G759</f>
        <v>0.58857075297746875</v>
      </c>
      <c r="I1618" s="901">
        <f ca="1">'BIS Doc'!H759</f>
        <v>0</v>
      </c>
      <c r="J1618" s="901">
        <f ca="1">'BIS Doc'!I759</f>
        <v>0</v>
      </c>
      <c r="K1618" s="1451" t="str">
        <f t="shared" ca="1" si="46"/>
        <v>IS 14650 CPS 10748/GR2</v>
      </c>
      <c r="L1618" s="1451"/>
      <c r="M1618" s="1451"/>
      <c r="N1618" s="1451"/>
      <c r="O1618" s="1451"/>
      <c r="P1618" s="902"/>
      <c r="Q1618" s="905"/>
      <c r="R1618" s="1451"/>
      <c r="S1618" s="1451"/>
      <c r="T1618" s="904"/>
      <c r="U1618" s="1450"/>
    </row>
    <row r="1619" spans="1:21" ht="19.5" customHeight="1">
      <c r="A1619" s="864"/>
      <c r="B1619" s="894" t="str">
        <f>IF('BIS Doc'!AC761=130, "130 × 130", IF('BIS Doc'!AC761=160, "160 × 160", IF('BIS Doc'!AC761=110, "110 × 110", "Value not 130, 160, or 110")))</f>
        <v>Value not 130, 160, or 110</v>
      </c>
      <c r="C1619" s="895">
        <f>'BIS Doc'!W761</f>
        <v>0</v>
      </c>
      <c r="D1619" s="896"/>
      <c r="E1619" s="897">
        <f>'BIS Doc'!AE761</f>
        <v>0</v>
      </c>
      <c r="F1619" s="898">
        <f ca="1">'BIS Doc'!F761</f>
        <v>0</v>
      </c>
      <c r="G1619" s="899">
        <f ca="1">'BIS Doc'!J761</f>
        <v>0</v>
      </c>
      <c r="H1619" s="900">
        <f ca="1">'BIS Doc'!G761</f>
        <v>0.57285195121606802</v>
      </c>
      <c r="I1619" s="901">
        <f ca="1">'BIS Doc'!H761</f>
        <v>0</v>
      </c>
      <c r="J1619" s="901">
        <f ca="1">'BIS Doc'!I761</f>
        <v>0</v>
      </c>
      <c r="K1619" s="1451" t="str">
        <f t="shared" ca="1" si="46"/>
        <v>IS 14650 CPS 10748/GR2</v>
      </c>
      <c r="L1619" s="1451"/>
      <c r="M1619" s="1451"/>
      <c r="N1619" s="1451"/>
      <c r="O1619" s="1451"/>
      <c r="P1619" s="902"/>
      <c r="Q1619" s="905"/>
      <c r="R1619" s="1451"/>
      <c r="S1619" s="1451"/>
      <c r="T1619" s="904"/>
      <c r="U1619" s="1450"/>
    </row>
    <row r="1620" spans="1:21" ht="19.5" customHeight="1">
      <c r="A1620" s="864"/>
      <c r="B1620" s="894" t="str">
        <f>IF('BIS Doc'!AC763=130, "130 × 130", IF('BIS Doc'!AC763=160, "160 × 160", IF('BIS Doc'!AC763=110, "110 × 110", "Value not 130, 160, or 110")))</f>
        <v>Value not 130, 160, or 110</v>
      </c>
      <c r="C1620" s="895">
        <f>'BIS Doc'!W763</f>
        <v>0</v>
      </c>
      <c r="D1620" s="896"/>
      <c r="E1620" s="897">
        <f>'BIS Doc'!AE763</f>
        <v>0</v>
      </c>
      <c r="F1620" s="898">
        <f ca="1">'BIS Doc'!F763</f>
        <v>0</v>
      </c>
      <c r="G1620" s="899">
        <f ca="1">'BIS Doc'!J763</f>
        <v>0</v>
      </c>
      <c r="H1620" s="900">
        <f ca="1">'BIS Doc'!G763</f>
        <v>0.53960858244969767</v>
      </c>
      <c r="I1620" s="901">
        <f ca="1">'BIS Doc'!H763</f>
        <v>0</v>
      </c>
      <c r="J1620" s="901">
        <f ca="1">'BIS Doc'!I763</f>
        <v>0</v>
      </c>
      <c r="K1620" s="1451" t="str">
        <f t="shared" ca="1" si="46"/>
        <v>IS 14650 CPS 10748/GR2</v>
      </c>
      <c r="L1620" s="1451"/>
      <c r="M1620" s="1451"/>
      <c r="N1620" s="1451"/>
      <c r="O1620" s="1451"/>
      <c r="P1620" s="902"/>
      <c r="Q1620" s="905"/>
      <c r="R1620" s="1451"/>
      <c r="S1620" s="1451"/>
      <c r="T1620" s="904"/>
      <c r="U1620" s="1450"/>
    </row>
    <row r="1621" spans="1:21" ht="19.5" customHeight="1">
      <c r="A1621" s="864"/>
      <c r="B1621" s="894" t="str">
        <f>IF('BIS Doc'!AC765=130, "130 × 130", IF('BIS Doc'!AC765=160, "160 × 160", IF('BIS Doc'!AC765=110, "110 × 110", "Value not 130, 160, or 110")))</f>
        <v>Value not 130, 160, or 110</v>
      </c>
      <c r="C1621" s="895">
        <f>'BIS Doc'!W765</f>
        <v>0</v>
      </c>
      <c r="D1621" s="896"/>
      <c r="E1621" s="897">
        <f>'BIS Doc'!AE765</f>
        <v>0</v>
      </c>
      <c r="F1621" s="898">
        <f ca="1">'BIS Doc'!F765</f>
        <v>0</v>
      </c>
      <c r="G1621" s="899">
        <f ca="1">'BIS Doc'!J765</f>
        <v>0</v>
      </c>
      <c r="H1621" s="900">
        <f ca="1">'BIS Doc'!G765</f>
        <v>0.55999344452878308</v>
      </c>
      <c r="I1621" s="901">
        <f ca="1">'BIS Doc'!H765</f>
        <v>0</v>
      </c>
      <c r="J1621" s="901">
        <f ca="1">'BIS Doc'!I765</f>
        <v>0</v>
      </c>
      <c r="K1621" s="1451" t="str">
        <f t="shared" ca="1" si="46"/>
        <v>IS 14650 CPS 10748/GR2</v>
      </c>
      <c r="L1621" s="1451"/>
      <c r="M1621" s="1451"/>
      <c r="N1621" s="1451"/>
      <c r="O1621" s="1451"/>
      <c r="P1621" s="902"/>
      <c r="Q1621" s="903"/>
      <c r="R1621" s="1451"/>
      <c r="S1621" s="1451"/>
      <c r="T1621" s="904"/>
      <c r="U1621" s="1450"/>
    </row>
    <row r="1622" spans="1:21" ht="19.5" customHeight="1">
      <c r="A1622" s="864"/>
      <c r="B1622" s="904"/>
      <c r="C1622" s="895"/>
      <c r="D1622" s="896"/>
      <c r="E1622" s="897"/>
      <c r="F1622" s="906"/>
      <c r="G1622" s="907"/>
      <c r="H1622" s="908"/>
      <c r="I1622" s="909"/>
      <c r="J1622" s="909"/>
      <c r="K1622" s="1451"/>
      <c r="L1622" s="1451"/>
      <c r="M1622" s="1451"/>
      <c r="N1622" s="1451"/>
      <c r="O1622" s="1451"/>
      <c r="P1622" s="902"/>
      <c r="Q1622" s="903"/>
      <c r="R1622" s="1451"/>
      <c r="S1622" s="1451"/>
      <c r="T1622" s="904"/>
      <c r="U1622" s="1450"/>
    </row>
    <row r="1623" spans="1:21" ht="19.5" customHeight="1">
      <c r="A1623" s="864"/>
      <c r="B1623" s="904"/>
      <c r="C1623" s="895"/>
      <c r="D1623" s="896"/>
      <c r="E1623" s="897"/>
      <c r="F1623" s="906"/>
      <c r="G1623" s="907"/>
      <c r="H1623" s="908"/>
      <c r="I1623" s="909"/>
      <c r="J1623" s="909"/>
      <c r="K1623" s="1451"/>
      <c r="L1623" s="1451"/>
      <c r="M1623" s="1451"/>
      <c r="N1623" s="1451"/>
      <c r="O1623" s="1451"/>
      <c r="P1623" s="902"/>
      <c r="Q1623" s="905"/>
      <c r="R1623" s="1451"/>
      <c r="S1623" s="1451"/>
      <c r="T1623" s="904"/>
      <c r="U1623" s="1450"/>
    </row>
    <row r="1624" spans="1:21" ht="19.5" customHeight="1">
      <c r="A1624" s="864"/>
      <c r="B1624" s="910"/>
      <c r="C1624" s="911"/>
      <c r="D1624" s="896"/>
      <c r="E1624" s="897"/>
      <c r="F1624" s="906"/>
      <c r="G1624" s="907"/>
      <c r="H1624" s="908"/>
      <c r="I1624" s="909"/>
      <c r="J1624" s="909"/>
      <c r="K1624" s="1451"/>
      <c r="L1624" s="1451"/>
      <c r="M1624" s="1451"/>
      <c r="N1624" s="1451"/>
      <c r="O1624" s="1451"/>
      <c r="P1624" s="912"/>
      <c r="Q1624" s="913"/>
      <c r="R1624" s="1452"/>
      <c r="S1624" s="1452"/>
      <c r="T1624" s="910"/>
      <c r="U1624" s="1450"/>
    </row>
    <row r="1625" spans="1:21" ht="19.5" customHeight="1">
      <c r="A1625" s="914"/>
      <c r="B1625" s="915"/>
      <c r="C1625" s="916"/>
      <c r="D1625" s="917"/>
      <c r="E1625" s="918">
        <f>SUM(E1616:E1621)</f>
        <v>0</v>
      </c>
      <c r="F1625" s="919"/>
      <c r="G1625" s="920"/>
      <c r="H1625" s="921"/>
      <c r="I1625" s="922"/>
      <c r="J1625" s="922"/>
      <c r="K1625" s="1453"/>
      <c r="L1625" s="1453"/>
      <c r="M1625" s="1453"/>
      <c r="N1625" s="1453"/>
      <c r="O1625" s="1453"/>
      <c r="P1625" s="923"/>
      <c r="Q1625" s="924"/>
      <c r="R1625" s="1454"/>
      <c r="S1625" s="1454"/>
      <c r="T1625" s="915"/>
      <c r="U1625" s="1450"/>
    </row>
    <row r="1626" spans="1:21" ht="15.75" customHeight="1">
      <c r="A1626" s="864"/>
      <c r="B1626" s="773"/>
      <c r="C1626" s="773"/>
      <c r="D1626" s="925"/>
      <c r="E1626" s="926"/>
      <c r="F1626" s="927"/>
      <c r="G1626" s="928"/>
      <c r="H1626" s="259"/>
      <c r="I1626" s="259"/>
      <c r="J1626" s="928"/>
      <c r="K1626" s="929"/>
      <c r="L1626" s="929"/>
      <c r="M1626" s="929"/>
      <c r="N1626" s="929"/>
      <c r="O1626" s="928"/>
      <c r="P1626" s="930"/>
      <c r="Q1626" s="931"/>
      <c r="R1626" s="931"/>
      <c r="U1626" s="932"/>
    </row>
    <row r="1627" spans="1:21" ht="18.75" customHeight="1">
      <c r="A1627" s="864"/>
      <c r="B1627" s="773"/>
      <c r="C1627" s="773"/>
      <c r="D1627" s="773"/>
      <c r="E1627" s="773"/>
      <c r="F1627" s="773"/>
      <c r="G1627" s="773"/>
      <c r="H1627" s="773"/>
      <c r="I1627" s="773"/>
      <c r="J1627" s="773"/>
      <c r="K1627" s="773"/>
      <c r="P1627" s="1446" t="s">
        <v>804</v>
      </c>
      <c r="Q1627" s="1446"/>
      <c r="R1627" s="1446"/>
      <c r="S1627" s="1446"/>
      <c r="T1627" s="1446"/>
      <c r="U1627" s="1446"/>
    </row>
    <row r="1628" spans="1:21" ht="18.75" customHeight="1">
      <c r="A1628" s="1447" t="s">
        <v>805</v>
      </c>
      <c r="B1628" s="1447"/>
      <c r="C1628" s="933"/>
      <c r="D1628" s="933"/>
      <c r="E1628" s="933"/>
      <c r="F1628" s="933"/>
      <c r="P1628" s="855"/>
      <c r="Q1628" s="855"/>
      <c r="R1628" s="855"/>
      <c r="S1628" s="855"/>
      <c r="T1628" s="855"/>
      <c r="U1628" s="934"/>
    </row>
    <row r="1629" spans="1:21" ht="18.75" customHeight="1">
      <c r="A1629" s="854"/>
      <c r="B1629" s="855"/>
      <c r="P1629" s="855"/>
      <c r="Q1629" s="855"/>
      <c r="R1629" s="855"/>
      <c r="S1629" s="855"/>
      <c r="T1629" s="855"/>
      <c r="U1629" s="934"/>
    </row>
    <row r="1630" spans="1:21" ht="18.75" customHeight="1">
      <c r="A1630" s="854" t="s">
        <v>806</v>
      </c>
      <c r="B1630" s="855"/>
      <c r="C1630" s="867"/>
      <c r="D1630" s="941"/>
      <c r="E1630" s="933"/>
      <c r="F1630" s="933"/>
      <c r="P1630" s="855"/>
      <c r="Q1630" s="855"/>
      <c r="R1630" s="855"/>
      <c r="S1630" s="855"/>
      <c r="T1630" s="855"/>
      <c r="U1630" s="934"/>
    </row>
    <row r="1631" spans="1:21" ht="18.75" customHeight="1">
      <c r="A1631" s="854"/>
      <c r="B1631" s="855"/>
      <c r="C1631" s="937"/>
      <c r="P1631" s="855"/>
      <c r="Q1631" s="855"/>
      <c r="R1631" s="855"/>
      <c r="S1631" s="855"/>
      <c r="T1631" s="855"/>
      <c r="U1631" s="934"/>
    </row>
    <row r="1632" spans="1:21" ht="19.5" customHeight="1">
      <c r="A1632" s="938"/>
      <c r="B1632" s="939"/>
      <c r="C1632" s="940"/>
      <c r="D1632" s="453"/>
      <c r="E1632" s="453"/>
      <c r="F1632" s="453"/>
      <c r="G1632" s="453"/>
      <c r="H1632" s="453"/>
      <c r="I1632" s="453"/>
      <c r="J1632" s="453"/>
      <c r="K1632" s="453"/>
      <c r="L1632" s="453"/>
      <c r="M1632" s="453"/>
      <c r="N1632" s="453"/>
      <c r="O1632" s="453"/>
      <c r="P1632" s="1448" t="s">
        <v>807</v>
      </c>
      <c r="Q1632" s="1448"/>
      <c r="R1632" s="1448"/>
      <c r="S1632" s="1448"/>
      <c r="T1632" s="1448"/>
      <c r="U1632" s="1448"/>
    </row>
    <row r="1633" spans="1:21" ht="45.75" customHeight="1">
      <c r="A1633" s="1455"/>
      <c r="B1633" s="1455"/>
      <c r="C1633" s="1455"/>
      <c r="D1633" s="847"/>
      <c r="E1633" s="1456" t="s">
        <v>774</v>
      </c>
      <c r="F1633" s="1456"/>
      <c r="G1633" s="1456"/>
      <c r="H1633" s="1456"/>
      <c r="I1633" s="1456"/>
      <c r="J1633" s="1456"/>
      <c r="K1633" s="1456"/>
      <c r="L1633" s="1456"/>
      <c r="M1633" s="1456"/>
      <c r="N1633" s="1456"/>
      <c r="O1633" s="1456"/>
      <c r="P1633" s="1456"/>
      <c r="Q1633" s="1456"/>
      <c r="R1633" s="1456"/>
      <c r="S1633" s="848"/>
      <c r="T1633" s="1457" t="s">
        <v>775</v>
      </c>
      <c r="U1633" s="1457"/>
    </row>
    <row r="1634" spans="1:21" ht="18.75" customHeight="1">
      <c r="A1634" s="849"/>
      <c r="E1634" s="1458" t="s">
        <v>776</v>
      </c>
      <c r="F1634" s="1458"/>
      <c r="G1634" s="1458"/>
      <c r="H1634" s="1458"/>
      <c r="I1634" s="1458"/>
      <c r="J1634" s="1458"/>
      <c r="K1634" s="1458"/>
      <c r="L1634" s="1458"/>
      <c r="M1634" s="1458"/>
      <c r="N1634" s="1458"/>
      <c r="O1634" s="1458"/>
      <c r="P1634" s="1458"/>
      <c r="Q1634" s="1458"/>
      <c r="R1634" s="1458"/>
      <c r="U1634" s="456"/>
    </row>
    <row r="1635" spans="1:21" ht="18.75" customHeight="1">
      <c r="A1635" s="850"/>
      <c r="F1635" s="587"/>
      <c r="G1635" s="587"/>
      <c r="H1635" s="587"/>
      <c r="I1635" s="587"/>
      <c r="J1635" s="587"/>
      <c r="K1635" s="587"/>
      <c r="L1635" s="587"/>
      <c r="M1635" s="851"/>
      <c r="N1635" s="852"/>
      <c r="O1635" s="851"/>
      <c r="P1635" s="1459" t="s">
        <v>777</v>
      </c>
      <c r="Q1635" s="1459"/>
      <c r="R1635" s="1459"/>
      <c r="S1635" s="1459"/>
      <c r="T1635" s="1459"/>
      <c r="U1635" s="1459"/>
    </row>
    <row r="1636" spans="1:21" ht="15" customHeight="1">
      <c r="A1636" s="849"/>
      <c r="E1636" s="1287" t="s">
        <v>778</v>
      </c>
      <c r="F1636" s="1287"/>
      <c r="G1636" s="1287"/>
      <c r="H1636" s="1287"/>
      <c r="I1636" s="1287"/>
      <c r="J1636" s="1287"/>
      <c r="K1636" s="1287"/>
      <c r="L1636" s="1287"/>
      <c r="M1636" s="1287"/>
      <c r="N1636" s="1287"/>
      <c r="O1636" s="1287"/>
      <c r="P1636" s="1287"/>
      <c r="Q1636" s="1287"/>
      <c r="R1636" s="1287"/>
      <c r="U1636" s="456"/>
    </row>
    <row r="1637" spans="1:21" ht="18.75" customHeight="1">
      <c r="A1637" s="849"/>
      <c r="E1637" s="1286" t="s">
        <v>779</v>
      </c>
      <c r="F1637" s="1286"/>
      <c r="G1637" s="1286"/>
      <c r="H1637" s="1286"/>
      <c r="I1637" s="1286"/>
      <c r="J1637" s="1286"/>
      <c r="K1637" s="1286"/>
      <c r="L1637" s="1286"/>
      <c r="M1637" s="1286"/>
      <c r="N1637" s="1286"/>
      <c r="O1637" s="1286"/>
      <c r="P1637" s="1286"/>
      <c r="Q1637" s="1286"/>
      <c r="R1637" s="1286"/>
      <c r="U1637" s="853"/>
    </row>
    <row r="1638" spans="1:21" ht="23.25" customHeight="1">
      <c r="A1638" s="854" t="s">
        <v>780</v>
      </c>
      <c r="B1638" s="855"/>
      <c r="C1638" s="855"/>
      <c r="D1638" s="856" t="s">
        <v>872</v>
      </c>
      <c r="E1638" s="857"/>
      <c r="F1638" s="858"/>
      <c r="G1638" s="859"/>
      <c r="H1638" s="859"/>
      <c r="I1638" s="859"/>
      <c r="J1638" s="859"/>
      <c r="K1638" s="859"/>
      <c r="L1638" s="860"/>
      <c r="M1638" s="1460"/>
      <c r="N1638" s="1460"/>
      <c r="O1638" s="1460"/>
      <c r="P1638" s="1461" t="s">
        <v>781</v>
      </c>
      <c r="Q1638" s="1461"/>
      <c r="R1638" s="1461"/>
      <c r="S1638" s="855"/>
      <c r="T1638" s="861">
        <v>46320</v>
      </c>
      <c r="U1638" s="456"/>
    </row>
    <row r="1639" spans="1:21" ht="23.25" customHeight="1">
      <c r="A1639" s="854"/>
      <c r="B1639" s="862"/>
      <c r="C1639" s="862"/>
      <c r="D1639" s="862"/>
      <c r="E1639" s="163"/>
      <c r="F1639" s="863"/>
      <c r="G1639" s="863"/>
      <c r="H1639" s="863"/>
      <c r="I1639" s="863"/>
      <c r="J1639" s="863"/>
      <c r="K1639" s="863"/>
      <c r="U1639" s="456"/>
    </row>
    <row r="1640" spans="1:21" ht="21" customHeight="1">
      <c r="A1640" s="864" t="s">
        <v>782</v>
      </c>
      <c r="B1640" s="865"/>
      <c r="C1640" s="866"/>
      <c r="D1640" s="867"/>
      <c r="E1640" s="868"/>
      <c r="F1640" s="869"/>
      <c r="G1640" s="869"/>
      <c r="H1640" s="869"/>
      <c r="I1640" s="870"/>
      <c r="J1640" s="870"/>
      <c r="P1640" s="1462"/>
      <c r="Q1640" s="1462"/>
      <c r="R1640" s="1462"/>
      <c r="S1640" s="1462"/>
      <c r="T1640" s="871"/>
      <c r="U1640" s="456"/>
    </row>
    <row r="1641" spans="1:21" ht="21" customHeight="1">
      <c r="A1641" s="872"/>
      <c r="B1641" s="873"/>
      <c r="C1641" s="869"/>
      <c r="D1641" s="869"/>
      <c r="E1641" s="869"/>
      <c r="F1641" s="869"/>
      <c r="G1641" s="869"/>
      <c r="H1641" s="869"/>
      <c r="I1641" s="870"/>
      <c r="J1641" s="870"/>
      <c r="U1641" s="456"/>
    </row>
    <row r="1642" spans="1:21" ht="15" customHeight="1">
      <c r="A1642" s="1463" t="s">
        <v>783</v>
      </c>
      <c r="B1642" s="1463"/>
      <c r="C1642" s="1463"/>
      <c r="D1642" s="1463"/>
      <c r="E1642" s="1463"/>
      <c r="F1642" s="1463"/>
      <c r="G1642" s="1463"/>
      <c r="H1642" s="1463"/>
      <c r="I1642" s="1463"/>
      <c r="J1642" s="1463"/>
      <c r="K1642" s="1463"/>
      <c r="L1642" s="1463"/>
      <c r="M1642" s="1463"/>
      <c r="N1642" s="1463"/>
      <c r="O1642" s="1463"/>
      <c r="P1642" s="1463"/>
      <c r="Q1642" s="1463"/>
      <c r="R1642" s="1463"/>
      <c r="S1642" s="1463"/>
      <c r="T1642" s="1463"/>
      <c r="U1642" s="1463"/>
    </row>
    <row r="1643" spans="1:21" ht="15" customHeight="1">
      <c r="A1643" s="1463"/>
      <c r="B1643" s="1463"/>
      <c r="C1643" s="1463"/>
      <c r="D1643" s="1463"/>
      <c r="E1643" s="1463"/>
      <c r="F1643" s="1463"/>
      <c r="G1643" s="1463"/>
      <c r="H1643" s="1463"/>
      <c r="I1643" s="1463"/>
      <c r="J1643" s="1463"/>
      <c r="K1643" s="1463"/>
      <c r="L1643" s="1463"/>
      <c r="M1643" s="1463"/>
      <c r="N1643" s="1463"/>
      <c r="O1643" s="1463"/>
      <c r="P1643" s="1463"/>
      <c r="Q1643" s="1463"/>
      <c r="R1643" s="1463"/>
      <c r="S1643" s="1463"/>
      <c r="T1643" s="1463"/>
      <c r="U1643" s="1463"/>
    </row>
    <row r="1644" spans="1:21" ht="18" customHeight="1">
      <c r="A1644" s="1464" t="s">
        <v>784</v>
      </c>
      <c r="B1644" s="1464"/>
      <c r="C1644" s="1464"/>
      <c r="D1644" s="1464"/>
      <c r="E1644" s="1464"/>
      <c r="F1644" s="1464"/>
      <c r="G1644" s="1464"/>
      <c r="H1644" s="1464"/>
      <c r="I1644" s="1464"/>
      <c r="J1644" s="1464"/>
      <c r="K1644" s="1464"/>
      <c r="L1644" s="1464"/>
      <c r="M1644" s="1464"/>
      <c r="N1644" s="1464"/>
      <c r="O1644" s="1464"/>
      <c r="P1644" s="1464"/>
      <c r="Q1644" s="1464"/>
      <c r="R1644" s="1464"/>
      <c r="S1644" s="1464"/>
      <c r="T1644" s="1464"/>
      <c r="U1644" s="1464"/>
    </row>
    <row r="1645" spans="1:21" ht="23.25" customHeight="1">
      <c r="A1645" s="1465" t="s">
        <v>785</v>
      </c>
      <c r="B1645" s="1465"/>
      <c r="C1645" s="1465"/>
      <c r="D1645" s="1465"/>
      <c r="E1645" s="1465"/>
      <c r="F1645" s="1465"/>
      <c r="G1645" s="1465"/>
      <c r="H1645" s="1465"/>
      <c r="I1645" s="1465"/>
      <c r="J1645" s="1465"/>
      <c r="K1645" s="1465"/>
      <c r="L1645" s="1465"/>
      <c r="M1645" s="1465"/>
      <c r="N1645" s="1465"/>
      <c r="O1645" s="1465"/>
      <c r="P1645" s="1465"/>
      <c r="Q1645" s="1465"/>
      <c r="R1645" s="1465"/>
      <c r="S1645" s="1465"/>
      <c r="T1645" s="1465"/>
      <c r="U1645" s="1465"/>
    </row>
    <row r="1646" spans="1:21" ht="21.75" customHeight="1">
      <c r="A1646" s="874"/>
      <c r="B1646" s="875"/>
      <c r="C1646" s="875"/>
      <c r="D1646" s="875"/>
      <c r="E1646" s="875"/>
      <c r="F1646" s="875"/>
      <c r="G1646" s="875"/>
      <c r="H1646" s="875"/>
      <c r="I1646" s="875"/>
      <c r="J1646" s="875"/>
      <c r="K1646" s="875"/>
      <c r="L1646" s="875"/>
      <c r="M1646" s="875"/>
      <c r="N1646" s="875"/>
      <c r="O1646" s="875"/>
      <c r="P1646" s="875"/>
      <c r="Q1646" s="875"/>
      <c r="R1646" s="875"/>
      <c r="S1646" s="875"/>
      <c r="T1646" s="875"/>
      <c r="U1646" s="876"/>
    </row>
    <row r="1647" spans="1:21" ht="15" customHeight="1">
      <c r="A1647" s="1466" t="s">
        <v>786</v>
      </c>
      <c r="B1647" s="1467" t="s">
        <v>787</v>
      </c>
      <c r="C1647" s="1468" t="s">
        <v>788</v>
      </c>
      <c r="D1647" s="1468" t="s">
        <v>789</v>
      </c>
      <c r="E1647" s="1469" t="s">
        <v>790</v>
      </c>
      <c r="F1647" s="1468" t="s">
        <v>791</v>
      </c>
      <c r="G1647" s="1468"/>
      <c r="H1647" s="1468"/>
      <c r="I1647" s="1468"/>
      <c r="J1647" s="1468"/>
      <c r="K1647" s="1468"/>
      <c r="L1647" s="1468"/>
      <c r="M1647" s="1468"/>
      <c r="N1647" s="1468"/>
      <c r="O1647" s="1468"/>
      <c r="P1647" s="1470"/>
      <c r="Q1647" s="1470"/>
      <c r="R1647" s="1470"/>
      <c r="S1647" s="1470"/>
      <c r="T1647" s="1470"/>
      <c r="U1647" s="1470"/>
    </row>
    <row r="1648" spans="1:21" ht="15.75" customHeight="1">
      <c r="A1648" s="1466"/>
      <c r="B1648" s="1467"/>
      <c r="C1648" s="1468"/>
      <c r="D1648" s="1468"/>
      <c r="E1648" s="1469"/>
      <c r="F1648" s="1468"/>
      <c r="G1648" s="1468"/>
      <c r="H1648" s="1468"/>
      <c r="I1648" s="1468"/>
      <c r="J1648" s="1468"/>
      <c r="K1648" s="1468"/>
      <c r="L1648" s="1468"/>
      <c r="M1648" s="1468"/>
      <c r="N1648" s="1468"/>
      <c r="O1648" s="1468"/>
      <c r="P1648" s="1470"/>
      <c r="Q1648" s="1470"/>
      <c r="R1648" s="1470"/>
      <c r="S1648" s="1470"/>
      <c r="T1648" s="1470"/>
      <c r="U1648" s="1470"/>
    </row>
    <row r="1649" spans="1:21" ht="48" customHeight="1">
      <c r="A1649" s="1466"/>
      <c r="B1649" s="1467"/>
      <c r="C1649" s="1468"/>
      <c r="D1649" s="1468"/>
      <c r="E1649" s="1469"/>
      <c r="F1649" s="878" t="s">
        <v>792</v>
      </c>
      <c r="G1649" s="877" t="s">
        <v>793</v>
      </c>
      <c r="H1649" s="878" t="s">
        <v>794</v>
      </c>
      <c r="I1649" s="879" t="s">
        <v>795</v>
      </c>
      <c r="J1649" s="880" t="s">
        <v>796</v>
      </c>
      <c r="K1649" s="1468" t="s">
        <v>797</v>
      </c>
      <c r="L1649" s="1468"/>
      <c r="M1649" s="1468"/>
      <c r="N1649" s="1468"/>
      <c r="O1649" s="1468"/>
      <c r="P1649" s="881" t="s">
        <v>798</v>
      </c>
      <c r="Q1649" s="882" t="s">
        <v>799</v>
      </c>
      <c r="R1649" s="1469" t="s">
        <v>800</v>
      </c>
      <c r="S1649" s="1469"/>
      <c r="T1649" s="877" t="s">
        <v>801</v>
      </c>
      <c r="U1649" s="879" t="s">
        <v>104</v>
      </c>
    </row>
    <row r="1650" spans="1:21" ht="19.5" customHeight="1">
      <c r="A1650" s="883"/>
      <c r="B1650" s="884" t="str">
        <f>IF('BIS Doc'!AC775=130, "130 × 130", IF('BIS Doc'!AC775=160, "160 × 160", IF('BIS Doc'!AC775=110, "110 × 110", "Value not 130, 160, or 110")))</f>
        <v>Value not 130, 160, or 110</v>
      </c>
      <c r="C1650" s="885">
        <f>'BIS Doc'!W775</f>
        <v>0</v>
      </c>
      <c r="D1650" s="886"/>
      <c r="E1650" s="887">
        <f>'BIS Doc'!AE775</f>
        <v>0</v>
      </c>
      <c r="F1650" s="888">
        <f ca="1">'BIS Doc'!F775</f>
        <v>0</v>
      </c>
      <c r="G1650" s="888">
        <f ca="1">'BIS Doc'!J775</f>
        <v>0</v>
      </c>
      <c r="H1650" s="888">
        <f ca="1">'BIS Doc'!G775</f>
        <v>0.59798037120115577</v>
      </c>
      <c r="I1650" s="889">
        <f ca="1">'BIS Doc'!H775</f>
        <v>0</v>
      </c>
      <c r="J1650" s="889">
        <f ca="1">'BIS Doc'!I775</f>
        <v>0</v>
      </c>
      <c r="K1650" s="1449" t="str">
        <f t="shared" ref="K1650:K1655" ca="1" si="47">IF(H1650&lt;0.6, "IS 14650 CPS 10748/GR2", "IS 14650 CPS 10748/GR3")</f>
        <v>IS 14650 CPS 10748/GR2</v>
      </c>
      <c r="L1650" s="1449"/>
      <c r="M1650" s="1449"/>
      <c r="N1650" s="1449"/>
      <c r="O1650" s="1449"/>
      <c r="P1650" s="890"/>
      <c r="Q1650" s="891"/>
      <c r="R1650" s="1449"/>
      <c r="S1650" s="1449"/>
      <c r="T1650" s="892"/>
      <c r="U1650" s="1450" t="s">
        <v>802</v>
      </c>
    </row>
    <row r="1651" spans="1:21" ht="19.5" customHeight="1">
      <c r="A1651" s="893"/>
      <c r="B1651" s="894" t="str">
        <f>IF('BIS Doc'!AC777=130, "130 × 130", IF('BIS Doc'!AC777=160, "160 × 160", IF('BIS Doc'!AC777=110, "110 × 110", "Value not 130, 160, or 110")))</f>
        <v>Value not 130, 160, or 110</v>
      </c>
      <c r="C1651" s="895">
        <f>'BIS Doc'!W777</f>
        <v>0</v>
      </c>
      <c r="D1651" s="896"/>
      <c r="E1651" s="897">
        <f>'BIS Doc'!AE777</f>
        <v>0</v>
      </c>
      <c r="F1651" s="898">
        <f ca="1">'BIS Doc'!F777</f>
        <v>0</v>
      </c>
      <c r="G1651" s="899">
        <f ca="1">'BIS Doc'!J777</f>
        <v>0</v>
      </c>
      <c r="H1651" s="900">
        <f ca="1">'BIS Doc'!G777</f>
        <v>0.55374579320814876</v>
      </c>
      <c r="I1651" s="901">
        <f ca="1">'BIS Doc'!H777</f>
        <v>0</v>
      </c>
      <c r="J1651" s="901">
        <f ca="1">'BIS Doc'!I777</f>
        <v>0</v>
      </c>
      <c r="K1651" s="1451" t="str">
        <f t="shared" ca="1" si="47"/>
        <v>IS 14650 CPS 10748/GR2</v>
      </c>
      <c r="L1651" s="1451"/>
      <c r="M1651" s="1451"/>
      <c r="N1651" s="1451"/>
      <c r="O1651" s="1451"/>
      <c r="P1651" s="902"/>
      <c r="Q1651" s="903"/>
      <c r="R1651" s="1451"/>
      <c r="S1651" s="1451"/>
      <c r="T1651" s="904"/>
      <c r="U1651" s="1450"/>
    </row>
    <row r="1652" spans="1:21" ht="19.5" customHeight="1">
      <c r="A1652" s="864"/>
      <c r="B1652" s="894" t="str">
        <f>IF('BIS Doc'!AC779=130, "130 × 130", IF('BIS Doc'!AC779=160, "160 × 160", IF('BIS Doc'!AC779=110, "110 × 110", "Value not 130, 160, or 110")))</f>
        <v>Value not 130, 160, or 110</v>
      </c>
      <c r="C1652" s="895">
        <f>'BIS Doc'!W779</f>
        <v>0</v>
      </c>
      <c r="D1652" s="896" t="s">
        <v>803</v>
      </c>
      <c r="E1652" s="897">
        <f>'BIS Doc'!AE779</f>
        <v>0</v>
      </c>
      <c r="F1652" s="898">
        <f ca="1">'BIS Doc'!F779</f>
        <v>0</v>
      </c>
      <c r="G1652" s="899">
        <f ca="1">'BIS Doc'!J779</f>
        <v>0</v>
      </c>
      <c r="H1652" s="900">
        <f ca="1">'BIS Doc'!G779</f>
        <v>0.59853473409076186</v>
      </c>
      <c r="I1652" s="901">
        <f ca="1">'BIS Doc'!H779</f>
        <v>0</v>
      </c>
      <c r="J1652" s="901">
        <f ca="1">'BIS Doc'!I779</f>
        <v>0</v>
      </c>
      <c r="K1652" s="1451" t="str">
        <f t="shared" ca="1" si="47"/>
        <v>IS 14650 CPS 10748/GR2</v>
      </c>
      <c r="L1652" s="1451"/>
      <c r="M1652" s="1451"/>
      <c r="N1652" s="1451"/>
      <c r="O1652" s="1451"/>
      <c r="P1652" s="902"/>
      <c r="Q1652" s="905"/>
      <c r="R1652" s="1451"/>
      <c r="S1652" s="1451"/>
      <c r="T1652" s="904"/>
      <c r="U1652" s="1450"/>
    </row>
    <row r="1653" spans="1:21" ht="19.5" customHeight="1">
      <c r="A1653" s="864"/>
      <c r="B1653" s="894" t="str">
        <f>IF('BIS Doc'!AC781=130, "130 × 130", IF('BIS Doc'!AC781=160, "160 × 160", IF('BIS Doc'!AC781=110, "110 × 110", "Value not 130, 160, or 110")))</f>
        <v>Value not 130, 160, or 110</v>
      </c>
      <c r="C1653" s="895">
        <f>'BIS Doc'!W781</f>
        <v>0</v>
      </c>
      <c r="D1653" s="896"/>
      <c r="E1653" s="897">
        <f>'BIS Doc'!AE781</f>
        <v>0</v>
      </c>
      <c r="F1653" s="898">
        <f ca="1">'BIS Doc'!F781</f>
        <v>0</v>
      </c>
      <c r="G1653" s="899">
        <f ca="1">'BIS Doc'!J781</f>
        <v>0</v>
      </c>
      <c r="H1653" s="900">
        <f ca="1">'BIS Doc'!G781</f>
        <v>0.59209992761839692</v>
      </c>
      <c r="I1653" s="901">
        <f ca="1">'BIS Doc'!H781</f>
        <v>0</v>
      </c>
      <c r="J1653" s="901">
        <f ca="1">'BIS Doc'!I781</f>
        <v>0</v>
      </c>
      <c r="K1653" s="1451" t="str">
        <f t="shared" ca="1" si="47"/>
        <v>IS 14650 CPS 10748/GR2</v>
      </c>
      <c r="L1653" s="1451"/>
      <c r="M1653" s="1451"/>
      <c r="N1653" s="1451"/>
      <c r="O1653" s="1451"/>
      <c r="P1653" s="902"/>
      <c r="Q1653" s="905"/>
      <c r="R1653" s="1451"/>
      <c r="S1653" s="1451"/>
      <c r="T1653" s="904"/>
      <c r="U1653" s="1450"/>
    </row>
    <row r="1654" spans="1:21" ht="19.5" customHeight="1">
      <c r="A1654" s="864"/>
      <c r="B1654" s="894" t="str">
        <f>IF('BIS Doc'!AC783=130, "130 × 130", IF('BIS Doc'!AC783=160, "160 × 160", IF('BIS Doc'!AC783=110, "110 × 110", "Value not 130, 160, or 110")))</f>
        <v>Value not 130, 160, or 110</v>
      </c>
      <c r="C1654" s="895">
        <f>'BIS Doc'!W783</f>
        <v>0</v>
      </c>
      <c r="D1654" s="896"/>
      <c r="E1654" s="897">
        <f>'BIS Doc'!AE783</f>
        <v>0</v>
      </c>
      <c r="F1654" s="898">
        <f ca="1">'BIS Doc'!F783</f>
        <v>0</v>
      </c>
      <c r="G1654" s="899">
        <f ca="1">'BIS Doc'!J783</f>
        <v>0</v>
      </c>
      <c r="H1654" s="900">
        <f ca="1">'BIS Doc'!G783</f>
        <v>0.53076461517574092</v>
      </c>
      <c r="I1654" s="901">
        <f ca="1">'BIS Doc'!H783</f>
        <v>0</v>
      </c>
      <c r="J1654" s="901">
        <f ca="1">'BIS Doc'!I783</f>
        <v>0</v>
      </c>
      <c r="K1654" s="1451" t="str">
        <f t="shared" ca="1" si="47"/>
        <v>IS 14650 CPS 10748/GR2</v>
      </c>
      <c r="L1654" s="1451"/>
      <c r="M1654" s="1451"/>
      <c r="N1654" s="1451"/>
      <c r="O1654" s="1451"/>
      <c r="P1654" s="902"/>
      <c r="Q1654" s="905"/>
      <c r="R1654" s="1451"/>
      <c r="S1654" s="1451"/>
      <c r="T1654" s="904"/>
      <c r="U1654" s="1450"/>
    </row>
    <row r="1655" spans="1:21" ht="19.5" customHeight="1">
      <c r="A1655" s="864"/>
      <c r="B1655" s="894" t="str">
        <f>IF('BIS Doc'!AC785=130, "130 × 130", IF('BIS Doc'!AC785=160, "160 × 160", IF('BIS Doc'!AC785=110, "110 × 110", "Value not 130, 160, or 110")))</f>
        <v>Value not 130, 160, or 110</v>
      </c>
      <c r="C1655" s="895">
        <f>'BIS Doc'!W785</f>
        <v>0</v>
      </c>
      <c r="D1655" s="896"/>
      <c r="E1655" s="897">
        <f>'BIS Doc'!AE785</f>
        <v>0</v>
      </c>
      <c r="F1655" s="898">
        <f ca="1">'BIS Doc'!F785</f>
        <v>0</v>
      </c>
      <c r="G1655" s="899">
        <f ca="1">'BIS Doc'!J785</f>
        <v>0</v>
      </c>
      <c r="H1655" s="900">
        <f ca="1">'BIS Doc'!G785</f>
        <v>0.55949001194834991</v>
      </c>
      <c r="I1655" s="901">
        <f ca="1">'BIS Doc'!H785</f>
        <v>0</v>
      </c>
      <c r="J1655" s="901">
        <f ca="1">'BIS Doc'!I785</f>
        <v>0</v>
      </c>
      <c r="K1655" s="1451" t="str">
        <f t="shared" ca="1" si="47"/>
        <v>IS 14650 CPS 10748/GR2</v>
      </c>
      <c r="L1655" s="1451"/>
      <c r="M1655" s="1451"/>
      <c r="N1655" s="1451"/>
      <c r="O1655" s="1451"/>
      <c r="P1655" s="902"/>
      <c r="Q1655" s="903"/>
      <c r="R1655" s="1451"/>
      <c r="S1655" s="1451"/>
      <c r="T1655" s="904"/>
      <c r="U1655" s="1450"/>
    </row>
    <row r="1656" spans="1:21" ht="19.5" customHeight="1">
      <c r="A1656" s="864"/>
      <c r="B1656" s="904"/>
      <c r="C1656" s="895"/>
      <c r="D1656" s="896"/>
      <c r="E1656" s="897"/>
      <c r="F1656" s="906"/>
      <c r="G1656" s="907"/>
      <c r="H1656" s="908"/>
      <c r="I1656" s="909"/>
      <c r="J1656" s="909"/>
      <c r="K1656" s="1451"/>
      <c r="L1656" s="1451"/>
      <c r="M1656" s="1451"/>
      <c r="N1656" s="1451"/>
      <c r="O1656" s="1451"/>
      <c r="P1656" s="902"/>
      <c r="Q1656" s="903"/>
      <c r="R1656" s="1451"/>
      <c r="S1656" s="1451"/>
      <c r="T1656" s="904"/>
      <c r="U1656" s="1450"/>
    </row>
    <row r="1657" spans="1:21" ht="19.5" customHeight="1">
      <c r="A1657" s="864"/>
      <c r="B1657" s="904"/>
      <c r="C1657" s="895"/>
      <c r="D1657" s="896"/>
      <c r="E1657" s="897"/>
      <c r="F1657" s="906"/>
      <c r="G1657" s="907"/>
      <c r="H1657" s="908"/>
      <c r="I1657" s="909"/>
      <c r="J1657" s="909"/>
      <c r="K1657" s="1451"/>
      <c r="L1657" s="1451"/>
      <c r="M1657" s="1451"/>
      <c r="N1657" s="1451"/>
      <c r="O1657" s="1451"/>
      <c r="P1657" s="902"/>
      <c r="Q1657" s="905"/>
      <c r="R1657" s="1451"/>
      <c r="S1657" s="1451"/>
      <c r="T1657" s="904"/>
      <c r="U1657" s="1450"/>
    </row>
    <row r="1658" spans="1:21" ht="19.5" customHeight="1">
      <c r="A1658" s="864"/>
      <c r="B1658" s="910"/>
      <c r="C1658" s="911"/>
      <c r="D1658" s="896"/>
      <c r="E1658" s="897"/>
      <c r="F1658" s="906"/>
      <c r="G1658" s="907"/>
      <c r="H1658" s="908"/>
      <c r="I1658" s="909"/>
      <c r="J1658" s="909"/>
      <c r="K1658" s="1451"/>
      <c r="L1658" s="1451"/>
      <c r="M1658" s="1451"/>
      <c r="N1658" s="1451"/>
      <c r="O1658" s="1451"/>
      <c r="P1658" s="912"/>
      <c r="Q1658" s="913"/>
      <c r="R1658" s="1452"/>
      <c r="S1658" s="1452"/>
      <c r="T1658" s="910"/>
      <c r="U1658" s="1450"/>
    </row>
    <row r="1659" spans="1:21" ht="19.5" customHeight="1">
      <c r="A1659" s="914"/>
      <c r="B1659" s="915"/>
      <c r="C1659" s="916"/>
      <c r="D1659" s="917"/>
      <c r="E1659" s="918">
        <f>SUM(E1650:E1655)</f>
        <v>0</v>
      </c>
      <c r="F1659" s="919"/>
      <c r="G1659" s="920"/>
      <c r="H1659" s="921"/>
      <c r="I1659" s="922"/>
      <c r="J1659" s="922"/>
      <c r="K1659" s="1453"/>
      <c r="L1659" s="1453"/>
      <c r="M1659" s="1453"/>
      <c r="N1659" s="1453"/>
      <c r="O1659" s="1453"/>
      <c r="P1659" s="923"/>
      <c r="Q1659" s="924"/>
      <c r="R1659" s="1454"/>
      <c r="S1659" s="1454"/>
      <c r="T1659" s="915"/>
      <c r="U1659" s="1450"/>
    </row>
    <row r="1660" spans="1:21" ht="15.75" customHeight="1">
      <c r="A1660" s="864"/>
      <c r="B1660" s="773"/>
      <c r="C1660" s="773"/>
      <c r="D1660" s="925"/>
      <c r="E1660" s="926"/>
      <c r="F1660" s="927"/>
      <c r="G1660" s="928"/>
      <c r="H1660" s="259"/>
      <c r="I1660" s="259"/>
      <c r="J1660" s="928"/>
      <c r="K1660" s="929"/>
      <c r="L1660" s="929"/>
      <c r="M1660" s="929"/>
      <c r="N1660" s="929"/>
      <c r="O1660" s="928"/>
      <c r="P1660" s="930"/>
      <c r="Q1660" s="931"/>
      <c r="R1660" s="931"/>
      <c r="U1660" s="932"/>
    </row>
    <row r="1661" spans="1:21" ht="18.75" customHeight="1">
      <c r="A1661" s="864"/>
      <c r="B1661" s="773"/>
      <c r="C1661" s="773"/>
      <c r="D1661" s="773"/>
      <c r="E1661" s="773"/>
      <c r="F1661" s="773"/>
      <c r="G1661" s="773"/>
      <c r="H1661" s="773"/>
      <c r="I1661" s="773"/>
      <c r="J1661" s="773"/>
      <c r="K1661" s="773"/>
      <c r="P1661" s="1446" t="s">
        <v>804</v>
      </c>
      <c r="Q1661" s="1446"/>
      <c r="R1661" s="1446"/>
      <c r="S1661" s="1446"/>
      <c r="T1661" s="1446"/>
      <c r="U1661" s="1446"/>
    </row>
    <row r="1662" spans="1:21" ht="18.75" customHeight="1">
      <c r="A1662" s="1447" t="s">
        <v>805</v>
      </c>
      <c r="B1662" s="1447"/>
      <c r="C1662" s="933"/>
      <c r="D1662" s="933"/>
      <c r="E1662" s="933"/>
      <c r="F1662" s="933"/>
      <c r="P1662" s="855"/>
      <c r="Q1662" s="855"/>
      <c r="R1662" s="855"/>
      <c r="S1662" s="855"/>
      <c r="T1662" s="855"/>
      <c r="U1662" s="934"/>
    </row>
    <row r="1663" spans="1:21" ht="18.75" customHeight="1">
      <c r="A1663" s="854"/>
      <c r="B1663" s="855"/>
      <c r="P1663" s="855"/>
      <c r="Q1663" s="855"/>
      <c r="R1663" s="855"/>
      <c r="S1663" s="855"/>
      <c r="T1663" s="855"/>
      <c r="U1663" s="934"/>
    </row>
    <row r="1664" spans="1:21" ht="18.75" customHeight="1">
      <c r="A1664" s="854" t="s">
        <v>806</v>
      </c>
      <c r="B1664" s="855"/>
      <c r="C1664" s="867"/>
      <c r="D1664" s="941"/>
      <c r="E1664" s="933"/>
      <c r="F1664" s="933"/>
      <c r="P1664" s="855"/>
      <c r="Q1664" s="855"/>
      <c r="R1664" s="855"/>
      <c r="S1664" s="855"/>
      <c r="T1664" s="855"/>
      <c r="U1664" s="934"/>
    </row>
    <row r="1665" spans="1:21" ht="18.75" customHeight="1">
      <c r="A1665" s="854"/>
      <c r="B1665" s="855"/>
      <c r="C1665" s="937"/>
      <c r="P1665" s="855"/>
      <c r="Q1665" s="855"/>
      <c r="R1665" s="855"/>
      <c r="S1665" s="855"/>
      <c r="T1665" s="855"/>
      <c r="U1665" s="934"/>
    </row>
    <row r="1666" spans="1:21" ht="19.5" customHeight="1">
      <c r="A1666" s="938"/>
      <c r="B1666" s="939"/>
      <c r="C1666" s="940"/>
      <c r="D1666" s="453"/>
      <c r="E1666" s="453"/>
      <c r="F1666" s="453"/>
      <c r="G1666" s="453"/>
      <c r="H1666" s="453"/>
      <c r="I1666" s="453"/>
      <c r="J1666" s="453"/>
      <c r="K1666" s="453"/>
      <c r="L1666" s="453"/>
      <c r="M1666" s="453"/>
      <c r="N1666" s="453"/>
      <c r="O1666" s="453"/>
      <c r="P1666" s="1448" t="s">
        <v>807</v>
      </c>
      <c r="Q1666" s="1448"/>
      <c r="R1666" s="1448"/>
      <c r="S1666" s="1448"/>
      <c r="T1666" s="1448"/>
      <c r="U1666" s="1448"/>
    </row>
    <row r="1667" spans="1:21" ht="45.75" customHeight="1">
      <c r="A1667" s="1455"/>
      <c r="B1667" s="1455"/>
      <c r="C1667" s="1455"/>
      <c r="D1667" s="847"/>
      <c r="E1667" s="1456" t="s">
        <v>774</v>
      </c>
      <c r="F1667" s="1456"/>
      <c r="G1667" s="1456"/>
      <c r="H1667" s="1456"/>
      <c r="I1667" s="1456"/>
      <c r="J1667" s="1456"/>
      <c r="K1667" s="1456"/>
      <c r="L1667" s="1456"/>
      <c r="M1667" s="1456"/>
      <c r="N1667" s="1456"/>
      <c r="O1667" s="1456"/>
      <c r="P1667" s="1456"/>
      <c r="Q1667" s="1456"/>
      <c r="R1667" s="1456"/>
      <c r="S1667" s="848"/>
      <c r="T1667" s="1457" t="s">
        <v>775</v>
      </c>
      <c r="U1667" s="1457"/>
    </row>
    <row r="1668" spans="1:21" ht="18.75" customHeight="1">
      <c r="A1668" s="849"/>
      <c r="E1668" s="1458" t="s">
        <v>776</v>
      </c>
      <c r="F1668" s="1458"/>
      <c r="G1668" s="1458"/>
      <c r="H1668" s="1458"/>
      <c r="I1668" s="1458"/>
      <c r="J1668" s="1458"/>
      <c r="K1668" s="1458"/>
      <c r="L1668" s="1458"/>
      <c r="M1668" s="1458"/>
      <c r="N1668" s="1458"/>
      <c r="O1668" s="1458"/>
      <c r="P1668" s="1458"/>
      <c r="Q1668" s="1458"/>
      <c r="R1668" s="1458"/>
      <c r="U1668" s="456"/>
    </row>
    <row r="1669" spans="1:21" ht="18.75" customHeight="1">
      <c r="A1669" s="850"/>
      <c r="F1669" s="587"/>
      <c r="G1669" s="587"/>
      <c r="H1669" s="587"/>
      <c r="I1669" s="587"/>
      <c r="J1669" s="587"/>
      <c r="K1669" s="587"/>
      <c r="L1669" s="587"/>
      <c r="M1669" s="851"/>
      <c r="N1669" s="852"/>
      <c r="O1669" s="851"/>
      <c r="P1669" s="1459" t="s">
        <v>777</v>
      </c>
      <c r="Q1669" s="1459"/>
      <c r="R1669" s="1459"/>
      <c r="S1669" s="1459"/>
      <c r="T1669" s="1459"/>
      <c r="U1669" s="1459"/>
    </row>
    <row r="1670" spans="1:21" ht="15" customHeight="1">
      <c r="A1670" s="849"/>
      <c r="E1670" s="1287" t="s">
        <v>778</v>
      </c>
      <c r="F1670" s="1287"/>
      <c r="G1670" s="1287"/>
      <c r="H1670" s="1287"/>
      <c r="I1670" s="1287"/>
      <c r="J1670" s="1287"/>
      <c r="K1670" s="1287"/>
      <c r="L1670" s="1287"/>
      <c r="M1670" s="1287"/>
      <c r="N1670" s="1287"/>
      <c r="O1670" s="1287"/>
      <c r="P1670" s="1287"/>
      <c r="Q1670" s="1287"/>
      <c r="R1670" s="1287"/>
      <c r="U1670" s="456"/>
    </row>
    <row r="1671" spans="1:21" ht="18.75" customHeight="1">
      <c r="A1671" s="849"/>
      <c r="E1671" s="1286" t="s">
        <v>779</v>
      </c>
      <c r="F1671" s="1286"/>
      <c r="G1671" s="1286"/>
      <c r="H1671" s="1286"/>
      <c r="I1671" s="1286"/>
      <c r="J1671" s="1286"/>
      <c r="K1671" s="1286"/>
      <c r="L1671" s="1286"/>
      <c r="M1671" s="1286"/>
      <c r="N1671" s="1286"/>
      <c r="O1671" s="1286"/>
      <c r="P1671" s="1286"/>
      <c r="Q1671" s="1286"/>
      <c r="R1671" s="1286"/>
      <c r="U1671" s="853"/>
    </row>
    <row r="1672" spans="1:21" ht="23.25" customHeight="1">
      <c r="A1672" s="854" t="s">
        <v>780</v>
      </c>
      <c r="B1672" s="855"/>
      <c r="C1672" s="855"/>
      <c r="D1672" s="856" t="s">
        <v>873</v>
      </c>
      <c r="E1672" s="857"/>
      <c r="F1672" s="858"/>
      <c r="G1672" s="859"/>
      <c r="H1672" s="859"/>
      <c r="I1672" s="859"/>
      <c r="J1672" s="859"/>
      <c r="K1672" s="859"/>
      <c r="L1672" s="860"/>
      <c r="M1672" s="1460"/>
      <c r="N1672" s="1460"/>
      <c r="O1672" s="1460"/>
      <c r="P1672" s="1461" t="s">
        <v>781</v>
      </c>
      <c r="Q1672" s="1461"/>
      <c r="R1672" s="1461"/>
      <c r="S1672" s="855"/>
      <c r="T1672" s="861">
        <v>46320</v>
      </c>
      <c r="U1672" s="456"/>
    </row>
    <row r="1673" spans="1:21" ht="23.25" customHeight="1">
      <c r="A1673" s="854"/>
      <c r="B1673" s="862"/>
      <c r="C1673" s="862"/>
      <c r="D1673" s="862"/>
      <c r="E1673" s="163"/>
      <c r="F1673" s="863"/>
      <c r="G1673" s="863"/>
      <c r="H1673" s="863"/>
      <c r="I1673" s="863"/>
      <c r="J1673" s="863"/>
      <c r="K1673" s="863"/>
      <c r="U1673" s="456"/>
    </row>
    <row r="1674" spans="1:21" ht="21" customHeight="1">
      <c r="A1674" s="864" t="s">
        <v>782</v>
      </c>
      <c r="B1674" s="865"/>
      <c r="C1674" s="866"/>
      <c r="D1674" s="867"/>
      <c r="E1674" s="868"/>
      <c r="F1674" s="869"/>
      <c r="G1674" s="869"/>
      <c r="H1674" s="869"/>
      <c r="I1674" s="870"/>
      <c r="J1674" s="870"/>
      <c r="P1674" s="1462"/>
      <c r="Q1674" s="1462"/>
      <c r="R1674" s="1462"/>
      <c r="S1674" s="1462"/>
      <c r="T1674" s="871"/>
      <c r="U1674" s="456"/>
    </row>
    <row r="1675" spans="1:21" ht="21" customHeight="1">
      <c r="A1675" s="872"/>
      <c r="B1675" s="873"/>
      <c r="C1675" s="869"/>
      <c r="D1675" s="869"/>
      <c r="E1675" s="869"/>
      <c r="F1675" s="869"/>
      <c r="G1675" s="869"/>
      <c r="H1675" s="869"/>
      <c r="I1675" s="870"/>
      <c r="J1675" s="870"/>
      <c r="U1675" s="456"/>
    </row>
    <row r="1676" spans="1:21" ht="15" customHeight="1">
      <c r="A1676" s="1463" t="s">
        <v>783</v>
      </c>
      <c r="B1676" s="1463"/>
      <c r="C1676" s="1463"/>
      <c r="D1676" s="1463"/>
      <c r="E1676" s="1463"/>
      <c r="F1676" s="1463"/>
      <c r="G1676" s="1463"/>
      <c r="H1676" s="1463"/>
      <c r="I1676" s="1463"/>
      <c r="J1676" s="1463"/>
      <c r="K1676" s="1463"/>
      <c r="L1676" s="1463"/>
      <c r="M1676" s="1463"/>
      <c r="N1676" s="1463"/>
      <c r="O1676" s="1463"/>
      <c r="P1676" s="1463"/>
      <c r="Q1676" s="1463"/>
      <c r="R1676" s="1463"/>
      <c r="S1676" s="1463"/>
      <c r="T1676" s="1463"/>
      <c r="U1676" s="1463"/>
    </row>
    <row r="1677" spans="1:21" ht="15" customHeight="1">
      <c r="A1677" s="1463"/>
      <c r="B1677" s="1463"/>
      <c r="C1677" s="1463"/>
      <c r="D1677" s="1463"/>
      <c r="E1677" s="1463"/>
      <c r="F1677" s="1463"/>
      <c r="G1677" s="1463"/>
      <c r="H1677" s="1463"/>
      <c r="I1677" s="1463"/>
      <c r="J1677" s="1463"/>
      <c r="K1677" s="1463"/>
      <c r="L1677" s="1463"/>
      <c r="M1677" s="1463"/>
      <c r="N1677" s="1463"/>
      <c r="O1677" s="1463"/>
      <c r="P1677" s="1463"/>
      <c r="Q1677" s="1463"/>
      <c r="R1677" s="1463"/>
      <c r="S1677" s="1463"/>
      <c r="T1677" s="1463"/>
      <c r="U1677" s="1463"/>
    </row>
    <row r="1678" spans="1:21" ht="18" customHeight="1">
      <c r="A1678" s="1464" t="s">
        <v>784</v>
      </c>
      <c r="B1678" s="1464"/>
      <c r="C1678" s="1464"/>
      <c r="D1678" s="1464"/>
      <c r="E1678" s="1464"/>
      <c r="F1678" s="1464"/>
      <c r="G1678" s="1464"/>
      <c r="H1678" s="1464"/>
      <c r="I1678" s="1464"/>
      <c r="J1678" s="1464"/>
      <c r="K1678" s="1464"/>
      <c r="L1678" s="1464"/>
      <c r="M1678" s="1464"/>
      <c r="N1678" s="1464"/>
      <c r="O1678" s="1464"/>
      <c r="P1678" s="1464"/>
      <c r="Q1678" s="1464"/>
      <c r="R1678" s="1464"/>
      <c r="S1678" s="1464"/>
      <c r="T1678" s="1464"/>
      <c r="U1678" s="1464"/>
    </row>
    <row r="1679" spans="1:21" ht="23.25" customHeight="1">
      <c r="A1679" s="1465" t="s">
        <v>785</v>
      </c>
      <c r="B1679" s="1465"/>
      <c r="C1679" s="1465"/>
      <c r="D1679" s="1465"/>
      <c r="E1679" s="1465"/>
      <c r="F1679" s="1465"/>
      <c r="G1679" s="1465"/>
      <c r="H1679" s="1465"/>
      <c r="I1679" s="1465"/>
      <c r="J1679" s="1465"/>
      <c r="K1679" s="1465"/>
      <c r="L1679" s="1465"/>
      <c r="M1679" s="1465"/>
      <c r="N1679" s="1465"/>
      <c r="O1679" s="1465"/>
      <c r="P1679" s="1465"/>
      <c r="Q1679" s="1465"/>
      <c r="R1679" s="1465"/>
      <c r="S1679" s="1465"/>
      <c r="T1679" s="1465"/>
      <c r="U1679" s="1465"/>
    </row>
    <row r="1680" spans="1:21" ht="21.75" customHeight="1">
      <c r="A1680" s="874"/>
      <c r="B1680" s="875"/>
      <c r="C1680" s="875"/>
      <c r="D1680" s="875"/>
      <c r="E1680" s="875"/>
      <c r="F1680" s="875"/>
      <c r="G1680" s="875"/>
      <c r="H1680" s="875"/>
      <c r="I1680" s="875"/>
      <c r="J1680" s="875"/>
      <c r="K1680" s="875"/>
      <c r="L1680" s="875"/>
      <c r="M1680" s="875"/>
      <c r="N1680" s="875"/>
      <c r="O1680" s="875"/>
      <c r="P1680" s="875"/>
      <c r="Q1680" s="875"/>
      <c r="R1680" s="875"/>
      <c r="S1680" s="875"/>
      <c r="T1680" s="875"/>
      <c r="U1680" s="876"/>
    </row>
    <row r="1681" spans="1:21" ht="15" customHeight="1">
      <c r="A1681" s="1466" t="s">
        <v>786</v>
      </c>
      <c r="B1681" s="1467" t="s">
        <v>787</v>
      </c>
      <c r="C1681" s="1468" t="s">
        <v>788</v>
      </c>
      <c r="D1681" s="1468" t="s">
        <v>789</v>
      </c>
      <c r="E1681" s="1469" t="s">
        <v>790</v>
      </c>
      <c r="F1681" s="1468" t="s">
        <v>791</v>
      </c>
      <c r="G1681" s="1468"/>
      <c r="H1681" s="1468"/>
      <c r="I1681" s="1468"/>
      <c r="J1681" s="1468"/>
      <c r="K1681" s="1468"/>
      <c r="L1681" s="1468"/>
      <c r="M1681" s="1468"/>
      <c r="N1681" s="1468"/>
      <c r="O1681" s="1468"/>
      <c r="P1681" s="1470"/>
      <c r="Q1681" s="1470"/>
      <c r="R1681" s="1470"/>
      <c r="S1681" s="1470"/>
      <c r="T1681" s="1470"/>
      <c r="U1681" s="1470"/>
    </row>
    <row r="1682" spans="1:21" ht="15.75" customHeight="1">
      <c r="A1682" s="1466"/>
      <c r="B1682" s="1467"/>
      <c r="C1682" s="1468"/>
      <c r="D1682" s="1468"/>
      <c r="E1682" s="1469"/>
      <c r="F1682" s="1468"/>
      <c r="G1682" s="1468"/>
      <c r="H1682" s="1468"/>
      <c r="I1682" s="1468"/>
      <c r="J1682" s="1468"/>
      <c r="K1682" s="1468"/>
      <c r="L1682" s="1468"/>
      <c r="M1682" s="1468"/>
      <c r="N1682" s="1468"/>
      <c r="O1682" s="1468"/>
      <c r="P1682" s="1470"/>
      <c r="Q1682" s="1470"/>
      <c r="R1682" s="1470"/>
      <c r="S1682" s="1470"/>
      <c r="T1682" s="1470"/>
      <c r="U1682" s="1470"/>
    </row>
    <row r="1683" spans="1:21" ht="48" customHeight="1">
      <c r="A1683" s="1466"/>
      <c r="B1683" s="1467"/>
      <c r="C1683" s="1468"/>
      <c r="D1683" s="1468"/>
      <c r="E1683" s="1469"/>
      <c r="F1683" s="878" t="s">
        <v>792</v>
      </c>
      <c r="G1683" s="877" t="s">
        <v>793</v>
      </c>
      <c r="H1683" s="878" t="s">
        <v>794</v>
      </c>
      <c r="I1683" s="879" t="s">
        <v>795</v>
      </c>
      <c r="J1683" s="880" t="s">
        <v>796</v>
      </c>
      <c r="K1683" s="1468" t="s">
        <v>797</v>
      </c>
      <c r="L1683" s="1468"/>
      <c r="M1683" s="1468"/>
      <c r="N1683" s="1468"/>
      <c r="O1683" s="1468"/>
      <c r="P1683" s="881" t="s">
        <v>798</v>
      </c>
      <c r="Q1683" s="882" t="s">
        <v>799</v>
      </c>
      <c r="R1683" s="1469" t="s">
        <v>800</v>
      </c>
      <c r="S1683" s="1469"/>
      <c r="T1683" s="877" t="s">
        <v>801</v>
      </c>
      <c r="U1683" s="879" t="s">
        <v>104</v>
      </c>
    </row>
    <row r="1684" spans="1:21" ht="19.5" customHeight="1">
      <c r="A1684" s="883"/>
      <c r="B1684" s="884" t="str">
        <f>IF('BIS Doc'!AC787=130, "130 × 130", IF('BIS Doc'!AC787=160, "160 × 160", IF('BIS Doc'!AC787=110, "110 × 110", "Value not 130, 160, or 110")))</f>
        <v>Value not 130, 160, or 110</v>
      </c>
      <c r="C1684" s="885">
        <f>'BIS Doc'!W787</f>
        <v>0</v>
      </c>
      <c r="D1684" s="886"/>
      <c r="E1684" s="887">
        <f>'BIS Doc'!AE787</f>
        <v>0</v>
      </c>
      <c r="F1684" s="888">
        <f ca="1">'BIS Doc'!F787</f>
        <v>0</v>
      </c>
      <c r="G1684" s="888">
        <f ca="1">'BIS Doc'!J787</f>
        <v>0</v>
      </c>
      <c r="H1684" s="888">
        <f ca="1">'BIS Doc'!G787</f>
        <v>0.5352354791390993</v>
      </c>
      <c r="I1684" s="889">
        <f ca="1">'BIS Doc'!H787</f>
        <v>0</v>
      </c>
      <c r="J1684" s="889">
        <f ca="1">'BIS Doc'!I787</f>
        <v>0</v>
      </c>
      <c r="K1684" s="1449" t="str">
        <f t="shared" ref="K1684:K1689" ca="1" si="48">IF(H1684&lt;0.6, "IS 14650 CPS 10748/GR2", "IS 14650 CPS 10748/GR3")</f>
        <v>IS 14650 CPS 10748/GR2</v>
      </c>
      <c r="L1684" s="1449"/>
      <c r="M1684" s="1449"/>
      <c r="N1684" s="1449"/>
      <c r="O1684" s="1449"/>
      <c r="P1684" s="890"/>
      <c r="Q1684" s="891"/>
      <c r="R1684" s="1449"/>
      <c r="S1684" s="1449"/>
      <c r="T1684" s="892"/>
      <c r="U1684" s="1450" t="s">
        <v>802</v>
      </c>
    </row>
    <row r="1685" spans="1:21" ht="19.5" customHeight="1">
      <c r="A1685" s="893"/>
      <c r="B1685" s="894" t="str">
        <f>IF('BIS Doc'!AC789=130, "130 × 130", IF('BIS Doc'!AC789=160, "160 × 160", IF('BIS Doc'!AC789=110, "110 × 110", "Value not 130, 160, or 110")))</f>
        <v>Value not 130, 160, or 110</v>
      </c>
      <c r="C1685" s="895">
        <f>'BIS Doc'!W789</f>
        <v>0</v>
      </c>
      <c r="D1685" s="896"/>
      <c r="E1685" s="897">
        <f>'BIS Doc'!AE789</f>
        <v>0</v>
      </c>
      <c r="F1685" s="898">
        <f ca="1">'BIS Doc'!F789</f>
        <v>0</v>
      </c>
      <c r="G1685" s="899">
        <f ca="1">'BIS Doc'!J789</f>
        <v>0</v>
      </c>
      <c r="H1685" s="900">
        <f ca="1">'BIS Doc'!G789</f>
        <v>0.50085832899149929</v>
      </c>
      <c r="I1685" s="901">
        <f ca="1">'BIS Doc'!H789</f>
        <v>0</v>
      </c>
      <c r="J1685" s="901">
        <f ca="1">'BIS Doc'!I789</f>
        <v>0</v>
      </c>
      <c r="K1685" s="1451" t="str">
        <f t="shared" ca="1" si="48"/>
        <v>IS 14650 CPS 10748/GR2</v>
      </c>
      <c r="L1685" s="1451"/>
      <c r="M1685" s="1451"/>
      <c r="N1685" s="1451"/>
      <c r="O1685" s="1451"/>
      <c r="P1685" s="902"/>
      <c r="Q1685" s="903"/>
      <c r="R1685" s="1451"/>
      <c r="S1685" s="1451"/>
      <c r="T1685" s="904"/>
      <c r="U1685" s="1450"/>
    </row>
    <row r="1686" spans="1:21" ht="19.5" customHeight="1">
      <c r="A1686" s="864"/>
      <c r="B1686" s="894" t="str">
        <f>IF('BIS Doc'!AC791=130, "130 × 130", IF('BIS Doc'!AC791=160, "160 × 160", IF('BIS Doc'!AC791=110, "110 × 110", "Value not 130, 160, or 110")))</f>
        <v>Value not 130, 160, or 110</v>
      </c>
      <c r="C1686" s="895">
        <f>'BIS Doc'!W791</f>
        <v>0</v>
      </c>
      <c r="D1686" s="896" t="s">
        <v>803</v>
      </c>
      <c r="E1686" s="897">
        <f>'BIS Doc'!AE791</f>
        <v>0</v>
      </c>
      <c r="F1686" s="898">
        <f ca="1">'BIS Doc'!F791</f>
        <v>0</v>
      </c>
      <c r="G1686" s="899">
        <f ca="1">'BIS Doc'!J791</f>
        <v>0</v>
      </c>
      <c r="H1686" s="900">
        <f ca="1">'BIS Doc'!G791</f>
        <v>0.55080250713119527</v>
      </c>
      <c r="I1686" s="901">
        <f ca="1">'BIS Doc'!H791</f>
        <v>0</v>
      </c>
      <c r="J1686" s="901">
        <f ca="1">'BIS Doc'!I791</f>
        <v>0</v>
      </c>
      <c r="K1686" s="1451" t="str">
        <f t="shared" ca="1" si="48"/>
        <v>IS 14650 CPS 10748/GR2</v>
      </c>
      <c r="L1686" s="1451"/>
      <c r="M1686" s="1451"/>
      <c r="N1686" s="1451"/>
      <c r="O1686" s="1451"/>
      <c r="P1686" s="902"/>
      <c r="Q1686" s="905"/>
      <c r="R1686" s="1451"/>
      <c r="S1686" s="1451"/>
      <c r="T1686" s="904"/>
      <c r="U1686" s="1450"/>
    </row>
    <row r="1687" spans="1:21" ht="19.5" customHeight="1">
      <c r="A1687" s="864"/>
      <c r="B1687" s="894" t="str">
        <f>IF('BIS Doc'!AC793=130, "130 × 130", IF('BIS Doc'!AC793=160, "160 × 160", IF('BIS Doc'!AC793=110, "110 × 110", "Value not 130, 160, or 110")))</f>
        <v>Value not 130, 160, or 110</v>
      </c>
      <c r="C1687" s="895">
        <f>'BIS Doc'!W793</f>
        <v>0</v>
      </c>
      <c r="D1687" s="896"/>
      <c r="E1687" s="897">
        <f>'BIS Doc'!AE793</f>
        <v>0</v>
      </c>
      <c r="F1687" s="898">
        <f ca="1">'BIS Doc'!F793</f>
        <v>0</v>
      </c>
      <c r="G1687" s="899">
        <f ca="1">'BIS Doc'!J793</f>
        <v>0</v>
      </c>
      <c r="H1687" s="900">
        <f ca="1">'BIS Doc'!G793</f>
        <v>0.58841144230974129</v>
      </c>
      <c r="I1687" s="901">
        <f ca="1">'BIS Doc'!H793</f>
        <v>0</v>
      </c>
      <c r="J1687" s="901">
        <f ca="1">'BIS Doc'!I793</f>
        <v>0</v>
      </c>
      <c r="K1687" s="1451" t="str">
        <f t="shared" ca="1" si="48"/>
        <v>IS 14650 CPS 10748/GR2</v>
      </c>
      <c r="L1687" s="1451"/>
      <c r="M1687" s="1451"/>
      <c r="N1687" s="1451"/>
      <c r="O1687" s="1451"/>
      <c r="P1687" s="902"/>
      <c r="Q1687" s="905"/>
      <c r="R1687" s="1451"/>
      <c r="S1687" s="1451"/>
      <c r="T1687" s="904"/>
      <c r="U1687" s="1450"/>
    </row>
    <row r="1688" spans="1:21" ht="19.5" customHeight="1">
      <c r="A1688" s="864"/>
      <c r="B1688" s="894" t="str">
        <f>IF('BIS Doc'!AC795=130, "130 × 130", IF('BIS Doc'!AC795=160, "160 × 160", IF('BIS Doc'!AC795=110, "110 × 110", "Value not 130, 160, or 110")))</f>
        <v>Value not 130, 160, or 110</v>
      </c>
      <c r="C1688" s="895">
        <f>'BIS Doc'!W795</f>
        <v>0</v>
      </c>
      <c r="D1688" s="896"/>
      <c r="E1688" s="897">
        <f>'BIS Doc'!AE795</f>
        <v>0</v>
      </c>
      <c r="F1688" s="898">
        <f ca="1">'BIS Doc'!F795</f>
        <v>0</v>
      </c>
      <c r="G1688" s="899">
        <f ca="1">'BIS Doc'!J795</f>
        <v>0</v>
      </c>
      <c r="H1688" s="900">
        <f ca="1">'BIS Doc'!G795</f>
        <v>0.50938982925015386</v>
      </c>
      <c r="I1688" s="901">
        <f ca="1">'BIS Doc'!H795</f>
        <v>0</v>
      </c>
      <c r="J1688" s="901">
        <f ca="1">'BIS Doc'!I795</f>
        <v>0</v>
      </c>
      <c r="K1688" s="1451" t="str">
        <f t="shared" ca="1" si="48"/>
        <v>IS 14650 CPS 10748/GR2</v>
      </c>
      <c r="L1688" s="1451"/>
      <c r="M1688" s="1451"/>
      <c r="N1688" s="1451"/>
      <c r="O1688" s="1451"/>
      <c r="P1688" s="902"/>
      <c r="Q1688" s="905"/>
      <c r="R1688" s="1451"/>
      <c r="S1688" s="1451"/>
      <c r="T1688" s="904"/>
      <c r="U1688" s="1450"/>
    </row>
    <row r="1689" spans="1:21" ht="19.5" customHeight="1">
      <c r="A1689" s="864"/>
      <c r="B1689" s="894" t="str">
        <f>IF('BIS Doc'!AC797=130, "130 × 130", IF('BIS Doc'!AC797=160, "160 × 160", IF('BIS Doc'!AC797=110, "110 × 110", "Value not 130, 160, or 110")))</f>
        <v>Value not 130, 160, or 110</v>
      </c>
      <c r="C1689" s="895">
        <f>'BIS Doc'!W797</f>
        <v>0</v>
      </c>
      <c r="D1689" s="896"/>
      <c r="E1689" s="897">
        <f>'BIS Doc'!AE797</f>
        <v>0</v>
      </c>
      <c r="F1689" s="898">
        <f ca="1">'BIS Doc'!F797</f>
        <v>0</v>
      </c>
      <c r="G1689" s="899">
        <f ca="1">'BIS Doc'!J797</f>
        <v>0</v>
      </c>
      <c r="H1689" s="900">
        <f ca="1">'BIS Doc'!G797</f>
        <v>0.51633616087073786</v>
      </c>
      <c r="I1689" s="901">
        <f ca="1">'BIS Doc'!H797</f>
        <v>0</v>
      </c>
      <c r="J1689" s="901">
        <f ca="1">'BIS Doc'!I797</f>
        <v>0</v>
      </c>
      <c r="K1689" s="1451" t="str">
        <f t="shared" ca="1" si="48"/>
        <v>IS 14650 CPS 10748/GR2</v>
      </c>
      <c r="L1689" s="1451"/>
      <c r="M1689" s="1451"/>
      <c r="N1689" s="1451"/>
      <c r="O1689" s="1451"/>
      <c r="P1689" s="902"/>
      <c r="Q1689" s="903"/>
      <c r="R1689" s="1451"/>
      <c r="S1689" s="1451"/>
      <c r="T1689" s="904"/>
      <c r="U1689" s="1450"/>
    </row>
    <row r="1690" spans="1:21" ht="19.5" customHeight="1">
      <c r="A1690" s="864"/>
      <c r="B1690" s="904"/>
      <c r="C1690" s="895"/>
      <c r="D1690" s="896"/>
      <c r="E1690" s="897"/>
      <c r="F1690" s="906"/>
      <c r="G1690" s="907"/>
      <c r="H1690" s="908"/>
      <c r="I1690" s="909"/>
      <c r="J1690" s="909"/>
      <c r="K1690" s="1451"/>
      <c r="L1690" s="1451"/>
      <c r="M1690" s="1451"/>
      <c r="N1690" s="1451"/>
      <c r="O1690" s="1451"/>
      <c r="P1690" s="902"/>
      <c r="Q1690" s="903"/>
      <c r="R1690" s="1451"/>
      <c r="S1690" s="1451"/>
      <c r="T1690" s="904"/>
      <c r="U1690" s="1450"/>
    </row>
    <row r="1691" spans="1:21" ht="19.5" customHeight="1">
      <c r="A1691" s="864"/>
      <c r="B1691" s="904"/>
      <c r="C1691" s="895"/>
      <c r="D1691" s="896"/>
      <c r="E1691" s="897"/>
      <c r="F1691" s="906"/>
      <c r="G1691" s="907"/>
      <c r="H1691" s="908"/>
      <c r="I1691" s="909"/>
      <c r="J1691" s="909"/>
      <c r="K1691" s="1451"/>
      <c r="L1691" s="1451"/>
      <c r="M1691" s="1451"/>
      <c r="N1691" s="1451"/>
      <c r="O1691" s="1451"/>
      <c r="P1691" s="902"/>
      <c r="Q1691" s="905"/>
      <c r="R1691" s="1451"/>
      <c r="S1691" s="1451"/>
      <c r="T1691" s="904"/>
      <c r="U1691" s="1450"/>
    </row>
    <row r="1692" spans="1:21" ht="19.5" customHeight="1">
      <c r="A1692" s="864"/>
      <c r="B1692" s="910"/>
      <c r="C1692" s="911"/>
      <c r="D1692" s="896"/>
      <c r="E1692" s="897"/>
      <c r="F1692" s="906"/>
      <c r="G1692" s="907"/>
      <c r="H1692" s="908"/>
      <c r="I1692" s="909"/>
      <c r="J1692" s="909"/>
      <c r="K1692" s="1451"/>
      <c r="L1692" s="1451"/>
      <c r="M1692" s="1451"/>
      <c r="N1692" s="1451"/>
      <c r="O1692" s="1451"/>
      <c r="P1692" s="912"/>
      <c r="Q1692" s="913"/>
      <c r="R1692" s="1452"/>
      <c r="S1692" s="1452"/>
      <c r="T1692" s="910"/>
      <c r="U1692" s="1450"/>
    </row>
    <row r="1693" spans="1:21" ht="19.5" customHeight="1">
      <c r="A1693" s="914"/>
      <c r="B1693" s="915"/>
      <c r="C1693" s="916"/>
      <c r="D1693" s="917"/>
      <c r="E1693" s="918">
        <f>SUM(E1684:E1689)</f>
        <v>0</v>
      </c>
      <c r="F1693" s="919"/>
      <c r="G1693" s="920"/>
      <c r="H1693" s="921"/>
      <c r="I1693" s="922"/>
      <c r="J1693" s="922"/>
      <c r="K1693" s="1453"/>
      <c r="L1693" s="1453"/>
      <c r="M1693" s="1453"/>
      <c r="N1693" s="1453"/>
      <c r="O1693" s="1453"/>
      <c r="P1693" s="923"/>
      <c r="Q1693" s="924"/>
      <c r="R1693" s="1454"/>
      <c r="S1693" s="1454"/>
      <c r="T1693" s="915"/>
      <c r="U1693" s="1450"/>
    </row>
    <row r="1694" spans="1:21" ht="15.75" customHeight="1">
      <c r="A1694" s="864"/>
      <c r="B1694" s="773"/>
      <c r="C1694" s="773"/>
      <c r="D1694" s="925"/>
      <c r="E1694" s="926"/>
      <c r="F1694" s="927"/>
      <c r="G1694" s="928"/>
      <c r="H1694" s="259"/>
      <c r="I1694" s="259"/>
      <c r="J1694" s="928"/>
      <c r="K1694" s="929"/>
      <c r="L1694" s="929"/>
      <c r="M1694" s="929"/>
      <c r="N1694" s="929"/>
      <c r="O1694" s="928"/>
      <c r="P1694" s="930"/>
      <c r="Q1694" s="931"/>
      <c r="R1694" s="931"/>
      <c r="U1694" s="932"/>
    </row>
    <row r="1695" spans="1:21" ht="18.75" customHeight="1">
      <c r="A1695" s="864"/>
      <c r="B1695" s="773"/>
      <c r="C1695" s="773"/>
      <c r="D1695" s="773"/>
      <c r="E1695" s="773"/>
      <c r="F1695" s="773"/>
      <c r="G1695" s="773"/>
      <c r="H1695" s="773"/>
      <c r="I1695" s="773"/>
      <c r="J1695" s="773"/>
      <c r="K1695" s="773"/>
      <c r="P1695" s="1446" t="s">
        <v>804</v>
      </c>
      <c r="Q1695" s="1446"/>
      <c r="R1695" s="1446"/>
      <c r="S1695" s="1446"/>
      <c r="T1695" s="1446"/>
      <c r="U1695" s="1446"/>
    </row>
    <row r="1696" spans="1:21" ht="18.75" customHeight="1">
      <c r="A1696" s="1447" t="s">
        <v>805</v>
      </c>
      <c r="B1696" s="1447"/>
      <c r="C1696" s="933"/>
      <c r="D1696" s="933"/>
      <c r="E1696" s="933"/>
      <c r="F1696" s="933"/>
      <c r="P1696" s="855"/>
      <c r="Q1696" s="855"/>
      <c r="R1696" s="855"/>
      <c r="S1696" s="855"/>
      <c r="T1696" s="855"/>
      <c r="U1696" s="934"/>
    </row>
    <row r="1697" spans="1:21" ht="18.75" customHeight="1">
      <c r="A1697" s="854"/>
      <c r="B1697" s="855"/>
      <c r="P1697" s="855"/>
      <c r="Q1697" s="855"/>
      <c r="R1697" s="855"/>
      <c r="S1697" s="855"/>
      <c r="T1697" s="855"/>
      <c r="U1697" s="934"/>
    </row>
    <row r="1698" spans="1:21" ht="18.75" customHeight="1">
      <c r="A1698" s="854" t="s">
        <v>806</v>
      </c>
      <c r="B1698" s="855"/>
      <c r="C1698" s="867"/>
      <c r="D1698" s="941"/>
      <c r="E1698" s="933"/>
      <c r="F1698" s="933"/>
      <c r="P1698" s="855"/>
      <c r="Q1698" s="855"/>
      <c r="R1698" s="855"/>
      <c r="S1698" s="855"/>
      <c r="T1698" s="855"/>
      <c r="U1698" s="934"/>
    </row>
    <row r="1699" spans="1:21" ht="18.75" customHeight="1">
      <c r="A1699" s="854"/>
      <c r="B1699" s="855"/>
      <c r="C1699" s="937"/>
      <c r="P1699" s="855"/>
      <c r="Q1699" s="855"/>
      <c r="R1699" s="855"/>
      <c r="S1699" s="855"/>
      <c r="T1699" s="855"/>
      <c r="U1699" s="934"/>
    </row>
    <row r="1700" spans="1:21" ht="19.5" customHeight="1">
      <c r="A1700" s="938"/>
      <c r="B1700" s="939"/>
      <c r="C1700" s="940"/>
      <c r="D1700" s="453"/>
      <c r="E1700" s="453"/>
      <c r="F1700" s="453"/>
      <c r="G1700" s="453"/>
      <c r="H1700" s="453"/>
      <c r="I1700" s="453"/>
      <c r="J1700" s="453"/>
      <c r="K1700" s="453"/>
      <c r="L1700" s="453"/>
      <c r="M1700" s="453"/>
      <c r="N1700" s="453"/>
      <c r="O1700" s="453"/>
      <c r="P1700" s="1448" t="s">
        <v>807</v>
      </c>
      <c r="Q1700" s="1448"/>
      <c r="R1700" s="1448"/>
      <c r="S1700" s="1448"/>
      <c r="T1700" s="1448"/>
      <c r="U1700" s="1448"/>
    </row>
    <row r="1701" spans="1:21" ht="45.75" customHeight="1">
      <c r="A1701" s="1455"/>
      <c r="B1701" s="1455"/>
      <c r="C1701" s="1455"/>
      <c r="D1701" s="847"/>
      <c r="E1701" s="1456" t="s">
        <v>774</v>
      </c>
      <c r="F1701" s="1456"/>
      <c r="G1701" s="1456"/>
      <c r="H1701" s="1456"/>
      <c r="I1701" s="1456"/>
      <c r="J1701" s="1456"/>
      <c r="K1701" s="1456"/>
      <c r="L1701" s="1456"/>
      <c r="M1701" s="1456"/>
      <c r="N1701" s="1456"/>
      <c r="O1701" s="1456"/>
      <c r="P1701" s="1456"/>
      <c r="Q1701" s="1456"/>
      <c r="R1701" s="1456"/>
      <c r="S1701" s="848"/>
      <c r="T1701" s="1457" t="s">
        <v>775</v>
      </c>
      <c r="U1701" s="1457"/>
    </row>
    <row r="1702" spans="1:21" ht="18.75" customHeight="1">
      <c r="A1702" s="849"/>
      <c r="E1702" s="1458" t="s">
        <v>776</v>
      </c>
      <c r="F1702" s="1458"/>
      <c r="G1702" s="1458"/>
      <c r="H1702" s="1458"/>
      <c r="I1702" s="1458"/>
      <c r="J1702" s="1458"/>
      <c r="K1702" s="1458"/>
      <c r="L1702" s="1458"/>
      <c r="M1702" s="1458"/>
      <c r="N1702" s="1458"/>
      <c r="O1702" s="1458"/>
      <c r="P1702" s="1458"/>
      <c r="Q1702" s="1458"/>
      <c r="R1702" s="1458"/>
      <c r="U1702" s="456"/>
    </row>
    <row r="1703" spans="1:21" ht="18.75" customHeight="1">
      <c r="A1703" s="850"/>
      <c r="F1703" s="587"/>
      <c r="G1703" s="587"/>
      <c r="H1703" s="587"/>
      <c r="I1703" s="587"/>
      <c r="J1703" s="587"/>
      <c r="K1703" s="587"/>
      <c r="L1703" s="587"/>
      <c r="M1703" s="851"/>
      <c r="N1703" s="852"/>
      <c r="O1703" s="851"/>
      <c r="P1703" s="1459" t="s">
        <v>777</v>
      </c>
      <c r="Q1703" s="1459"/>
      <c r="R1703" s="1459"/>
      <c r="S1703" s="1459"/>
      <c r="T1703" s="1459"/>
      <c r="U1703" s="1459"/>
    </row>
    <row r="1704" spans="1:21" ht="15" customHeight="1">
      <c r="A1704" s="849"/>
      <c r="E1704" s="1287" t="s">
        <v>778</v>
      </c>
      <c r="F1704" s="1287"/>
      <c r="G1704" s="1287"/>
      <c r="H1704" s="1287"/>
      <c r="I1704" s="1287"/>
      <c r="J1704" s="1287"/>
      <c r="K1704" s="1287"/>
      <c r="L1704" s="1287"/>
      <c r="M1704" s="1287"/>
      <c r="N1704" s="1287"/>
      <c r="O1704" s="1287"/>
      <c r="P1704" s="1287"/>
      <c r="Q1704" s="1287"/>
      <c r="R1704" s="1287"/>
      <c r="U1704" s="456"/>
    </row>
    <row r="1705" spans="1:21" ht="18.75" customHeight="1">
      <c r="A1705" s="849"/>
      <c r="E1705" s="1286" t="s">
        <v>779</v>
      </c>
      <c r="F1705" s="1286"/>
      <c r="G1705" s="1286"/>
      <c r="H1705" s="1286"/>
      <c r="I1705" s="1286"/>
      <c r="J1705" s="1286"/>
      <c r="K1705" s="1286"/>
      <c r="L1705" s="1286"/>
      <c r="M1705" s="1286"/>
      <c r="N1705" s="1286"/>
      <c r="O1705" s="1286"/>
      <c r="P1705" s="1286"/>
      <c r="Q1705" s="1286"/>
      <c r="R1705" s="1286"/>
      <c r="U1705" s="853"/>
    </row>
    <row r="1706" spans="1:21" ht="23.25" customHeight="1">
      <c r="A1706" s="854" t="s">
        <v>780</v>
      </c>
      <c r="B1706" s="855"/>
      <c r="C1706" s="855"/>
      <c r="D1706" s="856" t="s">
        <v>874</v>
      </c>
      <c r="E1706" s="857"/>
      <c r="F1706" s="858"/>
      <c r="G1706" s="859"/>
      <c r="H1706" s="859"/>
      <c r="I1706" s="859"/>
      <c r="J1706" s="859"/>
      <c r="K1706" s="859"/>
      <c r="L1706" s="860"/>
      <c r="M1706" s="1460"/>
      <c r="N1706" s="1460"/>
      <c r="O1706" s="1460"/>
      <c r="P1706" s="1461" t="s">
        <v>781</v>
      </c>
      <c r="Q1706" s="1461"/>
      <c r="R1706" s="1461"/>
      <c r="S1706" s="855"/>
      <c r="T1706" s="861">
        <v>46321</v>
      </c>
      <c r="U1706" s="456"/>
    </row>
    <row r="1707" spans="1:21" ht="23.25" customHeight="1">
      <c r="A1707" s="854"/>
      <c r="B1707" s="862"/>
      <c r="C1707" s="862"/>
      <c r="D1707" s="862"/>
      <c r="E1707" s="163"/>
      <c r="F1707" s="863"/>
      <c r="G1707" s="863"/>
      <c r="H1707" s="863"/>
      <c r="I1707" s="863"/>
      <c r="J1707" s="863"/>
      <c r="K1707" s="863"/>
      <c r="U1707" s="456"/>
    </row>
    <row r="1708" spans="1:21" ht="21" customHeight="1">
      <c r="A1708" s="864" t="s">
        <v>782</v>
      </c>
      <c r="B1708" s="865"/>
      <c r="C1708" s="866"/>
      <c r="D1708" s="867"/>
      <c r="E1708" s="868"/>
      <c r="F1708" s="869"/>
      <c r="G1708" s="869"/>
      <c r="H1708" s="869"/>
      <c r="I1708" s="870"/>
      <c r="J1708" s="870"/>
      <c r="P1708" s="1462"/>
      <c r="Q1708" s="1462"/>
      <c r="R1708" s="1462"/>
      <c r="S1708" s="1462"/>
      <c r="T1708" s="871"/>
      <c r="U1708" s="456"/>
    </row>
    <row r="1709" spans="1:21" ht="21" customHeight="1">
      <c r="A1709" s="872"/>
      <c r="B1709" s="873"/>
      <c r="C1709" s="869"/>
      <c r="D1709" s="869"/>
      <c r="E1709" s="869"/>
      <c r="F1709" s="869"/>
      <c r="G1709" s="869"/>
      <c r="H1709" s="869"/>
      <c r="I1709" s="870"/>
      <c r="J1709" s="870"/>
      <c r="U1709" s="456"/>
    </row>
    <row r="1710" spans="1:21" ht="15" customHeight="1">
      <c r="A1710" s="1463" t="s">
        <v>783</v>
      </c>
      <c r="B1710" s="1463"/>
      <c r="C1710" s="1463"/>
      <c r="D1710" s="1463"/>
      <c r="E1710" s="1463"/>
      <c r="F1710" s="1463"/>
      <c r="G1710" s="1463"/>
      <c r="H1710" s="1463"/>
      <c r="I1710" s="1463"/>
      <c r="J1710" s="1463"/>
      <c r="K1710" s="1463"/>
      <c r="L1710" s="1463"/>
      <c r="M1710" s="1463"/>
      <c r="N1710" s="1463"/>
      <c r="O1710" s="1463"/>
      <c r="P1710" s="1463"/>
      <c r="Q1710" s="1463"/>
      <c r="R1710" s="1463"/>
      <c r="S1710" s="1463"/>
      <c r="T1710" s="1463"/>
      <c r="U1710" s="1463"/>
    </row>
    <row r="1711" spans="1:21" ht="15" customHeight="1">
      <c r="A1711" s="1463"/>
      <c r="B1711" s="1463"/>
      <c r="C1711" s="1463"/>
      <c r="D1711" s="1463"/>
      <c r="E1711" s="1463"/>
      <c r="F1711" s="1463"/>
      <c r="G1711" s="1463"/>
      <c r="H1711" s="1463"/>
      <c r="I1711" s="1463"/>
      <c r="J1711" s="1463"/>
      <c r="K1711" s="1463"/>
      <c r="L1711" s="1463"/>
      <c r="M1711" s="1463"/>
      <c r="N1711" s="1463"/>
      <c r="O1711" s="1463"/>
      <c r="P1711" s="1463"/>
      <c r="Q1711" s="1463"/>
      <c r="R1711" s="1463"/>
      <c r="S1711" s="1463"/>
      <c r="T1711" s="1463"/>
      <c r="U1711" s="1463"/>
    </row>
    <row r="1712" spans="1:21" ht="18" customHeight="1">
      <c r="A1712" s="1464" t="s">
        <v>784</v>
      </c>
      <c r="B1712" s="1464"/>
      <c r="C1712" s="1464"/>
      <c r="D1712" s="1464"/>
      <c r="E1712" s="1464"/>
      <c r="F1712" s="1464"/>
      <c r="G1712" s="1464"/>
      <c r="H1712" s="1464"/>
      <c r="I1712" s="1464"/>
      <c r="J1712" s="1464"/>
      <c r="K1712" s="1464"/>
      <c r="L1712" s="1464"/>
      <c r="M1712" s="1464"/>
      <c r="N1712" s="1464"/>
      <c r="O1712" s="1464"/>
      <c r="P1712" s="1464"/>
      <c r="Q1712" s="1464"/>
      <c r="R1712" s="1464"/>
      <c r="S1712" s="1464"/>
      <c r="T1712" s="1464"/>
      <c r="U1712" s="1464"/>
    </row>
    <row r="1713" spans="1:21" ht="23.25" customHeight="1">
      <c r="A1713" s="1465" t="s">
        <v>785</v>
      </c>
      <c r="B1713" s="1465"/>
      <c r="C1713" s="1465"/>
      <c r="D1713" s="1465"/>
      <c r="E1713" s="1465"/>
      <c r="F1713" s="1465"/>
      <c r="G1713" s="1465"/>
      <c r="H1713" s="1465"/>
      <c r="I1713" s="1465"/>
      <c r="J1713" s="1465"/>
      <c r="K1713" s="1465"/>
      <c r="L1713" s="1465"/>
      <c r="M1713" s="1465"/>
      <c r="N1713" s="1465"/>
      <c r="O1713" s="1465"/>
      <c r="P1713" s="1465"/>
      <c r="Q1713" s="1465"/>
      <c r="R1713" s="1465"/>
      <c r="S1713" s="1465"/>
      <c r="T1713" s="1465"/>
      <c r="U1713" s="1465"/>
    </row>
    <row r="1714" spans="1:21" ht="21.75" customHeight="1">
      <c r="A1714" s="874"/>
      <c r="B1714" s="875"/>
      <c r="C1714" s="875"/>
      <c r="D1714" s="875"/>
      <c r="E1714" s="875"/>
      <c r="F1714" s="875"/>
      <c r="G1714" s="875"/>
      <c r="H1714" s="875"/>
      <c r="I1714" s="875"/>
      <c r="J1714" s="875"/>
      <c r="K1714" s="875"/>
      <c r="L1714" s="875"/>
      <c r="M1714" s="875"/>
      <c r="N1714" s="875"/>
      <c r="O1714" s="875"/>
      <c r="P1714" s="875"/>
      <c r="Q1714" s="875"/>
      <c r="R1714" s="875"/>
      <c r="S1714" s="875"/>
      <c r="T1714" s="875"/>
      <c r="U1714" s="876"/>
    </row>
    <row r="1715" spans="1:21" ht="15" customHeight="1">
      <c r="A1715" s="1466" t="s">
        <v>786</v>
      </c>
      <c r="B1715" s="1467" t="s">
        <v>787</v>
      </c>
      <c r="C1715" s="1468" t="s">
        <v>788</v>
      </c>
      <c r="D1715" s="1468" t="s">
        <v>789</v>
      </c>
      <c r="E1715" s="1469" t="s">
        <v>790</v>
      </c>
      <c r="F1715" s="1468" t="s">
        <v>791</v>
      </c>
      <c r="G1715" s="1468"/>
      <c r="H1715" s="1468"/>
      <c r="I1715" s="1468"/>
      <c r="J1715" s="1468"/>
      <c r="K1715" s="1468"/>
      <c r="L1715" s="1468"/>
      <c r="M1715" s="1468"/>
      <c r="N1715" s="1468"/>
      <c r="O1715" s="1468"/>
      <c r="P1715" s="1470"/>
      <c r="Q1715" s="1470"/>
      <c r="R1715" s="1470"/>
      <c r="S1715" s="1470"/>
      <c r="T1715" s="1470"/>
      <c r="U1715" s="1470"/>
    </row>
    <row r="1716" spans="1:21" ht="15.75" customHeight="1">
      <c r="A1716" s="1466"/>
      <c r="B1716" s="1467"/>
      <c r="C1716" s="1468"/>
      <c r="D1716" s="1468"/>
      <c r="E1716" s="1469"/>
      <c r="F1716" s="1468"/>
      <c r="G1716" s="1468"/>
      <c r="H1716" s="1468"/>
      <c r="I1716" s="1468"/>
      <c r="J1716" s="1468"/>
      <c r="K1716" s="1468"/>
      <c r="L1716" s="1468"/>
      <c r="M1716" s="1468"/>
      <c r="N1716" s="1468"/>
      <c r="O1716" s="1468"/>
      <c r="P1716" s="1470"/>
      <c r="Q1716" s="1470"/>
      <c r="R1716" s="1470"/>
      <c r="S1716" s="1470"/>
      <c r="T1716" s="1470"/>
      <c r="U1716" s="1470"/>
    </row>
    <row r="1717" spans="1:21" ht="48" customHeight="1">
      <c r="A1717" s="1466"/>
      <c r="B1717" s="1467"/>
      <c r="C1717" s="1468"/>
      <c r="D1717" s="1468"/>
      <c r="E1717" s="1469"/>
      <c r="F1717" s="878" t="s">
        <v>792</v>
      </c>
      <c r="G1717" s="877" t="s">
        <v>793</v>
      </c>
      <c r="H1717" s="878" t="s">
        <v>794</v>
      </c>
      <c r="I1717" s="879" t="s">
        <v>795</v>
      </c>
      <c r="J1717" s="880" t="s">
        <v>796</v>
      </c>
      <c r="K1717" s="1468" t="s">
        <v>797</v>
      </c>
      <c r="L1717" s="1468"/>
      <c r="M1717" s="1468"/>
      <c r="N1717" s="1468"/>
      <c r="O1717" s="1468"/>
      <c r="P1717" s="881" t="s">
        <v>798</v>
      </c>
      <c r="Q1717" s="882" t="s">
        <v>799</v>
      </c>
      <c r="R1717" s="1469" t="s">
        <v>800</v>
      </c>
      <c r="S1717" s="1469"/>
      <c r="T1717" s="877" t="s">
        <v>801</v>
      </c>
      <c r="U1717" s="879" t="s">
        <v>104</v>
      </c>
    </row>
    <row r="1718" spans="1:21" ht="19.5" customHeight="1">
      <c r="A1718" s="883"/>
      <c r="B1718" s="884" t="str">
        <f>IF('BIS Doc'!AC807=130, "130 × 130", IF('BIS Doc'!AC807=160, "160 × 160", IF('BIS Doc'!AC807=110, "110 × 110", "Value not 130, 160, or 110")))</f>
        <v>Value not 130, 160, or 110</v>
      </c>
      <c r="C1718" s="885">
        <f>'BIS Doc'!W807</f>
        <v>0</v>
      </c>
      <c r="D1718" s="886"/>
      <c r="E1718" s="887">
        <f>'BIS Doc'!AE807</f>
        <v>0</v>
      </c>
      <c r="F1718" s="888">
        <f ca="1">'BIS Doc'!F807</f>
        <v>0</v>
      </c>
      <c r="G1718" s="888">
        <f ca="1">'BIS Doc'!J807</f>
        <v>0</v>
      </c>
      <c r="H1718" s="888">
        <f ca="1">'BIS Doc'!G807</f>
        <v>0.59189337800730824</v>
      </c>
      <c r="I1718" s="889">
        <f ca="1">'BIS Doc'!H807</f>
        <v>0</v>
      </c>
      <c r="J1718" s="889">
        <f ca="1">'BIS Doc'!I807</f>
        <v>0</v>
      </c>
      <c r="K1718" s="1449" t="str">
        <f t="shared" ref="K1718:K1723" ca="1" si="49">IF(H1718&lt;0.6, "IS 14650 CPS 10748/GR2", "IS 14650 CPS 10748/GR3")</f>
        <v>IS 14650 CPS 10748/GR2</v>
      </c>
      <c r="L1718" s="1449"/>
      <c r="M1718" s="1449"/>
      <c r="N1718" s="1449"/>
      <c r="O1718" s="1449"/>
      <c r="P1718" s="890"/>
      <c r="Q1718" s="891"/>
      <c r="R1718" s="1449"/>
      <c r="S1718" s="1449"/>
      <c r="T1718" s="892"/>
      <c r="U1718" s="1450" t="s">
        <v>802</v>
      </c>
    </row>
    <row r="1719" spans="1:21" ht="19.5" customHeight="1">
      <c r="A1719" s="893"/>
      <c r="B1719" s="894" t="str">
        <f>IF('BIS Doc'!AC809=130, "130 × 130", IF('BIS Doc'!AC809=160, "160 × 160", IF('BIS Doc'!AC809=110, "110 × 110", "Value not 130, 160, or 110")))</f>
        <v>Value not 130, 160, or 110</v>
      </c>
      <c r="C1719" s="895">
        <f>'BIS Doc'!W809</f>
        <v>0</v>
      </c>
      <c r="D1719" s="896"/>
      <c r="E1719" s="897">
        <f>'BIS Doc'!AE809</f>
        <v>0</v>
      </c>
      <c r="F1719" s="898">
        <f ca="1">'BIS Doc'!F809</f>
        <v>0</v>
      </c>
      <c r="G1719" s="899">
        <f ca="1">'BIS Doc'!J809</f>
        <v>0</v>
      </c>
      <c r="H1719" s="900">
        <f ca="1">'BIS Doc'!G809</f>
        <v>0.52961409739491538</v>
      </c>
      <c r="I1719" s="901">
        <f ca="1">'BIS Doc'!H809</f>
        <v>0</v>
      </c>
      <c r="J1719" s="901">
        <f ca="1">'BIS Doc'!I809</f>
        <v>0</v>
      </c>
      <c r="K1719" s="1451" t="str">
        <f t="shared" ca="1" si="49"/>
        <v>IS 14650 CPS 10748/GR2</v>
      </c>
      <c r="L1719" s="1451"/>
      <c r="M1719" s="1451"/>
      <c r="N1719" s="1451"/>
      <c r="O1719" s="1451"/>
      <c r="P1719" s="902"/>
      <c r="Q1719" s="903"/>
      <c r="R1719" s="1451"/>
      <c r="S1719" s="1451"/>
      <c r="T1719" s="904"/>
      <c r="U1719" s="1450"/>
    </row>
    <row r="1720" spans="1:21" ht="19.5" customHeight="1">
      <c r="A1720" s="864"/>
      <c r="B1720" s="894" t="str">
        <f>IF('BIS Doc'!AC811=130, "130 × 130", IF('BIS Doc'!AC811=160, "160 × 160", IF('BIS Doc'!AC811=110, "110 × 110", "Value not 130, 160, or 110")))</f>
        <v>Value not 130, 160, or 110</v>
      </c>
      <c r="C1720" s="895">
        <f>'BIS Doc'!W811</f>
        <v>0</v>
      </c>
      <c r="D1720" s="896" t="s">
        <v>803</v>
      </c>
      <c r="E1720" s="897">
        <f>'BIS Doc'!AE811</f>
        <v>0</v>
      </c>
      <c r="F1720" s="898">
        <f ca="1">'BIS Doc'!F811</f>
        <v>0</v>
      </c>
      <c r="G1720" s="899">
        <f ca="1">'BIS Doc'!J811</f>
        <v>0</v>
      </c>
      <c r="H1720" s="900">
        <f ca="1">'BIS Doc'!G811</f>
        <v>0.58842903249554945</v>
      </c>
      <c r="I1720" s="901">
        <f ca="1">'BIS Doc'!H811</f>
        <v>0</v>
      </c>
      <c r="J1720" s="901">
        <f ca="1">'BIS Doc'!I811</f>
        <v>0</v>
      </c>
      <c r="K1720" s="1451" t="str">
        <f t="shared" ca="1" si="49"/>
        <v>IS 14650 CPS 10748/GR2</v>
      </c>
      <c r="L1720" s="1451"/>
      <c r="M1720" s="1451"/>
      <c r="N1720" s="1451"/>
      <c r="O1720" s="1451"/>
      <c r="P1720" s="902"/>
      <c r="Q1720" s="905"/>
      <c r="R1720" s="1451"/>
      <c r="S1720" s="1451"/>
      <c r="T1720" s="904"/>
      <c r="U1720" s="1450"/>
    </row>
    <row r="1721" spans="1:21" ht="19.5" customHeight="1">
      <c r="A1721" s="864"/>
      <c r="B1721" s="894" t="str">
        <f>IF('BIS Doc'!AC813=130, "130 × 130", IF('BIS Doc'!AC813=160, "160 × 160", IF('BIS Doc'!AC813=110, "110 × 110", "Value not 130, 160, or 110")))</f>
        <v>Value not 130, 160, or 110</v>
      </c>
      <c r="C1721" s="895">
        <f>'BIS Doc'!W813</f>
        <v>0</v>
      </c>
      <c r="D1721" s="896"/>
      <c r="E1721" s="897">
        <f>'BIS Doc'!AE813</f>
        <v>0</v>
      </c>
      <c r="F1721" s="898">
        <f ca="1">'BIS Doc'!F813</f>
        <v>0</v>
      </c>
      <c r="G1721" s="899">
        <f ca="1">'BIS Doc'!J813</f>
        <v>0</v>
      </c>
      <c r="H1721" s="900">
        <f ca="1">'BIS Doc'!G813</f>
        <v>0.58041806770747628</v>
      </c>
      <c r="I1721" s="901">
        <f ca="1">'BIS Doc'!H813</f>
        <v>0</v>
      </c>
      <c r="J1721" s="901">
        <f ca="1">'BIS Doc'!I813</f>
        <v>0</v>
      </c>
      <c r="K1721" s="1451" t="str">
        <f t="shared" ca="1" si="49"/>
        <v>IS 14650 CPS 10748/GR2</v>
      </c>
      <c r="L1721" s="1451"/>
      <c r="M1721" s="1451"/>
      <c r="N1721" s="1451"/>
      <c r="O1721" s="1451"/>
      <c r="P1721" s="902"/>
      <c r="Q1721" s="905"/>
      <c r="R1721" s="1451"/>
      <c r="S1721" s="1451"/>
      <c r="T1721" s="904"/>
      <c r="U1721" s="1450"/>
    </row>
    <row r="1722" spans="1:21" ht="19.5" customHeight="1">
      <c r="A1722" s="864"/>
      <c r="B1722" s="894" t="str">
        <f>IF('BIS Doc'!AC815=130, "130 × 130", IF('BIS Doc'!AC815=160, "160 × 160", IF('BIS Doc'!AC815=110, "110 × 110", "Value not 130, 160, or 110")))</f>
        <v>Value not 130, 160, or 110</v>
      </c>
      <c r="C1722" s="895">
        <f>'BIS Doc'!W815</f>
        <v>0</v>
      </c>
      <c r="D1722" s="896"/>
      <c r="E1722" s="897">
        <f>'BIS Doc'!AE815</f>
        <v>0</v>
      </c>
      <c r="F1722" s="898">
        <f ca="1">'BIS Doc'!F815</f>
        <v>0</v>
      </c>
      <c r="G1722" s="899">
        <f ca="1">'BIS Doc'!J815</f>
        <v>0</v>
      </c>
      <c r="H1722" s="900">
        <f ca="1">'BIS Doc'!G815</f>
        <v>0.58142428275796254</v>
      </c>
      <c r="I1722" s="901">
        <f ca="1">'BIS Doc'!H815</f>
        <v>0</v>
      </c>
      <c r="J1722" s="901">
        <f ca="1">'BIS Doc'!I815</f>
        <v>0</v>
      </c>
      <c r="K1722" s="1451" t="str">
        <f t="shared" ca="1" si="49"/>
        <v>IS 14650 CPS 10748/GR2</v>
      </c>
      <c r="L1722" s="1451"/>
      <c r="M1722" s="1451"/>
      <c r="N1722" s="1451"/>
      <c r="O1722" s="1451"/>
      <c r="P1722" s="902"/>
      <c r="Q1722" s="905"/>
      <c r="R1722" s="1451"/>
      <c r="S1722" s="1451"/>
      <c r="T1722" s="904"/>
      <c r="U1722" s="1450"/>
    </row>
    <row r="1723" spans="1:21" ht="19.5" customHeight="1">
      <c r="A1723" s="864"/>
      <c r="B1723" s="894" t="str">
        <f>IF('BIS Doc'!AC817=130, "130 × 130", IF('BIS Doc'!AC817=160, "160 × 160", IF('BIS Doc'!AC817=110, "110 × 110", "Value not 130, 160, or 110")))</f>
        <v>Value not 130, 160, or 110</v>
      </c>
      <c r="C1723" s="895">
        <f>'BIS Doc'!W817</f>
        <v>0</v>
      </c>
      <c r="D1723" s="896"/>
      <c r="E1723" s="897">
        <f>'BIS Doc'!AE817</f>
        <v>0</v>
      </c>
      <c r="F1723" s="898">
        <f ca="1">'BIS Doc'!F817</f>
        <v>0</v>
      </c>
      <c r="G1723" s="899">
        <f ca="1">'BIS Doc'!J817</f>
        <v>0</v>
      </c>
      <c r="H1723" s="900">
        <f ca="1">'BIS Doc'!G817</f>
        <v>0.50462112476677201</v>
      </c>
      <c r="I1723" s="901">
        <f ca="1">'BIS Doc'!H817</f>
        <v>0</v>
      </c>
      <c r="J1723" s="901">
        <f ca="1">'BIS Doc'!I817</f>
        <v>0</v>
      </c>
      <c r="K1723" s="1451" t="str">
        <f t="shared" ca="1" si="49"/>
        <v>IS 14650 CPS 10748/GR2</v>
      </c>
      <c r="L1723" s="1451"/>
      <c r="M1723" s="1451"/>
      <c r="N1723" s="1451"/>
      <c r="O1723" s="1451"/>
      <c r="P1723" s="902"/>
      <c r="Q1723" s="903"/>
      <c r="R1723" s="1451"/>
      <c r="S1723" s="1451"/>
      <c r="T1723" s="904"/>
      <c r="U1723" s="1450"/>
    </row>
    <row r="1724" spans="1:21" ht="19.5" customHeight="1">
      <c r="A1724" s="864"/>
      <c r="B1724" s="904"/>
      <c r="C1724" s="895"/>
      <c r="D1724" s="896"/>
      <c r="E1724" s="897"/>
      <c r="F1724" s="906"/>
      <c r="G1724" s="907"/>
      <c r="H1724" s="908"/>
      <c r="I1724" s="909"/>
      <c r="J1724" s="909"/>
      <c r="K1724" s="1451"/>
      <c r="L1724" s="1451"/>
      <c r="M1724" s="1451"/>
      <c r="N1724" s="1451"/>
      <c r="O1724" s="1451"/>
      <c r="P1724" s="902"/>
      <c r="Q1724" s="903"/>
      <c r="R1724" s="1451"/>
      <c r="S1724" s="1451"/>
      <c r="T1724" s="904"/>
      <c r="U1724" s="1450"/>
    </row>
    <row r="1725" spans="1:21" ht="19.5" customHeight="1">
      <c r="A1725" s="864"/>
      <c r="B1725" s="904"/>
      <c r="C1725" s="895"/>
      <c r="D1725" s="896"/>
      <c r="E1725" s="897"/>
      <c r="F1725" s="906"/>
      <c r="G1725" s="907"/>
      <c r="H1725" s="908"/>
      <c r="I1725" s="909"/>
      <c r="J1725" s="909"/>
      <c r="K1725" s="1451"/>
      <c r="L1725" s="1451"/>
      <c r="M1725" s="1451"/>
      <c r="N1725" s="1451"/>
      <c r="O1725" s="1451"/>
      <c r="P1725" s="902"/>
      <c r="Q1725" s="905"/>
      <c r="R1725" s="1451"/>
      <c r="S1725" s="1451"/>
      <c r="T1725" s="904"/>
      <c r="U1725" s="1450"/>
    </row>
    <row r="1726" spans="1:21" ht="19.5" customHeight="1">
      <c r="A1726" s="864"/>
      <c r="B1726" s="910"/>
      <c r="C1726" s="911"/>
      <c r="D1726" s="896"/>
      <c r="E1726" s="897"/>
      <c r="F1726" s="906"/>
      <c r="G1726" s="907"/>
      <c r="H1726" s="908"/>
      <c r="I1726" s="909"/>
      <c r="J1726" s="909"/>
      <c r="K1726" s="1451"/>
      <c r="L1726" s="1451"/>
      <c r="M1726" s="1451"/>
      <c r="N1726" s="1451"/>
      <c r="O1726" s="1451"/>
      <c r="P1726" s="912"/>
      <c r="Q1726" s="913"/>
      <c r="R1726" s="1452"/>
      <c r="S1726" s="1452"/>
      <c r="T1726" s="910"/>
      <c r="U1726" s="1450"/>
    </row>
    <row r="1727" spans="1:21" ht="19.5" customHeight="1">
      <c r="A1727" s="914"/>
      <c r="B1727" s="915"/>
      <c r="C1727" s="916"/>
      <c r="D1727" s="917"/>
      <c r="E1727" s="918">
        <f>SUM(E1718:E1723)</f>
        <v>0</v>
      </c>
      <c r="F1727" s="919"/>
      <c r="G1727" s="920"/>
      <c r="H1727" s="921"/>
      <c r="I1727" s="922"/>
      <c r="J1727" s="922"/>
      <c r="K1727" s="1453"/>
      <c r="L1727" s="1453"/>
      <c r="M1727" s="1453"/>
      <c r="N1727" s="1453"/>
      <c r="O1727" s="1453"/>
      <c r="P1727" s="923"/>
      <c r="Q1727" s="924"/>
      <c r="R1727" s="1454"/>
      <c r="S1727" s="1454"/>
      <c r="T1727" s="915"/>
      <c r="U1727" s="1450"/>
    </row>
    <row r="1728" spans="1:21" ht="15.75" customHeight="1">
      <c r="A1728" s="864"/>
      <c r="B1728" s="773"/>
      <c r="C1728" s="773"/>
      <c r="D1728" s="925"/>
      <c r="E1728" s="926"/>
      <c r="F1728" s="927"/>
      <c r="G1728" s="928"/>
      <c r="H1728" s="259"/>
      <c r="I1728" s="259"/>
      <c r="J1728" s="928"/>
      <c r="K1728" s="929"/>
      <c r="L1728" s="929"/>
      <c r="M1728" s="929"/>
      <c r="N1728" s="929"/>
      <c r="O1728" s="928"/>
      <c r="P1728" s="930"/>
      <c r="Q1728" s="931"/>
      <c r="R1728" s="931"/>
      <c r="U1728" s="932"/>
    </row>
    <row r="1729" spans="1:21" ht="18.75" customHeight="1">
      <c r="A1729" s="864"/>
      <c r="B1729" s="773"/>
      <c r="C1729" s="773"/>
      <c r="D1729" s="773"/>
      <c r="E1729" s="773"/>
      <c r="F1729" s="773"/>
      <c r="G1729" s="773"/>
      <c r="H1729" s="773"/>
      <c r="I1729" s="773"/>
      <c r="J1729" s="773"/>
      <c r="K1729" s="773"/>
      <c r="P1729" s="1446" t="s">
        <v>804</v>
      </c>
      <c r="Q1729" s="1446"/>
      <c r="R1729" s="1446"/>
      <c r="S1729" s="1446"/>
      <c r="T1729" s="1446"/>
      <c r="U1729" s="1446"/>
    </row>
    <row r="1730" spans="1:21" ht="18.75" customHeight="1">
      <c r="A1730" s="1447" t="s">
        <v>805</v>
      </c>
      <c r="B1730" s="1447"/>
      <c r="C1730" s="933"/>
      <c r="D1730" s="933"/>
      <c r="E1730" s="933"/>
      <c r="F1730" s="933"/>
      <c r="P1730" s="855"/>
      <c r="Q1730" s="855"/>
      <c r="R1730" s="855"/>
      <c r="S1730" s="855"/>
      <c r="T1730" s="855"/>
      <c r="U1730" s="934"/>
    </row>
    <row r="1731" spans="1:21" ht="18.75" customHeight="1">
      <c r="A1731" s="854"/>
      <c r="B1731" s="855"/>
      <c r="P1731" s="855"/>
      <c r="Q1731" s="855"/>
      <c r="R1731" s="855"/>
      <c r="S1731" s="855"/>
      <c r="T1731" s="855"/>
      <c r="U1731" s="934"/>
    </row>
    <row r="1732" spans="1:21" ht="18.75" customHeight="1">
      <c r="A1732" s="854" t="s">
        <v>806</v>
      </c>
      <c r="B1732" s="855"/>
      <c r="C1732" s="867"/>
      <c r="D1732" s="941"/>
      <c r="E1732" s="933"/>
      <c r="F1732" s="933"/>
      <c r="P1732" s="855"/>
      <c r="Q1732" s="855"/>
      <c r="R1732" s="855"/>
      <c r="S1732" s="855"/>
      <c r="T1732" s="855"/>
      <c r="U1732" s="934"/>
    </row>
    <row r="1733" spans="1:21" ht="18.75" customHeight="1">
      <c r="A1733" s="854"/>
      <c r="B1733" s="855"/>
      <c r="C1733" s="937"/>
      <c r="P1733" s="855"/>
      <c r="Q1733" s="855"/>
      <c r="R1733" s="855"/>
      <c r="S1733" s="855"/>
      <c r="T1733" s="855"/>
      <c r="U1733" s="934"/>
    </row>
    <row r="1734" spans="1:21" ht="19.5" customHeight="1">
      <c r="A1734" s="938"/>
      <c r="B1734" s="939"/>
      <c r="C1734" s="940"/>
      <c r="D1734" s="453"/>
      <c r="E1734" s="453"/>
      <c r="F1734" s="453"/>
      <c r="G1734" s="453"/>
      <c r="H1734" s="453"/>
      <c r="I1734" s="453"/>
      <c r="J1734" s="453"/>
      <c r="K1734" s="453"/>
      <c r="L1734" s="453"/>
      <c r="M1734" s="453"/>
      <c r="N1734" s="453"/>
      <c r="O1734" s="453"/>
      <c r="P1734" s="1448" t="s">
        <v>807</v>
      </c>
      <c r="Q1734" s="1448"/>
      <c r="R1734" s="1448"/>
      <c r="S1734" s="1448"/>
      <c r="T1734" s="1448"/>
      <c r="U1734" s="1448"/>
    </row>
    <row r="1735" spans="1:21" ht="45.75" customHeight="1">
      <c r="A1735" s="1455"/>
      <c r="B1735" s="1455"/>
      <c r="C1735" s="1455"/>
      <c r="D1735" s="847"/>
      <c r="E1735" s="1456" t="s">
        <v>774</v>
      </c>
      <c r="F1735" s="1456"/>
      <c r="G1735" s="1456"/>
      <c r="H1735" s="1456"/>
      <c r="I1735" s="1456"/>
      <c r="J1735" s="1456"/>
      <c r="K1735" s="1456"/>
      <c r="L1735" s="1456"/>
      <c r="M1735" s="1456"/>
      <c r="N1735" s="1456"/>
      <c r="O1735" s="1456"/>
      <c r="P1735" s="1456"/>
      <c r="Q1735" s="1456"/>
      <c r="R1735" s="1456"/>
      <c r="S1735" s="848"/>
      <c r="T1735" s="1457" t="s">
        <v>775</v>
      </c>
      <c r="U1735" s="1457"/>
    </row>
    <row r="1736" spans="1:21" ht="18.75" customHeight="1">
      <c r="A1736" s="849"/>
      <c r="E1736" s="1458" t="s">
        <v>776</v>
      </c>
      <c r="F1736" s="1458"/>
      <c r="G1736" s="1458"/>
      <c r="H1736" s="1458"/>
      <c r="I1736" s="1458"/>
      <c r="J1736" s="1458"/>
      <c r="K1736" s="1458"/>
      <c r="L1736" s="1458"/>
      <c r="M1736" s="1458"/>
      <c r="N1736" s="1458"/>
      <c r="O1736" s="1458"/>
      <c r="P1736" s="1458"/>
      <c r="Q1736" s="1458"/>
      <c r="R1736" s="1458"/>
      <c r="U1736" s="456"/>
    </row>
    <row r="1737" spans="1:21" ht="18.75" customHeight="1">
      <c r="A1737" s="850"/>
      <c r="F1737" s="587"/>
      <c r="G1737" s="587"/>
      <c r="H1737" s="587"/>
      <c r="I1737" s="587"/>
      <c r="J1737" s="587"/>
      <c r="K1737" s="587"/>
      <c r="L1737" s="587"/>
      <c r="M1737" s="851"/>
      <c r="N1737" s="852"/>
      <c r="O1737" s="851"/>
      <c r="P1737" s="1459" t="s">
        <v>777</v>
      </c>
      <c r="Q1737" s="1459"/>
      <c r="R1737" s="1459"/>
      <c r="S1737" s="1459"/>
      <c r="T1737" s="1459"/>
      <c r="U1737" s="1459"/>
    </row>
    <row r="1738" spans="1:21" ht="15" customHeight="1">
      <c r="A1738" s="849"/>
      <c r="E1738" s="1287" t="s">
        <v>778</v>
      </c>
      <c r="F1738" s="1287"/>
      <c r="G1738" s="1287"/>
      <c r="H1738" s="1287"/>
      <c r="I1738" s="1287"/>
      <c r="J1738" s="1287"/>
      <c r="K1738" s="1287"/>
      <c r="L1738" s="1287"/>
      <c r="M1738" s="1287"/>
      <c r="N1738" s="1287"/>
      <c r="O1738" s="1287"/>
      <c r="P1738" s="1287"/>
      <c r="Q1738" s="1287"/>
      <c r="R1738" s="1287"/>
      <c r="U1738" s="456"/>
    </row>
    <row r="1739" spans="1:21" ht="18.75" customHeight="1">
      <c r="A1739" s="849"/>
      <c r="E1739" s="1286" t="s">
        <v>779</v>
      </c>
      <c r="F1739" s="1286"/>
      <c r="G1739" s="1286"/>
      <c r="H1739" s="1286"/>
      <c r="I1739" s="1286"/>
      <c r="J1739" s="1286"/>
      <c r="K1739" s="1286"/>
      <c r="L1739" s="1286"/>
      <c r="M1739" s="1286"/>
      <c r="N1739" s="1286"/>
      <c r="O1739" s="1286"/>
      <c r="P1739" s="1286"/>
      <c r="Q1739" s="1286"/>
      <c r="R1739" s="1286"/>
      <c r="U1739" s="853"/>
    </row>
    <row r="1740" spans="1:21" ht="23.25" customHeight="1">
      <c r="A1740" s="854" t="s">
        <v>780</v>
      </c>
      <c r="B1740" s="855"/>
      <c r="C1740" s="855"/>
      <c r="D1740" s="856" t="s">
        <v>875</v>
      </c>
      <c r="E1740" s="857"/>
      <c r="F1740" s="858"/>
      <c r="G1740" s="859"/>
      <c r="H1740" s="859"/>
      <c r="I1740" s="859"/>
      <c r="J1740" s="859"/>
      <c r="K1740" s="859"/>
      <c r="L1740" s="860"/>
      <c r="M1740" s="1460"/>
      <c r="N1740" s="1460"/>
      <c r="O1740" s="1460"/>
      <c r="P1740" s="1461" t="s">
        <v>781</v>
      </c>
      <c r="Q1740" s="1461"/>
      <c r="R1740" s="1461"/>
      <c r="S1740" s="855"/>
      <c r="T1740" s="861">
        <v>46321</v>
      </c>
      <c r="U1740" s="456"/>
    </row>
    <row r="1741" spans="1:21" ht="23.25" customHeight="1">
      <c r="A1741" s="854"/>
      <c r="B1741" s="862"/>
      <c r="C1741" s="862"/>
      <c r="D1741" s="862"/>
      <c r="E1741" s="163"/>
      <c r="F1741" s="863"/>
      <c r="G1741" s="863"/>
      <c r="H1741" s="863"/>
      <c r="I1741" s="863"/>
      <c r="J1741" s="863"/>
      <c r="K1741" s="863"/>
      <c r="U1741" s="456"/>
    </row>
    <row r="1742" spans="1:21" ht="21" customHeight="1">
      <c r="A1742" s="864" t="s">
        <v>782</v>
      </c>
      <c r="B1742" s="865"/>
      <c r="C1742" s="866"/>
      <c r="D1742" s="867"/>
      <c r="E1742" s="868"/>
      <c r="F1742" s="869"/>
      <c r="G1742" s="869"/>
      <c r="H1742" s="869"/>
      <c r="I1742" s="870"/>
      <c r="J1742" s="870"/>
      <c r="P1742" s="1462"/>
      <c r="Q1742" s="1462"/>
      <c r="R1742" s="1462"/>
      <c r="S1742" s="1462"/>
      <c r="T1742" s="871"/>
      <c r="U1742" s="456"/>
    </row>
    <row r="1743" spans="1:21" ht="21" customHeight="1">
      <c r="A1743" s="872"/>
      <c r="B1743" s="873"/>
      <c r="C1743" s="869"/>
      <c r="D1743" s="869"/>
      <c r="E1743" s="869"/>
      <c r="F1743" s="869"/>
      <c r="G1743" s="869"/>
      <c r="H1743" s="869"/>
      <c r="I1743" s="870"/>
      <c r="J1743" s="870"/>
      <c r="U1743" s="456"/>
    </row>
    <row r="1744" spans="1:21" ht="15" customHeight="1">
      <c r="A1744" s="1463" t="s">
        <v>783</v>
      </c>
      <c r="B1744" s="1463"/>
      <c r="C1744" s="1463"/>
      <c r="D1744" s="1463"/>
      <c r="E1744" s="1463"/>
      <c r="F1744" s="1463"/>
      <c r="G1744" s="1463"/>
      <c r="H1744" s="1463"/>
      <c r="I1744" s="1463"/>
      <c r="J1744" s="1463"/>
      <c r="K1744" s="1463"/>
      <c r="L1744" s="1463"/>
      <c r="M1744" s="1463"/>
      <c r="N1744" s="1463"/>
      <c r="O1744" s="1463"/>
      <c r="P1744" s="1463"/>
      <c r="Q1744" s="1463"/>
      <c r="R1744" s="1463"/>
      <c r="S1744" s="1463"/>
      <c r="T1744" s="1463"/>
      <c r="U1744" s="1463"/>
    </row>
    <row r="1745" spans="1:21" ht="15" customHeight="1">
      <c r="A1745" s="1463"/>
      <c r="B1745" s="1463"/>
      <c r="C1745" s="1463"/>
      <c r="D1745" s="1463"/>
      <c r="E1745" s="1463"/>
      <c r="F1745" s="1463"/>
      <c r="G1745" s="1463"/>
      <c r="H1745" s="1463"/>
      <c r="I1745" s="1463"/>
      <c r="J1745" s="1463"/>
      <c r="K1745" s="1463"/>
      <c r="L1745" s="1463"/>
      <c r="M1745" s="1463"/>
      <c r="N1745" s="1463"/>
      <c r="O1745" s="1463"/>
      <c r="P1745" s="1463"/>
      <c r="Q1745" s="1463"/>
      <c r="R1745" s="1463"/>
      <c r="S1745" s="1463"/>
      <c r="T1745" s="1463"/>
      <c r="U1745" s="1463"/>
    </row>
    <row r="1746" spans="1:21" ht="18" customHeight="1">
      <c r="A1746" s="1464" t="s">
        <v>784</v>
      </c>
      <c r="B1746" s="1464"/>
      <c r="C1746" s="1464"/>
      <c r="D1746" s="1464"/>
      <c r="E1746" s="1464"/>
      <c r="F1746" s="1464"/>
      <c r="G1746" s="1464"/>
      <c r="H1746" s="1464"/>
      <c r="I1746" s="1464"/>
      <c r="J1746" s="1464"/>
      <c r="K1746" s="1464"/>
      <c r="L1746" s="1464"/>
      <c r="M1746" s="1464"/>
      <c r="N1746" s="1464"/>
      <c r="O1746" s="1464"/>
      <c r="P1746" s="1464"/>
      <c r="Q1746" s="1464"/>
      <c r="R1746" s="1464"/>
      <c r="S1746" s="1464"/>
      <c r="T1746" s="1464"/>
      <c r="U1746" s="1464"/>
    </row>
    <row r="1747" spans="1:21" ht="23.25" customHeight="1">
      <c r="A1747" s="1465" t="s">
        <v>785</v>
      </c>
      <c r="B1747" s="1465"/>
      <c r="C1747" s="1465"/>
      <c r="D1747" s="1465"/>
      <c r="E1747" s="1465"/>
      <c r="F1747" s="1465"/>
      <c r="G1747" s="1465"/>
      <c r="H1747" s="1465"/>
      <c r="I1747" s="1465"/>
      <c r="J1747" s="1465"/>
      <c r="K1747" s="1465"/>
      <c r="L1747" s="1465"/>
      <c r="M1747" s="1465"/>
      <c r="N1747" s="1465"/>
      <c r="O1747" s="1465"/>
      <c r="P1747" s="1465"/>
      <c r="Q1747" s="1465"/>
      <c r="R1747" s="1465"/>
      <c r="S1747" s="1465"/>
      <c r="T1747" s="1465"/>
      <c r="U1747" s="1465"/>
    </row>
    <row r="1748" spans="1:21" ht="21.75" customHeight="1">
      <c r="A1748" s="874"/>
      <c r="B1748" s="875"/>
      <c r="C1748" s="875"/>
      <c r="D1748" s="875"/>
      <c r="E1748" s="875"/>
      <c r="F1748" s="875"/>
      <c r="G1748" s="875"/>
      <c r="H1748" s="875"/>
      <c r="I1748" s="875"/>
      <c r="J1748" s="875"/>
      <c r="K1748" s="875"/>
      <c r="L1748" s="875"/>
      <c r="M1748" s="875"/>
      <c r="N1748" s="875"/>
      <c r="O1748" s="875"/>
      <c r="P1748" s="875"/>
      <c r="Q1748" s="875"/>
      <c r="R1748" s="875"/>
      <c r="S1748" s="875"/>
      <c r="T1748" s="875"/>
      <c r="U1748" s="876"/>
    </row>
    <row r="1749" spans="1:21" ht="15" customHeight="1">
      <c r="A1749" s="1466" t="s">
        <v>786</v>
      </c>
      <c r="B1749" s="1467" t="s">
        <v>787</v>
      </c>
      <c r="C1749" s="1468" t="s">
        <v>788</v>
      </c>
      <c r="D1749" s="1468" t="s">
        <v>789</v>
      </c>
      <c r="E1749" s="1469" t="s">
        <v>790</v>
      </c>
      <c r="F1749" s="1468" t="s">
        <v>791</v>
      </c>
      <c r="G1749" s="1468"/>
      <c r="H1749" s="1468"/>
      <c r="I1749" s="1468"/>
      <c r="J1749" s="1468"/>
      <c r="K1749" s="1468"/>
      <c r="L1749" s="1468"/>
      <c r="M1749" s="1468"/>
      <c r="N1749" s="1468"/>
      <c r="O1749" s="1468"/>
      <c r="P1749" s="1470"/>
      <c r="Q1749" s="1470"/>
      <c r="R1749" s="1470"/>
      <c r="S1749" s="1470"/>
      <c r="T1749" s="1470"/>
      <c r="U1749" s="1470"/>
    </row>
    <row r="1750" spans="1:21" ht="15.75" customHeight="1">
      <c r="A1750" s="1466"/>
      <c r="B1750" s="1467"/>
      <c r="C1750" s="1468"/>
      <c r="D1750" s="1468"/>
      <c r="E1750" s="1469"/>
      <c r="F1750" s="1468"/>
      <c r="G1750" s="1468"/>
      <c r="H1750" s="1468"/>
      <c r="I1750" s="1468"/>
      <c r="J1750" s="1468"/>
      <c r="K1750" s="1468"/>
      <c r="L1750" s="1468"/>
      <c r="M1750" s="1468"/>
      <c r="N1750" s="1468"/>
      <c r="O1750" s="1468"/>
      <c r="P1750" s="1470"/>
      <c r="Q1750" s="1470"/>
      <c r="R1750" s="1470"/>
      <c r="S1750" s="1470"/>
      <c r="T1750" s="1470"/>
      <c r="U1750" s="1470"/>
    </row>
    <row r="1751" spans="1:21" ht="48" customHeight="1">
      <c r="A1751" s="1466"/>
      <c r="B1751" s="1467"/>
      <c r="C1751" s="1468"/>
      <c r="D1751" s="1468"/>
      <c r="E1751" s="1469"/>
      <c r="F1751" s="878" t="s">
        <v>792</v>
      </c>
      <c r="G1751" s="877" t="s">
        <v>793</v>
      </c>
      <c r="H1751" s="878" t="s">
        <v>794</v>
      </c>
      <c r="I1751" s="879" t="s">
        <v>795</v>
      </c>
      <c r="J1751" s="880" t="s">
        <v>796</v>
      </c>
      <c r="K1751" s="1468" t="s">
        <v>797</v>
      </c>
      <c r="L1751" s="1468"/>
      <c r="M1751" s="1468"/>
      <c r="N1751" s="1468"/>
      <c r="O1751" s="1468"/>
      <c r="P1751" s="881" t="s">
        <v>798</v>
      </c>
      <c r="Q1751" s="882" t="s">
        <v>799</v>
      </c>
      <c r="R1751" s="1469" t="s">
        <v>800</v>
      </c>
      <c r="S1751" s="1469"/>
      <c r="T1751" s="877" t="s">
        <v>801</v>
      </c>
      <c r="U1751" s="879" t="s">
        <v>104</v>
      </c>
    </row>
    <row r="1752" spans="1:21" ht="19.5" customHeight="1">
      <c r="A1752" s="883"/>
      <c r="B1752" s="884" t="str">
        <f>IF('BIS Doc'!AC819=130, "130 × 130", IF('BIS Doc'!AC819=160, "160 × 160", IF('BIS Doc'!AC819=110, "110 × 110", "Value not 130, 160, or 110")))</f>
        <v>Value not 130, 160, or 110</v>
      </c>
      <c r="C1752" s="885">
        <f>'BIS Doc'!W819</f>
        <v>0</v>
      </c>
      <c r="D1752" s="886"/>
      <c r="E1752" s="887">
        <f>'BIS Doc'!AE819</f>
        <v>0</v>
      </c>
      <c r="F1752" s="888">
        <f ca="1">'BIS Doc'!F819</f>
        <v>0</v>
      </c>
      <c r="G1752" s="888">
        <f ca="1">'BIS Doc'!J819</f>
        <v>0</v>
      </c>
      <c r="H1752" s="888">
        <f ca="1">'BIS Doc'!G819</f>
        <v>0.58842985350499355</v>
      </c>
      <c r="I1752" s="889">
        <f ca="1">'BIS Doc'!H819</f>
        <v>0</v>
      </c>
      <c r="J1752" s="889">
        <f ca="1">'BIS Doc'!I819</f>
        <v>0</v>
      </c>
      <c r="K1752" s="1449" t="str">
        <f t="shared" ref="K1752:K1757" ca="1" si="50">IF(H1752&lt;0.6, "IS 14650 CPS 10748/GR2", "IS 14650 CPS 10748/GR3")</f>
        <v>IS 14650 CPS 10748/GR2</v>
      </c>
      <c r="L1752" s="1449"/>
      <c r="M1752" s="1449"/>
      <c r="N1752" s="1449"/>
      <c r="O1752" s="1449"/>
      <c r="P1752" s="890"/>
      <c r="Q1752" s="891"/>
      <c r="R1752" s="1449"/>
      <c r="S1752" s="1449"/>
      <c r="T1752" s="892"/>
      <c r="U1752" s="1450" t="s">
        <v>802</v>
      </c>
    </row>
    <row r="1753" spans="1:21" ht="19.5" customHeight="1">
      <c r="A1753" s="893"/>
      <c r="B1753" s="894" t="str">
        <f>IF('BIS Doc'!AC821=130, "130 × 130", IF('BIS Doc'!AC821=160, "160 × 160", IF('BIS Doc'!AC821=110, "110 × 110", "Value not 130, 160, or 110")))</f>
        <v>Value not 130, 160, or 110</v>
      </c>
      <c r="C1753" s="895">
        <f>'BIS Doc'!W821</f>
        <v>0</v>
      </c>
      <c r="D1753" s="896"/>
      <c r="E1753" s="897">
        <f>'BIS Doc'!AE821</f>
        <v>0</v>
      </c>
      <c r="F1753" s="898">
        <f ca="1">'BIS Doc'!F821</f>
        <v>0</v>
      </c>
      <c r="G1753" s="899">
        <f ca="1">'BIS Doc'!J821</f>
        <v>0</v>
      </c>
      <c r="H1753" s="900">
        <f ca="1">'BIS Doc'!G821</f>
        <v>0.58966816062953598</v>
      </c>
      <c r="I1753" s="901">
        <f ca="1">'BIS Doc'!H821</f>
        <v>0</v>
      </c>
      <c r="J1753" s="901">
        <f ca="1">'BIS Doc'!I821</f>
        <v>0</v>
      </c>
      <c r="K1753" s="1451" t="str">
        <f t="shared" ca="1" si="50"/>
        <v>IS 14650 CPS 10748/GR2</v>
      </c>
      <c r="L1753" s="1451"/>
      <c r="M1753" s="1451"/>
      <c r="N1753" s="1451"/>
      <c r="O1753" s="1451"/>
      <c r="P1753" s="902"/>
      <c r="Q1753" s="903"/>
      <c r="R1753" s="1451"/>
      <c r="S1753" s="1451"/>
      <c r="T1753" s="904"/>
      <c r="U1753" s="1450"/>
    </row>
    <row r="1754" spans="1:21" ht="19.5" customHeight="1">
      <c r="A1754" s="864"/>
      <c r="B1754" s="894" t="str">
        <f>IF('BIS Doc'!AC823=130, "130 × 130", IF('BIS Doc'!AC823=160, "160 × 160", IF('BIS Doc'!AC823=110, "110 × 110", "Value not 130, 160, or 110")))</f>
        <v>Value not 130, 160, or 110</v>
      </c>
      <c r="C1754" s="895">
        <f>'BIS Doc'!W823</f>
        <v>0</v>
      </c>
      <c r="D1754" s="896" t="s">
        <v>803</v>
      </c>
      <c r="E1754" s="897">
        <f>'BIS Doc'!AE823</f>
        <v>0</v>
      </c>
      <c r="F1754" s="898">
        <f ca="1">'BIS Doc'!F823</f>
        <v>0</v>
      </c>
      <c r="G1754" s="899">
        <f ca="1">'BIS Doc'!J823</f>
        <v>0</v>
      </c>
      <c r="H1754" s="900">
        <f ca="1">'BIS Doc'!G823</f>
        <v>0.58860902897708556</v>
      </c>
      <c r="I1754" s="901">
        <f ca="1">'BIS Doc'!H823</f>
        <v>0</v>
      </c>
      <c r="J1754" s="901">
        <f ca="1">'BIS Doc'!I823</f>
        <v>0</v>
      </c>
      <c r="K1754" s="1451" t="str">
        <f t="shared" ca="1" si="50"/>
        <v>IS 14650 CPS 10748/GR2</v>
      </c>
      <c r="L1754" s="1451"/>
      <c r="M1754" s="1451"/>
      <c r="N1754" s="1451"/>
      <c r="O1754" s="1451"/>
      <c r="P1754" s="902"/>
      <c r="Q1754" s="905"/>
      <c r="R1754" s="1451"/>
      <c r="S1754" s="1451"/>
      <c r="T1754" s="904"/>
      <c r="U1754" s="1450"/>
    </row>
    <row r="1755" spans="1:21" ht="19.5" customHeight="1">
      <c r="A1755" s="864"/>
      <c r="B1755" s="894" t="str">
        <f>IF('BIS Doc'!AC825=130, "130 × 130", IF('BIS Doc'!AC825=160, "160 × 160", IF('BIS Doc'!AC825=110, "110 × 110", "Value not 130, 160, or 110")))</f>
        <v>Value not 130, 160, or 110</v>
      </c>
      <c r="C1755" s="895">
        <f>'BIS Doc'!W825</f>
        <v>0</v>
      </c>
      <c r="D1755" s="896"/>
      <c r="E1755" s="897">
        <f>'BIS Doc'!AE825</f>
        <v>0</v>
      </c>
      <c r="F1755" s="898">
        <f ca="1">'BIS Doc'!F825</f>
        <v>0</v>
      </c>
      <c r="G1755" s="899">
        <f ca="1">'BIS Doc'!J825</f>
        <v>0</v>
      </c>
      <c r="H1755" s="900">
        <f ca="1">'BIS Doc'!G825</f>
        <v>0.54358308990366644</v>
      </c>
      <c r="I1755" s="901">
        <f ca="1">'BIS Doc'!H825</f>
        <v>0</v>
      </c>
      <c r="J1755" s="901">
        <f ca="1">'BIS Doc'!I825</f>
        <v>0</v>
      </c>
      <c r="K1755" s="1451" t="str">
        <f t="shared" ca="1" si="50"/>
        <v>IS 14650 CPS 10748/GR2</v>
      </c>
      <c r="L1755" s="1451"/>
      <c r="M1755" s="1451"/>
      <c r="N1755" s="1451"/>
      <c r="O1755" s="1451"/>
      <c r="P1755" s="902"/>
      <c r="Q1755" s="905"/>
      <c r="R1755" s="1451"/>
      <c r="S1755" s="1451"/>
      <c r="T1755" s="904"/>
      <c r="U1755" s="1450"/>
    </row>
    <row r="1756" spans="1:21" ht="19.5" customHeight="1">
      <c r="A1756" s="864"/>
      <c r="B1756" s="894" t="str">
        <f>IF('BIS Doc'!AC827=130, "130 × 130", IF('BIS Doc'!AC827=160, "160 × 160", IF('BIS Doc'!AC827=110, "110 × 110", "Value not 130, 160, or 110")))</f>
        <v>Value not 130, 160, or 110</v>
      </c>
      <c r="C1756" s="895">
        <f>'BIS Doc'!W827</f>
        <v>0</v>
      </c>
      <c r="D1756" s="896"/>
      <c r="E1756" s="897">
        <f>'BIS Doc'!AE827</f>
        <v>0</v>
      </c>
      <c r="F1756" s="898">
        <f ca="1">'BIS Doc'!F827</f>
        <v>0</v>
      </c>
      <c r="G1756" s="899">
        <f ca="1">'BIS Doc'!J827</f>
        <v>0</v>
      </c>
      <c r="H1756" s="900">
        <f ca="1">'BIS Doc'!G827</f>
        <v>0.52903448895907135</v>
      </c>
      <c r="I1756" s="901">
        <f ca="1">'BIS Doc'!H827</f>
        <v>0</v>
      </c>
      <c r="J1756" s="901">
        <f ca="1">'BIS Doc'!I827</f>
        <v>0</v>
      </c>
      <c r="K1756" s="1451" t="str">
        <f t="shared" ca="1" si="50"/>
        <v>IS 14650 CPS 10748/GR2</v>
      </c>
      <c r="L1756" s="1451"/>
      <c r="M1756" s="1451"/>
      <c r="N1756" s="1451"/>
      <c r="O1756" s="1451"/>
      <c r="P1756" s="902"/>
      <c r="Q1756" s="905"/>
      <c r="R1756" s="1451"/>
      <c r="S1756" s="1451"/>
      <c r="T1756" s="904"/>
      <c r="U1756" s="1450"/>
    </row>
    <row r="1757" spans="1:21" ht="19.5" customHeight="1">
      <c r="A1757" s="864"/>
      <c r="B1757" s="894" t="str">
        <f>IF('BIS Doc'!AC829=130, "130 × 130", IF('BIS Doc'!AC829=160, "160 × 160", IF('BIS Doc'!AC829=110, "110 × 110", "Value not 130, 160, or 110")))</f>
        <v>Value not 130, 160, or 110</v>
      </c>
      <c r="C1757" s="895">
        <f>'BIS Doc'!W829</f>
        <v>0</v>
      </c>
      <c r="D1757" s="896"/>
      <c r="E1757" s="897">
        <f>'BIS Doc'!AE829</f>
        <v>0</v>
      </c>
      <c r="F1757" s="898">
        <f ca="1">'BIS Doc'!F829</f>
        <v>0</v>
      </c>
      <c r="G1757" s="899">
        <f ca="1">'BIS Doc'!J829</f>
        <v>0</v>
      </c>
      <c r="H1757" s="900">
        <f ca="1">'BIS Doc'!G829</f>
        <v>0.56499340917512686</v>
      </c>
      <c r="I1757" s="901">
        <f ca="1">'BIS Doc'!H829</f>
        <v>0</v>
      </c>
      <c r="J1757" s="901">
        <f ca="1">'BIS Doc'!I829</f>
        <v>0</v>
      </c>
      <c r="K1757" s="1451" t="str">
        <f t="shared" ca="1" si="50"/>
        <v>IS 14650 CPS 10748/GR2</v>
      </c>
      <c r="L1757" s="1451"/>
      <c r="M1757" s="1451"/>
      <c r="N1757" s="1451"/>
      <c r="O1757" s="1451"/>
      <c r="P1757" s="902"/>
      <c r="Q1757" s="903"/>
      <c r="R1757" s="1451"/>
      <c r="S1757" s="1451"/>
      <c r="T1757" s="904"/>
      <c r="U1757" s="1450"/>
    </row>
    <row r="1758" spans="1:21" ht="19.5" customHeight="1">
      <c r="A1758" s="864"/>
      <c r="B1758" s="904"/>
      <c r="C1758" s="895"/>
      <c r="D1758" s="896"/>
      <c r="E1758" s="897"/>
      <c r="F1758" s="906"/>
      <c r="G1758" s="907"/>
      <c r="H1758" s="908"/>
      <c r="I1758" s="909"/>
      <c r="J1758" s="909"/>
      <c r="K1758" s="1451"/>
      <c r="L1758" s="1451"/>
      <c r="M1758" s="1451"/>
      <c r="N1758" s="1451"/>
      <c r="O1758" s="1451"/>
      <c r="P1758" s="902"/>
      <c r="Q1758" s="903"/>
      <c r="R1758" s="1451"/>
      <c r="S1758" s="1451"/>
      <c r="T1758" s="904"/>
      <c r="U1758" s="1450"/>
    </row>
    <row r="1759" spans="1:21" ht="19.5" customHeight="1">
      <c r="A1759" s="864"/>
      <c r="B1759" s="904"/>
      <c r="C1759" s="895"/>
      <c r="D1759" s="896"/>
      <c r="E1759" s="897"/>
      <c r="F1759" s="906"/>
      <c r="G1759" s="907"/>
      <c r="H1759" s="908"/>
      <c r="I1759" s="909"/>
      <c r="J1759" s="909"/>
      <c r="K1759" s="1451"/>
      <c r="L1759" s="1451"/>
      <c r="M1759" s="1451"/>
      <c r="N1759" s="1451"/>
      <c r="O1759" s="1451"/>
      <c r="P1759" s="902"/>
      <c r="Q1759" s="905"/>
      <c r="R1759" s="1451"/>
      <c r="S1759" s="1451"/>
      <c r="T1759" s="904"/>
      <c r="U1759" s="1450"/>
    </row>
    <row r="1760" spans="1:21" ht="19.5" customHeight="1">
      <c r="A1760" s="864"/>
      <c r="B1760" s="910"/>
      <c r="C1760" s="911"/>
      <c r="D1760" s="896"/>
      <c r="E1760" s="897"/>
      <c r="F1760" s="906"/>
      <c r="G1760" s="907"/>
      <c r="H1760" s="908"/>
      <c r="I1760" s="909"/>
      <c r="J1760" s="909"/>
      <c r="K1760" s="1451"/>
      <c r="L1760" s="1451"/>
      <c r="M1760" s="1451"/>
      <c r="N1760" s="1451"/>
      <c r="O1760" s="1451"/>
      <c r="P1760" s="912"/>
      <c r="Q1760" s="913"/>
      <c r="R1760" s="1452"/>
      <c r="S1760" s="1452"/>
      <c r="T1760" s="910"/>
      <c r="U1760" s="1450"/>
    </row>
    <row r="1761" spans="1:21" ht="19.5" customHeight="1">
      <c r="A1761" s="914"/>
      <c r="B1761" s="915"/>
      <c r="C1761" s="916"/>
      <c r="D1761" s="917"/>
      <c r="E1761" s="918">
        <f>SUM(E1752:E1757)</f>
        <v>0</v>
      </c>
      <c r="F1761" s="919"/>
      <c r="G1761" s="920"/>
      <c r="H1761" s="921"/>
      <c r="I1761" s="922"/>
      <c r="J1761" s="922"/>
      <c r="K1761" s="1453"/>
      <c r="L1761" s="1453"/>
      <c r="M1761" s="1453"/>
      <c r="N1761" s="1453"/>
      <c r="O1761" s="1453"/>
      <c r="P1761" s="923"/>
      <c r="Q1761" s="924"/>
      <c r="R1761" s="1454"/>
      <c r="S1761" s="1454"/>
      <c r="T1761" s="915"/>
      <c r="U1761" s="1450"/>
    </row>
    <row r="1762" spans="1:21" ht="15.75" customHeight="1">
      <c r="A1762" s="864"/>
      <c r="B1762" s="773"/>
      <c r="C1762" s="773"/>
      <c r="D1762" s="925"/>
      <c r="E1762" s="926"/>
      <c r="F1762" s="927"/>
      <c r="G1762" s="928"/>
      <c r="H1762" s="259"/>
      <c r="I1762" s="259"/>
      <c r="J1762" s="928"/>
      <c r="K1762" s="929"/>
      <c r="L1762" s="929"/>
      <c r="M1762" s="929"/>
      <c r="N1762" s="929"/>
      <c r="O1762" s="928"/>
      <c r="P1762" s="930"/>
      <c r="Q1762" s="931"/>
      <c r="R1762" s="931"/>
      <c r="U1762" s="932"/>
    </row>
    <row r="1763" spans="1:21" ht="18.75" customHeight="1">
      <c r="A1763" s="864"/>
      <c r="B1763" s="773"/>
      <c r="C1763" s="773"/>
      <c r="D1763" s="773"/>
      <c r="E1763" s="773"/>
      <c r="F1763" s="773"/>
      <c r="G1763" s="773"/>
      <c r="H1763" s="773"/>
      <c r="I1763" s="773"/>
      <c r="J1763" s="773"/>
      <c r="K1763" s="773"/>
      <c r="P1763" s="1446" t="s">
        <v>804</v>
      </c>
      <c r="Q1763" s="1446"/>
      <c r="R1763" s="1446"/>
      <c r="S1763" s="1446"/>
      <c r="T1763" s="1446"/>
      <c r="U1763" s="1446"/>
    </row>
    <row r="1764" spans="1:21" ht="18.75" customHeight="1">
      <c r="A1764" s="1447" t="s">
        <v>805</v>
      </c>
      <c r="B1764" s="1447"/>
      <c r="C1764" s="933"/>
      <c r="D1764" s="933"/>
      <c r="E1764" s="933"/>
      <c r="F1764" s="933"/>
      <c r="P1764" s="855"/>
      <c r="Q1764" s="855"/>
      <c r="R1764" s="855"/>
      <c r="S1764" s="855"/>
      <c r="T1764" s="855"/>
      <c r="U1764" s="934"/>
    </row>
    <row r="1765" spans="1:21" ht="18.75" customHeight="1">
      <c r="A1765" s="854"/>
      <c r="B1765" s="855"/>
      <c r="P1765" s="855"/>
      <c r="Q1765" s="855"/>
      <c r="R1765" s="855"/>
      <c r="S1765" s="855"/>
      <c r="T1765" s="855"/>
      <c r="U1765" s="934"/>
    </row>
    <row r="1766" spans="1:21" ht="18.75" customHeight="1">
      <c r="A1766" s="854" t="s">
        <v>806</v>
      </c>
      <c r="B1766" s="855"/>
      <c r="C1766" s="867"/>
      <c r="D1766" s="941"/>
      <c r="E1766" s="933"/>
      <c r="F1766" s="933"/>
      <c r="P1766" s="855"/>
      <c r="Q1766" s="855"/>
      <c r="R1766" s="855"/>
      <c r="S1766" s="855"/>
      <c r="T1766" s="855"/>
      <c r="U1766" s="934"/>
    </row>
    <row r="1767" spans="1:21" ht="18.75" customHeight="1">
      <c r="A1767" s="854"/>
      <c r="B1767" s="855"/>
      <c r="C1767" s="937"/>
      <c r="P1767" s="855"/>
      <c r="Q1767" s="855"/>
      <c r="R1767" s="855"/>
      <c r="S1767" s="855"/>
      <c r="T1767" s="855"/>
      <c r="U1767" s="934"/>
    </row>
    <row r="1768" spans="1:21" ht="19.5" customHeight="1">
      <c r="A1768" s="938"/>
      <c r="B1768" s="939"/>
      <c r="C1768" s="940"/>
      <c r="D1768" s="453"/>
      <c r="E1768" s="453"/>
      <c r="F1768" s="453"/>
      <c r="G1768" s="453"/>
      <c r="H1768" s="453"/>
      <c r="I1768" s="453"/>
      <c r="J1768" s="453"/>
      <c r="K1768" s="453"/>
      <c r="L1768" s="453"/>
      <c r="M1768" s="453"/>
      <c r="N1768" s="453"/>
      <c r="O1768" s="453"/>
      <c r="P1768" s="1448" t="s">
        <v>807</v>
      </c>
      <c r="Q1768" s="1448"/>
      <c r="R1768" s="1448"/>
      <c r="S1768" s="1448"/>
      <c r="T1768" s="1448"/>
      <c r="U1768" s="1448"/>
    </row>
    <row r="1769" spans="1:21" ht="45.75" customHeight="1">
      <c r="A1769" s="1455"/>
      <c r="B1769" s="1455"/>
      <c r="C1769" s="1455"/>
      <c r="D1769" s="847"/>
      <c r="E1769" s="1456" t="s">
        <v>774</v>
      </c>
      <c r="F1769" s="1456"/>
      <c r="G1769" s="1456"/>
      <c r="H1769" s="1456"/>
      <c r="I1769" s="1456"/>
      <c r="J1769" s="1456"/>
      <c r="K1769" s="1456"/>
      <c r="L1769" s="1456"/>
      <c r="M1769" s="1456"/>
      <c r="N1769" s="1456"/>
      <c r="O1769" s="1456"/>
      <c r="P1769" s="1456"/>
      <c r="Q1769" s="1456"/>
      <c r="R1769" s="1456"/>
      <c r="S1769" s="848"/>
      <c r="T1769" s="1457" t="s">
        <v>775</v>
      </c>
      <c r="U1769" s="1457"/>
    </row>
    <row r="1770" spans="1:21" ht="18.75" customHeight="1">
      <c r="A1770" s="849"/>
      <c r="E1770" s="1458" t="s">
        <v>776</v>
      </c>
      <c r="F1770" s="1458"/>
      <c r="G1770" s="1458"/>
      <c r="H1770" s="1458"/>
      <c r="I1770" s="1458"/>
      <c r="J1770" s="1458"/>
      <c r="K1770" s="1458"/>
      <c r="L1770" s="1458"/>
      <c r="M1770" s="1458"/>
      <c r="N1770" s="1458"/>
      <c r="O1770" s="1458"/>
      <c r="P1770" s="1458"/>
      <c r="Q1770" s="1458"/>
      <c r="R1770" s="1458"/>
      <c r="U1770" s="456"/>
    </row>
    <row r="1771" spans="1:21" ht="18.75" customHeight="1">
      <c r="A1771" s="850"/>
      <c r="F1771" s="587"/>
      <c r="G1771" s="587"/>
      <c r="H1771" s="587"/>
      <c r="I1771" s="587"/>
      <c r="J1771" s="587"/>
      <c r="K1771" s="587"/>
      <c r="L1771" s="587"/>
      <c r="M1771" s="851"/>
      <c r="N1771" s="852"/>
      <c r="O1771" s="851"/>
      <c r="P1771" s="1459" t="s">
        <v>777</v>
      </c>
      <c r="Q1771" s="1459"/>
      <c r="R1771" s="1459"/>
      <c r="S1771" s="1459"/>
      <c r="T1771" s="1459"/>
      <c r="U1771" s="1459"/>
    </row>
    <row r="1772" spans="1:21" ht="15" customHeight="1">
      <c r="A1772" s="849"/>
      <c r="E1772" s="1287" t="s">
        <v>778</v>
      </c>
      <c r="F1772" s="1287"/>
      <c r="G1772" s="1287"/>
      <c r="H1772" s="1287"/>
      <c r="I1772" s="1287"/>
      <c r="J1772" s="1287"/>
      <c r="K1772" s="1287"/>
      <c r="L1772" s="1287"/>
      <c r="M1772" s="1287"/>
      <c r="N1772" s="1287"/>
      <c r="O1772" s="1287"/>
      <c r="P1772" s="1287"/>
      <c r="Q1772" s="1287"/>
      <c r="R1772" s="1287"/>
      <c r="U1772" s="456"/>
    </row>
    <row r="1773" spans="1:21" ht="18.75" customHeight="1">
      <c r="A1773" s="849"/>
      <c r="E1773" s="1286" t="s">
        <v>779</v>
      </c>
      <c r="F1773" s="1286"/>
      <c r="G1773" s="1286"/>
      <c r="H1773" s="1286"/>
      <c r="I1773" s="1286"/>
      <c r="J1773" s="1286"/>
      <c r="K1773" s="1286"/>
      <c r="L1773" s="1286"/>
      <c r="M1773" s="1286"/>
      <c r="N1773" s="1286"/>
      <c r="O1773" s="1286"/>
      <c r="P1773" s="1286"/>
      <c r="Q1773" s="1286"/>
      <c r="R1773" s="1286"/>
      <c r="U1773" s="853"/>
    </row>
    <row r="1774" spans="1:21" ht="23.25" customHeight="1">
      <c r="A1774" s="854" t="s">
        <v>780</v>
      </c>
      <c r="B1774" s="855"/>
      <c r="C1774" s="855"/>
      <c r="D1774" s="856" t="s">
        <v>876</v>
      </c>
      <c r="E1774" s="857"/>
      <c r="F1774" s="858"/>
      <c r="G1774" s="859"/>
      <c r="H1774" s="859"/>
      <c r="I1774" s="859"/>
      <c r="J1774" s="859"/>
      <c r="K1774" s="859"/>
      <c r="L1774" s="860"/>
      <c r="M1774" s="1460"/>
      <c r="N1774" s="1460"/>
      <c r="O1774" s="1460"/>
      <c r="P1774" s="1461" t="s">
        <v>781</v>
      </c>
      <c r="Q1774" s="1461"/>
      <c r="R1774" s="1461"/>
      <c r="S1774" s="855"/>
      <c r="T1774" s="861">
        <v>46322</v>
      </c>
      <c r="U1774" s="456"/>
    </row>
    <row r="1775" spans="1:21" ht="23.25" customHeight="1">
      <c r="A1775" s="854"/>
      <c r="B1775" s="862"/>
      <c r="C1775" s="862"/>
      <c r="D1775" s="862"/>
      <c r="E1775" s="163"/>
      <c r="F1775" s="863"/>
      <c r="G1775" s="863"/>
      <c r="H1775" s="863"/>
      <c r="I1775" s="863"/>
      <c r="J1775" s="863"/>
      <c r="K1775" s="863"/>
      <c r="U1775" s="456"/>
    </row>
    <row r="1776" spans="1:21" ht="21" customHeight="1">
      <c r="A1776" s="864" t="s">
        <v>782</v>
      </c>
      <c r="B1776" s="865"/>
      <c r="C1776" s="866"/>
      <c r="D1776" s="867"/>
      <c r="E1776" s="868"/>
      <c r="F1776" s="869"/>
      <c r="G1776" s="869"/>
      <c r="H1776" s="869"/>
      <c r="I1776" s="870"/>
      <c r="J1776" s="870"/>
      <c r="P1776" s="1462"/>
      <c r="Q1776" s="1462"/>
      <c r="R1776" s="1462"/>
      <c r="S1776" s="1462"/>
      <c r="T1776" s="871"/>
      <c r="U1776" s="456"/>
    </row>
    <row r="1777" spans="1:21" ht="21" customHeight="1">
      <c r="A1777" s="872"/>
      <c r="B1777" s="873"/>
      <c r="C1777" s="869"/>
      <c r="D1777" s="869"/>
      <c r="E1777" s="869"/>
      <c r="F1777" s="869"/>
      <c r="G1777" s="869"/>
      <c r="H1777" s="869"/>
      <c r="I1777" s="870"/>
      <c r="J1777" s="870"/>
      <c r="U1777" s="456"/>
    </row>
    <row r="1778" spans="1:21" ht="15" customHeight="1">
      <c r="A1778" s="1463" t="s">
        <v>783</v>
      </c>
      <c r="B1778" s="1463"/>
      <c r="C1778" s="1463"/>
      <c r="D1778" s="1463"/>
      <c r="E1778" s="1463"/>
      <c r="F1778" s="1463"/>
      <c r="G1778" s="1463"/>
      <c r="H1778" s="1463"/>
      <c r="I1778" s="1463"/>
      <c r="J1778" s="1463"/>
      <c r="K1778" s="1463"/>
      <c r="L1778" s="1463"/>
      <c r="M1778" s="1463"/>
      <c r="N1778" s="1463"/>
      <c r="O1778" s="1463"/>
      <c r="P1778" s="1463"/>
      <c r="Q1778" s="1463"/>
      <c r="R1778" s="1463"/>
      <c r="S1778" s="1463"/>
      <c r="T1778" s="1463"/>
      <c r="U1778" s="1463"/>
    </row>
    <row r="1779" spans="1:21" ht="15" customHeight="1">
      <c r="A1779" s="1463"/>
      <c r="B1779" s="1463"/>
      <c r="C1779" s="1463"/>
      <c r="D1779" s="1463"/>
      <c r="E1779" s="1463"/>
      <c r="F1779" s="1463"/>
      <c r="G1779" s="1463"/>
      <c r="H1779" s="1463"/>
      <c r="I1779" s="1463"/>
      <c r="J1779" s="1463"/>
      <c r="K1779" s="1463"/>
      <c r="L1779" s="1463"/>
      <c r="M1779" s="1463"/>
      <c r="N1779" s="1463"/>
      <c r="O1779" s="1463"/>
      <c r="P1779" s="1463"/>
      <c r="Q1779" s="1463"/>
      <c r="R1779" s="1463"/>
      <c r="S1779" s="1463"/>
      <c r="T1779" s="1463"/>
      <c r="U1779" s="1463"/>
    </row>
    <row r="1780" spans="1:21" ht="18" customHeight="1">
      <c r="A1780" s="1464" t="s">
        <v>784</v>
      </c>
      <c r="B1780" s="1464"/>
      <c r="C1780" s="1464"/>
      <c r="D1780" s="1464"/>
      <c r="E1780" s="1464"/>
      <c r="F1780" s="1464"/>
      <c r="G1780" s="1464"/>
      <c r="H1780" s="1464"/>
      <c r="I1780" s="1464"/>
      <c r="J1780" s="1464"/>
      <c r="K1780" s="1464"/>
      <c r="L1780" s="1464"/>
      <c r="M1780" s="1464"/>
      <c r="N1780" s="1464"/>
      <c r="O1780" s="1464"/>
      <c r="P1780" s="1464"/>
      <c r="Q1780" s="1464"/>
      <c r="R1780" s="1464"/>
      <c r="S1780" s="1464"/>
      <c r="T1780" s="1464"/>
      <c r="U1780" s="1464"/>
    </row>
    <row r="1781" spans="1:21" ht="23.25" customHeight="1">
      <c r="A1781" s="1465" t="s">
        <v>785</v>
      </c>
      <c r="B1781" s="1465"/>
      <c r="C1781" s="1465"/>
      <c r="D1781" s="1465"/>
      <c r="E1781" s="1465"/>
      <c r="F1781" s="1465"/>
      <c r="G1781" s="1465"/>
      <c r="H1781" s="1465"/>
      <c r="I1781" s="1465"/>
      <c r="J1781" s="1465"/>
      <c r="K1781" s="1465"/>
      <c r="L1781" s="1465"/>
      <c r="M1781" s="1465"/>
      <c r="N1781" s="1465"/>
      <c r="O1781" s="1465"/>
      <c r="P1781" s="1465"/>
      <c r="Q1781" s="1465"/>
      <c r="R1781" s="1465"/>
      <c r="S1781" s="1465"/>
      <c r="T1781" s="1465"/>
      <c r="U1781" s="1465"/>
    </row>
    <row r="1782" spans="1:21" ht="21.75" customHeight="1">
      <c r="A1782" s="874"/>
      <c r="B1782" s="875"/>
      <c r="C1782" s="875"/>
      <c r="D1782" s="875"/>
      <c r="E1782" s="875"/>
      <c r="F1782" s="875"/>
      <c r="G1782" s="875"/>
      <c r="H1782" s="875"/>
      <c r="I1782" s="875"/>
      <c r="J1782" s="875"/>
      <c r="K1782" s="875"/>
      <c r="L1782" s="875"/>
      <c r="M1782" s="875"/>
      <c r="N1782" s="875"/>
      <c r="O1782" s="875"/>
      <c r="P1782" s="875"/>
      <c r="Q1782" s="875"/>
      <c r="R1782" s="875"/>
      <c r="S1782" s="875"/>
      <c r="T1782" s="875"/>
      <c r="U1782" s="876"/>
    </row>
    <row r="1783" spans="1:21" ht="15" customHeight="1">
      <c r="A1783" s="1466" t="s">
        <v>786</v>
      </c>
      <c r="B1783" s="1467" t="s">
        <v>787</v>
      </c>
      <c r="C1783" s="1468" t="s">
        <v>788</v>
      </c>
      <c r="D1783" s="1468" t="s">
        <v>789</v>
      </c>
      <c r="E1783" s="1469" t="s">
        <v>790</v>
      </c>
      <c r="F1783" s="1468" t="s">
        <v>791</v>
      </c>
      <c r="G1783" s="1468"/>
      <c r="H1783" s="1468"/>
      <c r="I1783" s="1468"/>
      <c r="J1783" s="1468"/>
      <c r="K1783" s="1468"/>
      <c r="L1783" s="1468"/>
      <c r="M1783" s="1468"/>
      <c r="N1783" s="1468"/>
      <c r="O1783" s="1468"/>
      <c r="P1783" s="1470"/>
      <c r="Q1783" s="1470"/>
      <c r="R1783" s="1470"/>
      <c r="S1783" s="1470"/>
      <c r="T1783" s="1470"/>
      <c r="U1783" s="1470"/>
    </row>
    <row r="1784" spans="1:21" ht="15.75" customHeight="1">
      <c r="A1784" s="1466"/>
      <c r="B1784" s="1467"/>
      <c r="C1784" s="1468"/>
      <c r="D1784" s="1468"/>
      <c r="E1784" s="1469"/>
      <c r="F1784" s="1468"/>
      <c r="G1784" s="1468"/>
      <c r="H1784" s="1468"/>
      <c r="I1784" s="1468"/>
      <c r="J1784" s="1468"/>
      <c r="K1784" s="1468"/>
      <c r="L1784" s="1468"/>
      <c r="M1784" s="1468"/>
      <c r="N1784" s="1468"/>
      <c r="O1784" s="1468"/>
      <c r="P1784" s="1470"/>
      <c r="Q1784" s="1470"/>
      <c r="R1784" s="1470"/>
      <c r="S1784" s="1470"/>
      <c r="T1784" s="1470"/>
      <c r="U1784" s="1470"/>
    </row>
    <row r="1785" spans="1:21" ht="48" customHeight="1">
      <c r="A1785" s="1466"/>
      <c r="B1785" s="1467"/>
      <c r="C1785" s="1468"/>
      <c r="D1785" s="1468"/>
      <c r="E1785" s="1469"/>
      <c r="F1785" s="878" t="s">
        <v>792</v>
      </c>
      <c r="G1785" s="877" t="s">
        <v>793</v>
      </c>
      <c r="H1785" s="878" t="s">
        <v>794</v>
      </c>
      <c r="I1785" s="879" t="s">
        <v>795</v>
      </c>
      <c r="J1785" s="880" t="s">
        <v>796</v>
      </c>
      <c r="K1785" s="1468" t="s">
        <v>797</v>
      </c>
      <c r="L1785" s="1468"/>
      <c r="M1785" s="1468"/>
      <c r="N1785" s="1468"/>
      <c r="O1785" s="1468"/>
      <c r="P1785" s="881" t="s">
        <v>798</v>
      </c>
      <c r="Q1785" s="882" t="s">
        <v>799</v>
      </c>
      <c r="R1785" s="1469" t="s">
        <v>800</v>
      </c>
      <c r="S1785" s="1469"/>
      <c r="T1785" s="877" t="s">
        <v>801</v>
      </c>
      <c r="U1785" s="879" t="s">
        <v>104</v>
      </c>
    </row>
    <row r="1786" spans="1:21" ht="19.5" customHeight="1">
      <c r="A1786" s="883"/>
      <c r="B1786" s="884" t="str">
        <f>IF('BIS Doc'!AC839=130, "130 × 130", IF('BIS Doc'!AC839=160, "160 × 160", IF('BIS Doc'!AC839=110, "110 × 110", "Value not 130, 160, or 110")))</f>
        <v>Value not 130, 160, or 110</v>
      </c>
      <c r="C1786" s="885">
        <f>'BIS Doc'!W839</f>
        <v>0</v>
      </c>
      <c r="D1786" s="886"/>
      <c r="E1786" s="887">
        <f>'BIS Doc'!AE839</f>
        <v>0</v>
      </c>
      <c r="F1786" s="888">
        <f ca="1">'BIS Doc'!F839</f>
        <v>0</v>
      </c>
      <c r="G1786" s="888">
        <f ca="1">'BIS Doc'!J839</f>
        <v>0</v>
      </c>
      <c r="H1786" s="888">
        <f ca="1">'BIS Doc'!G839</f>
        <v>0.59492880000822146</v>
      </c>
      <c r="I1786" s="889">
        <f ca="1">'BIS Doc'!H839</f>
        <v>0</v>
      </c>
      <c r="J1786" s="889">
        <f ca="1">'BIS Doc'!I839</f>
        <v>0</v>
      </c>
      <c r="K1786" s="1449" t="str">
        <f t="shared" ref="K1786:K1791" ca="1" si="51">IF(H1786&lt;0.6, "IS 14650 CPS 10748/GR2", "IS 14650 CPS 10748/GR3")</f>
        <v>IS 14650 CPS 10748/GR2</v>
      </c>
      <c r="L1786" s="1449"/>
      <c r="M1786" s="1449"/>
      <c r="N1786" s="1449"/>
      <c r="O1786" s="1449"/>
      <c r="P1786" s="890"/>
      <c r="Q1786" s="891"/>
      <c r="R1786" s="1449"/>
      <c r="S1786" s="1449"/>
      <c r="T1786" s="892"/>
      <c r="U1786" s="1450" t="s">
        <v>802</v>
      </c>
    </row>
    <row r="1787" spans="1:21" ht="19.5" customHeight="1">
      <c r="A1787" s="893"/>
      <c r="B1787" s="894" t="str">
        <f>IF('BIS Doc'!AC841=130, "130 × 130", IF('BIS Doc'!AC841=160, "160 × 160", IF('BIS Doc'!AC841=110, "110 × 110", "Value not 130, 160, or 110")))</f>
        <v>Value not 130, 160, or 110</v>
      </c>
      <c r="C1787" s="895">
        <f>'BIS Doc'!W841</f>
        <v>0</v>
      </c>
      <c r="D1787" s="896"/>
      <c r="E1787" s="897">
        <f>'BIS Doc'!AE841</f>
        <v>0</v>
      </c>
      <c r="F1787" s="898">
        <f ca="1">'BIS Doc'!F841</f>
        <v>0</v>
      </c>
      <c r="G1787" s="899">
        <f ca="1">'BIS Doc'!J841</f>
        <v>0</v>
      </c>
      <c r="H1787" s="900">
        <f ca="1">'BIS Doc'!G841</f>
        <v>0.54706699633684941</v>
      </c>
      <c r="I1787" s="901">
        <f ca="1">'BIS Doc'!H841</f>
        <v>0</v>
      </c>
      <c r="J1787" s="901">
        <f ca="1">'BIS Doc'!I841</f>
        <v>0</v>
      </c>
      <c r="K1787" s="1451" t="str">
        <f t="shared" ca="1" si="51"/>
        <v>IS 14650 CPS 10748/GR2</v>
      </c>
      <c r="L1787" s="1451"/>
      <c r="M1787" s="1451"/>
      <c r="N1787" s="1451"/>
      <c r="O1787" s="1451"/>
      <c r="P1787" s="902"/>
      <c r="Q1787" s="903"/>
      <c r="R1787" s="1451"/>
      <c r="S1787" s="1451"/>
      <c r="T1787" s="904"/>
      <c r="U1787" s="1450"/>
    </row>
    <row r="1788" spans="1:21" ht="19.5" customHeight="1">
      <c r="A1788" s="864"/>
      <c r="B1788" s="894" t="str">
        <f>IF('BIS Doc'!AC843=130, "130 × 130", IF('BIS Doc'!AC843=160, "160 × 160", IF('BIS Doc'!AC843=110, "110 × 110", "Value not 130, 160, or 110")))</f>
        <v>Value not 130, 160, or 110</v>
      </c>
      <c r="C1788" s="895">
        <f>'BIS Doc'!W843</f>
        <v>0</v>
      </c>
      <c r="D1788" s="896" t="s">
        <v>803</v>
      </c>
      <c r="E1788" s="897">
        <f>'BIS Doc'!AE843</f>
        <v>0</v>
      </c>
      <c r="F1788" s="898">
        <f ca="1">'BIS Doc'!F843</f>
        <v>0</v>
      </c>
      <c r="G1788" s="899">
        <f ca="1">'BIS Doc'!J843</f>
        <v>0</v>
      </c>
      <c r="H1788" s="900">
        <f ca="1">'BIS Doc'!G843</f>
        <v>0.5815573252001538</v>
      </c>
      <c r="I1788" s="901">
        <f ca="1">'BIS Doc'!H843</f>
        <v>0</v>
      </c>
      <c r="J1788" s="901">
        <f ca="1">'BIS Doc'!I843</f>
        <v>0</v>
      </c>
      <c r="K1788" s="1451" t="str">
        <f t="shared" ca="1" si="51"/>
        <v>IS 14650 CPS 10748/GR2</v>
      </c>
      <c r="L1788" s="1451"/>
      <c r="M1788" s="1451"/>
      <c r="N1788" s="1451"/>
      <c r="O1788" s="1451"/>
      <c r="P1788" s="902"/>
      <c r="Q1788" s="905"/>
      <c r="R1788" s="1451"/>
      <c r="S1788" s="1451"/>
      <c r="T1788" s="904"/>
      <c r="U1788" s="1450"/>
    </row>
    <row r="1789" spans="1:21" ht="19.5" customHeight="1">
      <c r="A1789" s="864"/>
      <c r="B1789" s="894" t="str">
        <f>IF('BIS Doc'!AC845=130, "130 × 130", IF('BIS Doc'!AC845=160, "160 × 160", IF('BIS Doc'!AC845=110, "110 × 110", "Value not 130, 160, or 110")))</f>
        <v>Value not 130, 160, or 110</v>
      </c>
      <c r="C1789" s="895">
        <f>'BIS Doc'!W845</f>
        <v>0</v>
      </c>
      <c r="D1789" s="896"/>
      <c r="E1789" s="897">
        <f>'BIS Doc'!AE845</f>
        <v>0</v>
      </c>
      <c r="F1789" s="898">
        <f ca="1">'BIS Doc'!F845</f>
        <v>0</v>
      </c>
      <c r="G1789" s="899">
        <f ca="1">'BIS Doc'!J845</f>
        <v>0</v>
      </c>
      <c r="H1789" s="900">
        <f ca="1">'BIS Doc'!G845</f>
        <v>0.58976336228611836</v>
      </c>
      <c r="I1789" s="901">
        <f ca="1">'BIS Doc'!H845</f>
        <v>0</v>
      </c>
      <c r="J1789" s="901">
        <f ca="1">'BIS Doc'!I845</f>
        <v>0</v>
      </c>
      <c r="K1789" s="1451" t="str">
        <f t="shared" ca="1" si="51"/>
        <v>IS 14650 CPS 10748/GR2</v>
      </c>
      <c r="L1789" s="1451"/>
      <c r="M1789" s="1451"/>
      <c r="N1789" s="1451"/>
      <c r="O1789" s="1451"/>
      <c r="P1789" s="902"/>
      <c r="Q1789" s="905"/>
      <c r="R1789" s="1451"/>
      <c r="S1789" s="1451"/>
      <c r="T1789" s="904"/>
      <c r="U1789" s="1450"/>
    </row>
    <row r="1790" spans="1:21" ht="19.5" customHeight="1">
      <c r="A1790" s="864"/>
      <c r="B1790" s="894" t="str">
        <f>IF('BIS Doc'!AC847=130, "130 × 130", IF('BIS Doc'!AC847=160, "160 × 160", IF('BIS Doc'!AC847=110, "110 × 110", "Value not 130, 160, or 110")))</f>
        <v>Value not 130, 160, or 110</v>
      </c>
      <c r="C1790" s="895">
        <f>'BIS Doc'!W847</f>
        <v>0</v>
      </c>
      <c r="D1790" s="896"/>
      <c r="E1790" s="897">
        <f>'BIS Doc'!AE847</f>
        <v>0</v>
      </c>
      <c r="F1790" s="898">
        <f ca="1">'BIS Doc'!F847</f>
        <v>0</v>
      </c>
      <c r="G1790" s="899">
        <f ca="1">'BIS Doc'!J847</f>
        <v>0</v>
      </c>
      <c r="H1790" s="900">
        <f ca="1">'BIS Doc'!G847</f>
        <v>0.56416845997649301</v>
      </c>
      <c r="I1790" s="901">
        <f ca="1">'BIS Doc'!H847</f>
        <v>0</v>
      </c>
      <c r="J1790" s="901">
        <f ca="1">'BIS Doc'!I847</f>
        <v>0</v>
      </c>
      <c r="K1790" s="1451" t="str">
        <f t="shared" ca="1" si="51"/>
        <v>IS 14650 CPS 10748/GR2</v>
      </c>
      <c r="L1790" s="1451"/>
      <c r="M1790" s="1451"/>
      <c r="N1790" s="1451"/>
      <c r="O1790" s="1451"/>
      <c r="P1790" s="902"/>
      <c r="Q1790" s="905"/>
      <c r="R1790" s="1451"/>
      <c r="S1790" s="1451"/>
      <c r="T1790" s="904"/>
      <c r="U1790" s="1450"/>
    </row>
    <row r="1791" spans="1:21" ht="19.5" customHeight="1">
      <c r="A1791" s="864"/>
      <c r="B1791" s="894" t="str">
        <f>IF('BIS Doc'!AC849=130, "130 × 130", IF('BIS Doc'!AC849=160, "160 × 160", IF('BIS Doc'!AC849=110, "110 × 110", "Value not 130, 160, or 110")))</f>
        <v>Value not 130, 160, or 110</v>
      </c>
      <c r="C1791" s="895">
        <f>'BIS Doc'!W849</f>
        <v>0</v>
      </c>
      <c r="D1791" s="896"/>
      <c r="E1791" s="897">
        <f>'BIS Doc'!AE849</f>
        <v>0</v>
      </c>
      <c r="F1791" s="898">
        <f ca="1">'BIS Doc'!F849</f>
        <v>0</v>
      </c>
      <c r="G1791" s="899">
        <f ca="1">'BIS Doc'!J849</f>
        <v>0</v>
      </c>
      <c r="H1791" s="900">
        <f ca="1">'BIS Doc'!G849</f>
        <v>0.54319441930258305</v>
      </c>
      <c r="I1791" s="901">
        <f ca="1">'BIS Doc'!H849</f>
        <v>0</v>
      </c>
      <c r="J1791" s="901">
        <f ca="1">'BIS Doc'!I849</f>
        <v>0</v>
      </c>
      <c r="K1791" s="1451" t="str">
        <f t="shared" ca="1" si="51"/>
        <v>IS 14650 CPS 10748/GR2</v>
      </c>
      <c r="L1791" s="1451"/>
      <c r="M1791" s="1451"/>
      <c r="N1791" s="1451"/>
      <c r="O1791" s="1451"/>
      <c r="P1791" s="902"/>
      <c r="Q1791" s="903"/>
      <c r="R1791" s="1451"/>
      <c r="S1791" s="1451"/>
      <c r="T1791" s="904"/>
      <c r="U1791" s="1450"/>
    </row>
    <row r="1792" spans="1:21" ht="19.5" customHeight="1">
      <c r="A1792" s="864"/>
      <c r="B1792" s="904"/>
      <c r="C1792" s="895"/>
      <c r="D1792" s="896"/>
      <c r="E1792" s="897"/>
      <c r="F1792" s="906"/>
      <c r="G1792" s="907"/>
      <c r="H1792" s="908"/>
      <c r="I1792" s="909"/>
      <c r="J1792" s="909"/>
      <c r="K1792" s="1451"/>
      <c r="L1792" s="1451"/>
      <c r="M1792" s="1451"/>
      <c r="N1792" s="1451"/>
      <c r="O1792" s="1451"/>
      <c r="P1792" s="902"/>
      <c r="Q1792" s="903"/>
      <c r="R1792" s="1451"/>
      <c r="S1792" s="1451"/>
      <c r="T1792" s="904"/>
      <c r="U1792" s="1450"/>
    </row>
    <row r="1793" spans="1:21" ht="19.5" customHeight="1">
      <c r="A1793" s="864"/>
      <c r="B1793" s="904"/>
      <c r="C1793" s="895"/>
      <c r="D1793" s="896"/>
      <c r="E1793" s="897"/>
      <c r="F1793" s="906"/>
      <c r="G1793" s="907"/>
      <c r="H1793" s="908"/>
      <c r="I1793" s="909"/>
      <c r="J1793" s="909"/>
      <c r="K1793" s="1451"/>
      <c r="L1793" s="1451"/>
      <c r="M1793" s="1451"/>
      <c r="N1793" s="1451"/>
      <c r="O1793" s="1451"/>
      <c r="P1793" s="902"/>
      <c r="Q1793" s="905"/>
      <c r="R1793" s="1451"/>
      <c r="S1793" s="1451"/>
      <c r="T1793" s="904"/>
      <c r="U1793" s="1450"/>
    </row>
    <row r="1794" spans="1:21" ht="19.5" customHeight="1">
      <c r="A1794" s="864"/>
      <c r="B1794" s="910"/>
      <c r="C1794" s="911"/>
      <c r="D1794" s="896"/>
      <c r="E1794" s="897"/>
      <c r="F1794" s="906"/>
      <c r="G1794" s="907"/>
      <c r="H1794" s="908"/>
      <c r="I1794" s="909"/>
      <c r="J1794" s="909"/>
      <c r="K1794" s="1451"/>
      <c r="L1794" s="1451"/>
      <c r="M1794" s="1451"/>
      <c r="N1794" s="1451"/>
      <c r="O1794" s="1451"/>
      <c r="P1794" s="912"/>
      <c r="Q1794" s="913"/>
      <c r="R1794" s="1452"/>
      <c r="S1794" s="1452"/>
      <c r="T1794" s="910"/>
      <c r="U1794" s="1450"/>
    </row>
    <row r="1795" spans="1:21" ht="19.5" customHeight="1">
      <c r="A1795" s="914"/>
      <c r="B1795" s="915"/>
      <c r="C1795" s="916"/>
      <c r="D1795" s="917"/>
      <c r="E1795" s="918">
        <f>SUM(E1786:E1791)</f>
        <v>0</v>
      </c>
      <c r="F1795" s="919"/>
      <c r="G1795" s="920"/>
      <c r="H1795" s="921"/>
      <c r="I1795" s="922"/>
      <c r="J1795" s="922"/>
      <c r="K1795" s="1453"/>
      <c r="L1795" s="1453"/>
      <c r="M1795" s="1453"/>
      <c r="N1795" s="1453"/>
      <c r="O1795" s="1453"/>
      <c r="P1795" s="923"/>
      <c r="Q1795" s="924"/>
      <c r="R1795" s="1454"/>
      <c r="S1795" s="1454"/>
      <c r="T1795" s="915"/>
      <c r="U1795" s="1450"/>
    </row>
    <row r="1796" spans="1:21" ht="15.75" customHeight="1">
      <c r="A1796" s="864"/>
      <c r="B1796" s="773"/>
      <c r="C1796" s="773"/>
      <c r="D1796" s="925"/>
      <c r="E1796" s="926"/>
      <c r="F1796" s="927"/>
      <c r="G1796" s="928"/>
      <c r="H1796" s="259"/>
      <c r="I1796" s="259"/>
      <c r="J1796" s="928"/>
      <c r="K1796" s="929"/>
      <c r="L1796" s="929"/>
      <c r="M1796" s="929"/>
      <c r="N1796" s="929"/>
      <c r="O1796" s="928"/>
      <c r="P1796" s="930"/>
      <c r="Q1796" s="931"/>
      <c r="R1796" s="931"/>
      <c r="U1796" s="932"/>
    </row>
    <row r="1797" spans="1:21" ht="18.75" customHeight="1">
      <c r="A1797" s="864"/>
      <c r="B1797" s="773"/>
      <c r="C1797" s="773"/>
      <c r="D1797" s="773"/>
      <c r="E1797" s="773"/>
      <c r="F1797" s="773"/>
      <c r="G1797" s="773"/>
      <c r="H1797" s="773"/>
      <c r="I1797" s="773"/>
      <c r="J1797" s="773"/>
      <c r="K1797" s="773"/>
      <c r="P1797" s="1446" t="s">
        <v>804</v>
      </c>
      <c r="Q1797" s="1446"/>
      <c r="R1797" s="1446"/>
      <c r="S1797" s="1446"/>
      <c r="T1797" s="1446"/>
      <c r="U1797" s="1446"/>
    </row>
    <row r="1798" spans="1:21" ht="18.75" customHeight="1">
      <c r="A1798" s="1447" t="s">
        <v>805</v>
      </c>
      <c r="B1798" s="1447"/>
      <c r="C1798" s="933"/>
      <c r="D1798" s="933"/>
      <c r="E1798" s="933"/>
      <c r="F1798" s="933"/>
      <c r="P1798" s="855"/>
      <c r="Q1798" s="855"/>
      <c r="R1798" s="855"/>
      <c r="S1798" s="855"/>
      <c r="T1798" s="855"/>
      <c r="U1798" s="934"/>
    </row>
    <row r="1799" spans="1:21" ht="18.75" customHeight="1">
      <c r="A1799" s="854"/>
      <c r="B1799" s="855"/>
      <c r="P1799" s="855"/>
      <c r="Q1799" s="855"/>
      <c r="R1799" s="855"/>
      <c r="S1799" s="855"/>
      <c r="T1799" s="855"/>
      <c r="U1799" s="934"/>
    </row>
    <row r="1800" spans="1:21" ht="18.75" customHeight="1">
      <c r="A1800" s="854" t="s">
        <v>806</v>
      </c>
      <c r="B1800" s="855"/>
      <c r="C1800" s="867"/>
      <c r="D1800" s="941"/>
      <c r="E1800" s="933"/>
      <c r="F1800" s="933"/>
      <c r="P1800" s="855"/>
      <c r="Q1800" s="855"/>
      <c r="R1800" s="855"/>
      <c r="S1800" s="855"/>
      <c r="T1800" s="855"/>
      <c r="U1800" s="934"/>
    </row>
    <row r="1801" spans="1:21" ht="18.75" customHeight="1">
      <c r="A1801" s="854"/>
      <c r="B1801" s="855"/>
      <c r="C1801" s="937"/>
      <c r="P1801" s="855"/>
      <c r="Q1801" s="855"/>
      <c r="R1801" s="855"/>
      <c r="S1801" s="855"/>
      <c r="T1801" s="855"/>
      <c r="U1801" s="934"/>
    </row>
    <row r="1802" spans="1:21" ht="19.5" customHeight="1">
      <c r="A1802" s="938"/>
      <c r="B1802" s="939"/>
      <c r="C1802" s="940"/>
      <c r="D1802" s="453"/>
      <c r="E1802" s="453"/>
      <c r="F1802" s="453"/>
      <c r="G1802" s="453"/>
      <c r="H1802" s="453"/>
      <c r="I1802" s="453"/>
      <c r="J1802" s="453"/>
      <c r="K1802" s="453"/>
      <c r="L1802" s="453"/>
      <c r="M1802" s="453"/>
      <c r="N1802" s="453"/>
      <c r="O1802" s="453"/>
      <c r="P1802" s="1448" t="s">
        <v>807</v>
      </c>
      <c r="Q1802" s="1448"/>
      <c r="R1802" s="1448"/>
      <c r="S1802" s="1448"/>
      <c r="T1802" s="1448"/>
      <c r="U1802" s="1448"/>
    </row>
    <row r="1803" spans="1:21" ht="45.75" customHeight="1">
      <c r="A1803" s="1455"/>
      <c r="B1803" s="1455"/>
      <c r="C1803" s="1455"/>
      <c r="D1803" s="847"/>
      <c r="E1803" s="1456" t="s">
        <v>774</v>
      </c>
      <c r="F1803" s="1456"/>
      <c r="G1803" s="1456"/>
      <c r="H1803" s="1456"/>
      <c r="I1803" s="1456"/>
      <c r="J1803" s="1456"/>
      <c r="K1803" s="1456"/>
      <c r="L1803" s="1456"/>
      <c r="M1803" s="1456"/>
      <c r="N1803" s="1456"/>
      <c r="O1803" s="1456"/>
      <c r="P1803" s="1456"/>
      <c r="Q1803" s="1456"/>
      <c r="R1803" s="1456"/>
      <c r="S1803" s="848"/>
      <c r="T1803" s="1457" t="s">
        <v>775</v>
      </c>
      <c r="U1803" s="1457"/>
    </row>
    <row r="1804" spans="1:21" ht="18.75" customHeight="1">
      <c r="A1804" s="849"/>
      <c r="E1804" s="1458" t="s">
        <v>776</v>
      </c>
      <c r="F1804" s="1458"/>
      <c r="G1804" s="1458"/>
      <c r="H1804" s="1458"/>
      <c r="I1804" s="1458"/>
      <c r="J1804" s="1458"/>
      <c r="K1804" s="1458"/>
      <c r="L1804" s="1458"/>
      <c r="M1804" s="1458"/>
      <c r="N1804" s="1458"/>
      <c r="O1804" s="1458"/>
      <c r="P1804" s="1458"/>
      <c r="Q1804" s="1458"/>
      <c r="R1804" s="1458"/>
      <c r="U1804" s="456"/>
    </row>
    <row r="1805" spans="1:21" ht="18.75" customHeight="1">
      <c r="A1805" s="850"/>
      <c r="F1805" s="587"/>
      <c r="G1805" s="587"/>
      <c r="H1805" s="587"/>
      <c r="I1805" s="587"/>
      <c r="J1805" s="587"/>
      <c r="K1805" s="587"/>
      <c r="L1805" s="587"/>
      <c r="M1805" s="851"/>
      <c r="N1805" s="852"/>
      <c r="O1805" s="851"/>
      <c r="P1805" s="1459" t="s">
        <v>777</v>
      </c>
      <c r="Q1805" s="1459"/>
      <c r="R1805" s="1459"/>
      <c r="S1805" s="1459"/>
      <c r="T1805" s="1459"/>
      <c r="U1805" s="1459"/>
    </row>
    <row r="1806" spans="1:21" ht="15" customHeight="1">
      <c r="A1806" s="849"/>
      <c r="E1806" s="1287" t="s">
        <v>778</v>
      </c>
      <c r="F1806" s="1287"/>
      <c r="G1806" s="1287"/>
      <c r="H1806" s="1287"/>
      <c r="I1806" s="1287"/>
      <c r="J1806" s="1287"/>
      <c r="K1806" s="1287"/>
      <c r="L1806" s="1287"/>
      <c r="M1806" s="1287"/>
      <c r="N1806" s="1287"/>
      <c r="O1806" s="1287"/>
      <c r="P1806" s="1287"/>
      <c r="Q1806" s="1287"/>
      <c r="R1806" s="1287"/>
      <c r="U1806" s="456"/>
    </row>
    <row r="1807" spans="1:21" ht="18.75" customHeight="1">
      <c r="A1807" s="849"/>
      <c r="E1807" s="1286" t="s">
        <v>779</v>
      </c>
      <c r="F1807" s="1286"/>
      <c r="G1807" s="1286"/>
      <c r="H1807" s="1286"/>
      <c r="I1807" s="1286"/>
      <c r="J1807" s="1286"/>
      <c r="K1807" s="1286"/>
      <c r="L1807" s="1286"/>
      <c r="M1807" s="1286"/>
      <c r="N1807" s="1286"/>
      <c r="O1807" s="1286"/>
      <c r="P1807" s="1286"/>
      <c r="Q1807" s="1286"/>
      <c r="R1807" s="1286"/>
      <c r="U1807" s="853"/>
    </row>
    <row r="1808" spans="1:21" ht="23.25" customHeight="1">
      <c r="A1808" s="854" t="s">
        <v>780</v>
      </c>
      <c r="B1808" s="855"/>
      <c r="C1808" s="855"/>
      <c r="D1808" s="856" t="s">
        <v>877</v>
      </c>
      <c r="E1808" s="857"/>
      <c r="F1808" s="858"/>
      <c r="G1808" s="859"/>
      <c r="H1808" s="859"/>
      <c r="I1808" s="859"/>
      <c r="J1808" s="859"/>
      <c r="K1808" s="859"/>
      <c r="L1808" s="860"/>
      <c r="M1808" s="1460"/>
      <c r="N1808" s="1460"/>
      <c r="O1808" s="1460"/>
      <c r="P1808" s="1461" t="s">
        <v>781</v>
      </c>
      <c r="Q1808" s="1461"/>
      <c r="R1808" s="1461"/>
      <c r="S1808" s="855"/>
      <c r="T1808" s="861">
        <v>46322</v>
      </c>
      <c r="U1808" s="456"/>
    </row>
    <row r="1809" spans="1:21" ht="23.25" customHeight="1">
      <c r="A1809" s="854"/>
      <c r="B1809" s="862"/>
      <c r="C1809" s="862"/>
      <c r="D1809" s="862"/>
      <c r="E1809" s="163"/>
      <c r="F1809" s="863"/>
      <c r="G1809" s="863"/>
      <c r="H1809" s="863"/>
      <c r="I1809" s="863"/>
      <c r="J1809" s="863"/>
      <c r="K1809" s="863"/>
      <c r="U1809" s="456"/>
    </row>
    <row r="1810" spans="1:21" ht="21" customHeight="1">
      <c r="A1810" s="864" t="s">
        <v>782</v>
      </c>
      <c r="B1810" s="865"/>
      <c r="C1810" s="866"/>
      <c r="D1810" s="867"/>
      <c r="E1810" s="868"/>
      <c r="F1810" s="869"/>
      <c r="G1810" s="869"/>
      <c r="H1810" s="869"/>
      <c r="I1810" s="870"/>
      <c r="J1810" s="870"/>
      <c r="P1810" s="1462"/>
      <c r="Q1810" s="1462"/>
      <c r="R1810" s="1462"/>
      <c r="S1810" s="1462"/>
      <c r="T1810" s="871"/>
      <c r="U1810" s="456"/>
    </row>
    <row r="1811" spans="1:21" ht="21" customHeight="1">
      <c r="A1811" s="872"/>
      <c r="B1811" s="873"/>
      <c r="C1811" s="869"/>
      <c r="D1811" s="869"/>
      <c r="E1811" s="869"/>
      <c r="F1811" s="869"/>
      <c r="G1811" s="869"/>
      <c r="H1811" s="869"/>
      <c r="I1811" s="870"/>
      <c r="J1811" s="870"/>
      <c r="U1811" s="456"/>
    </row>
    <row r="1812" spans="1:21" ht="15" customHeight="1">
      <c r="A1812" s="1463" t="s">
        <v>783</v>
      </c>
      <c r="B1812" s="1463"/>
      <c r="C1812" s="1463"/>
      <c r="D1812" s="1463"/>
      <c r="E1812" s="1463"/>
      <c r="F1812" s="1463"/>
      <c r="G1812" s="1463"/>
      <c r="H1812" s="1463"/>
      <c r="I1812" s="1463"/>
      <c r="J1812" s="1463"/>
      <c r="K1812" s="1463"/>
      <c r="L1812" s="1463"/>
      <c r="M1812" s="1463"/>
      <c r="N1812" s="1463"/>
      <c r="O1812" s="1463"/>
      <c r="P1812" s="1463"/>
      <c r="Q1812" s="1463"/>
      <c r="R1812" s="1463"/>
      <c r="S1812" s="1463"/>
      <c r="T1812" s="1463"/>
      <c r="U1812" s="1463"/>
    </row>
    <row r="1813" spans="1:21" ht="15" customHeight="1">
      <c r="A1813" s="1463"/>
      <c r="B1813" s="1463"/>
      <c r="C1813" s="1463"/>
      <c r="D1813" s="1463"/>
      <c r="E1813" s="1463"/>
      <c r="F1813" s="1463"/>
      <c r="G1813" s="1463"/>
      <c r="H1813" s="1463"/>
      <c r="I1813" s="1463"/>
      <c r="J1813" s="1463"/>
      <c r="K1813" s="1463"/>
      <c r="L1813" s="1463"/>
      <c r="M1813" s="1463"/>
      <c r="N1813" s="1463"/>
      <c r="O1813" s="1463"/>
      <c r="P1813" s="1463"/>
      <c r="Q1813" s="1463"/>
      <c r="R1813" s="1463"/>
      <c r="S1813" s="1463"/>
      <c r="T1813" s="1463"/>
      <c r="U1813" s="1463"/>
    </row>
    <row r="1814" spans="1:21" ht="18" customHeight="1">
      <c r="A1814" s="1464" t="s">
        <v>784</v>
      </c>
      <c r="B1814" s="1464"/>
      <c r="C1814" s="1464"/>
      <c r="D1814" s="1464"/>
      <c r="E1814" s="1464"/>
      <c r="F1814" s="1464"/>
      <c r="G1814" s="1464"/>
      <c r="H1814" s="1464"/>
      <c r="I1814" s="1464"/>
      <c r="J1814" s="1464"/>
      <c r="K1814" s="1464"/>
      <c r="L1814" s="1464"/>
      <c r="M1814" s="1464"/>
      <c r="N1814" s="1464"/>
      <c r="O1814" s="1464"/>
      <c r="P1814" s="1464"/>
      <c r="Q1814" s="1464"/>
      <c r="R1814" s="1464"/>
      <c r="S1814" s="1464"/>
      <c r="T1814" s="1464"/>
      <c r="U1814" s="1464"/>
    </row>
    <row r="1815" spans="1:21" ht="23.25" customHeight="1">
      <c r="A1815" s="1465" t="s">
        <v>785</v>
      </c>
      <c r="B1815" s="1465"/>
      <c r="C1815" s="1465"/>
      <c r="D1815" s="1465"/>
      <c r="E1815" s="1465"/>
      <c r="F1815" s="1465"/>
      <c r="G1815" s="1465"/>
      <c r="H1815" s="1465"/>
      <c r="I1815" s="1465"/>
      <c r="J1815" s="1465"/>
      <c r="K1815" s="1465"/>
      <c r="L1815" s="1465"/>
      <c r="M1815" s="1465"/>
      <c r="N1815" s="1465"/>
      <c r="O1815" s="1465"/>
      <c r="P1815" s="1465"/>
      <c r="Q1815" s="1465"/>
      <c r="R1815" s="1465"/>
      <c r="S1815" s="1465"/>
      <c r="T1815" s="1465"/>
      <c r="U1815" s="1465"/>
    </row>
    <row r="1816" spans="1:21" ht="21.75" customHeight="1">
      <c r="A1816" s="874"/>
      <c r="B1816" s="875"/>
      <c r="C1816" s="875"/>
      <c r="D1816" s="875"/>
      <c r="E1816" s="875"/>
      <c r="F1816" s="875"/>
      <c r="G1816" s="875"/>
      <c r="H1816" s="875"/>
      <c r="I1816" s="875"/>
      <c r="J1816" s="875"/>
      <c r="K1816" s="875"/>
      <c r="L1816" s="875"/>
      <c r="M1816" s="875"/>
      <c r="N1816" s="875"/>
      <c r="O1816" s="875"/>
      <c r="P1816" s="875"/>
      <c r="Q1816" s="875"/>
      <c r="R1816" s="875"/>
      <c r="S1816" s="875"/>
      <c r="T1816" s="875"/>
      <c r="U1816" s="876"/>
    </row>
    <row r="1817" spans="1:21" ht="15" customHeight="1">
      <c r="A1817" s="1466" t="s">
        <v>786</v>
      </c>
      <c r="B1817" s="1467" t="s">
        <v>787</v>
      </c>
      <c r="C1817" s="1468" t="s">
        <v>788</v>
      </c>
      <c r="D1817" s="1468" t="s">
        <v>789</v>
      </c>
      <c r="E1817" s="1469" t="s">
        <v>790</v>
      </c>
      <c r="F1817" s="1468" t="s">
        <v>791</v>
      </c>
      <c r="G1817" s="1468"/>
      <c r="H1817" s="1468"/>
      <c r="I1817" s="1468"/>
      <c r="J1817" s="1468"/>
      <c r="K1817" s="1468"/>
      <c r="L1817" s="1468"/>
      <c r="M1817" s="1468"/>
      <c r="N1817" s="1468"/>
      <c r="O1817" s="1468"/>
      <c r="P1817" s="1470"/>
      <c r="Q1817" s="1470"/>
      <c r="R1817" s="1470"/>
      <c r="S1817" s="1470"/>
      <c r="T1817" s="1470"/>
      <c r="U1817" s="1470"/>
    </row>
    <row r="1818" spans="1:21" ht="15.75" customHeight="1">
      <c r="A1818" s="1466"/>
      <c r="B1818" s="1467"/>
      <c r="C1818" s="1468"/>
      <c r="D1818" s="1468"/>
      <c r="E1818" s="1469"/>
      <c r="F1818" s="1468"/>
      <c r="G1818" s="1468"/>
      <c r="H1818" s="1468"/>
      <c r="I1818" s="1468"/>
      <c r="J1818" s="1468"/>
      <c r="K1818" s="1468"/>
      <c r="L1818" s="1468"/>
      <c r="M1818" s="1468"/>
      <c r="N1818" s="1468"/>
      <c r="O1818" s="1468"/>
      <c r="P1818" s="1470"/>
      <c r="Q1818" s="1470"/>
      <c r="R1818" s="1470"/>
      <c r="S1818" s="1470"/>
      <c r="T1818" s="1470"/>
      <c r="U1818" s="1470"/>
    </row>
    <row r="1819" spans="1:21" ht="48" customHeight="1">
      <c r="A1819" s="1466"/>
      <c r="B1819" s="1467"/>
      <c r="C1819" s="1468"/>
      <c r="D1819" s="1468"/>
      <c r="E1819" s="1469"/>
      <c r="F1819" s="878" t="s">
        <v>792</v>
      </c>
      <c r="G1819" s="877" t="s">
        <v>793</v>
      </c>
      <c r="H1819" s="878" t="s">
        <v>794</v>
      </c>
      <c r="I1819" s="879" t="s">
        <v>795</v>
      </c>
      <c r="J1819" s="880" t="s">
        <v>796</v>
      </c>
      <c r="K1819" s="1468" t="s">
        <v>797</v>
      </c>
      <c r="L1819" s="1468"/>
      <c r="M1819" s="1468"/>
      <c r="N1819" s="1468"/>
      <c r="O1819" s="1468"/>
      <c r="P1819" s="881" t="s">
        <v>798</v>
      </c>
      <c r="Q1819" s="882" t="s">
        <v>799</v>
      </c>
      <c r="R1819" s="1469" t="s">
        <v>800</v>
      </c>
      <c r="S1819" s="1469"/>
      <c r="T1819" s="877" t="s">
        <v>801</v>
      </c>
      <c r="U1819" s="879" t="s">
        <v>104</v>
      </c>
    </row>
    <row r="1820" spans="1:21" ht="19.5" customHeight="1">
      <c r="A1820" s="883"/>
      <c r="B1820" s="884" t="str">
        <f>IF('BIS Doc'!AC851=130, "130 × 130", IF('BIS Doc'!AC851=160, "160 × 160", IF('BIS Doc'!AC851=110, "110 × 110", "Value not 130, 160, or 110")))</f>
        <v>Value not 130, 160, or 110</v>
      </c>
      <c r="C1820" s="885">
        <f>'BIS Doc'!W851</f>
        <v>0</v>
      </c>
      <c r="D1820" s="886"/>
      <c r="E1820" s="887">
        <f>'BIS Doc'!AE851</f>
        <v>0</v>
      </c>
      <c r="F1820" s="888">
        <f ca="1">'BIS Doc'!F851</f>
        <v>0</v>
      </c>
      <c r="G1820" s="888">
        <f ca="1">'BIS Doc'!J851</f>
        <v>0</v>
      </c>
      <c r="H1820" s="888">
        <f ca="1">'BIS Doc'!G851</f>
        <v>0.56978919603689515</v>
      </c>
      <c r="I1820" s="889">
        <f ca="1">'BIS Doc'!H851</f>
        <v>0</v>
      </c>
      <c r="J1820" s="889">
        <f ca="1">'BIS Doc'!I851</f>
        <v>0</v>
      </c>
      <c r="K1820" s="1449" t="str">
        <f t="shared" ref="K1820:K1825" ca="1" si="52">IF(H1820&lt;0.6, "IS 14650 CPS 10748/GR2", "IS 14650 CPS 10748/GR3")</f>
        <v>IS 14650 CPS 10748/GR2</v>
      </c>
      <c r="L1820" s="1449"/>
      <c r="M1820" s="1449"/>
      <c r="N1820" s="1449"/>
      <c r="O1820" s="1449"/>
      <c r="P1820" s="890"/>
      <c r="Q1820" s="891"/>
      <c r="R1820" s="1449"/>
      <c r="S1820" s="1449"/>
      <c r="T1820" s="892"/>
      <c r="U1820" s="1450" t="s">
        <v>802</v>
      </c>
    </row>
    <row r="1821" spans="1:21" ht="19.5" customHeight="1">
      <c r="A1821" s="893"/>
      <c r="B1821" s="894" t="str">
        <f>IF('BIS Doc'!AC853=130, "130 × 130", IF('BIS Doc'!AC853=160, "160 × 160", IF('BIS Doc'!AC853=110, "110 × 110", "Value not 130, 160, or 110")))</f>
        <v>Value not 130, 160, or 110</v>
      </c>
      <c r="C1821" s="895">
        <f>'BIS Doc'!W853</f>
        <v>0</v>
      </c>
      <c r="D1821" s="896"/>
      <c r="E1821" s="897">
        <f>'BIS Doc'!AE853</f>
        <v>0</v>
      </c>
      <c r="F1821" s="898">
        <f ca="1">'BIS Doc'!F853</f>
        <v>0</v>
      </c>
      <c r="G1821" s="899">
        <f ca="1">'BIS Doc'!J853</f>
        <v>0</v>
      </c>
      <c r="H1821" s="900">
        <f ca="1">'BIS Doc'!G853</f>
        <v>0.50162605325100429</v>
      </c>
      <c r="I1821" s="901">
        <f ca="1">'BIS Doc'!H853</f>
        <v>0</v>
      </c>
      <c r="J1821" s="901">
        <f ca="1">'BIS Doc'!I853</f>
        <v>0</v>
      </c>
      <c r="K1821" s="1451" t="str">
        <f t="shared" ca="1" si="52"/>
        <v>IS 14650 CPS 10748/GR2</v>
      </c>
      <c r="L1821" s="1451"/>
      <c r="M1821" s="1451"/>
      <c r="N1821" s="1451"/>
      <c r="O1821" s="1451"/>
      <c r="P1821" s="902"/>
      <c r="Q1821" s="903"/>
      <c r="R1821" s="1451"/>
      <c r="S1821" s="1451"/>
      <c r="T1821" s="904"/>
      <c r="U1821" s="1450"/>
    </row>
    <row r="1822" spans="1:21" ht="19.5" customHeight="1">
      <c r="A1822" s="864"/>
      <c r="B1822" s="894" t="str">
        <f>IF('BIS Doc'!AC855=130, "130 × 130", IF('BIS Doc'!AC855=160, "160 × 160", IF('BIS Doc'!AC855=110, "110 × 110", "Value not 130, 160, or 110")))</f>
        <v>Value not 130, 160, or 110</v>
      </c>
      <c r="C1822" s="895">
        <f>'BIS Doc'!W855</f>
        <v>0</v>
      </c>
      <c r="D1822" s="896" t="s">
        <v>803</v>
      </c>
      <c r="E1822" s="897">
        <f>'BIS Doc'!AE855</f>
        <v>0</v>
      </c>
      <c r="F1822" s="898">
        <f ca="1">'BIS Doc'!F855</f>
        <v>0</v>
      </c>
      <c r="G1822" s="899">
        <f ca="1">'BIS Doc'!J855</f>
        <v>0</v>
      </c>
      <c r="H1822" s="900">
        <f ca="1">'BIS Doc'!G855</f>
        <v>0.51027048843722422</v>
      </c>
      <c r="I1822" s="901">
        <f ca="1">'BIS Doc'!H855</f>
        <v>0</v>
      </c>
      <c r="J1822" s="901">
        <f ca="1">'BIS Doc'!I855</f>
        <v>0</v>
      </c>
      <c r="K1822" s="1451" t="str">
        <f t="shared" ca="1" si="52"/>
        <v>IS 14650 CPS 10748/GR2</v>
      </c>
      <c r="L1822" s="1451"/>
      <c r="M1822" s="1451"/>
      <c r="N1822" s="1451"/>
      <c r="O1822" s="1451"/>
      <c r="P1822" s="902"/>
      <c r="Q1822" s="905"/>
      <c r="R1822" s="1451"/>
      <c r="S1822" s="1451"/>
      <c r="T1822" s="904"/>
      <c r="U1822" s="1450"/>
    </row>
    <row r="1823" spans="1:21" ht="19.5" customHeight="1">
      <c r="A1823" s="864"/>
      <c r="B1823" s="894" t="str">
        <f>IF('BIS Doc'!AC857=130, "130 × 130", IF('BIS Doc'!AC857=160, "160 × 160", IF('BIS Doc'!AC857=110, "110 × 110", "Value not 130, 160, or 110")))</f>
        <v>Value not 130, 160, or 110</v>
      </c>
      <c r="C1823" s="895">
        <f>'BIS Doc'!W857</f>
        <v>0</v>
      </c>
      <c r="D1823" s="896"/>
      <c r="E1823" s="897">
        <f>'BIS Doc'!AE857</f>
        <v>0</v>
      </c>
      <c r="F1823" s="898">
        <f ca="1">'BIS Doc'!F857</f>
        <v>0</v>
      </c>
      <c r="G1823" s="899">
        <f ca="1">'BIS Doc'!J857</f>
        <v>0</v>
      </c>
      <c r="H1823" s="900">
        <f ca="1">'BIS Doc'!G857</f>
        <v>0.58179554772531195</v>
      </c>
      <c r="I1823" s="901">
        <f ca="1">'BIS Doc'!H857</f>
        <v>0</v>
      </c>
      <c r="J1823" s="901">
        <f ca="1">'BIS Doc'!I857</f>
        <v>0</v>
      </c>
      <c r="K1823" s="1451" t="str">
        <f t="shared" ca="1" si="52"/>
        <v>IS 14650 CPS 10748/GR2</v>
      </c>
      <c r="L1823" s="1451"/>
      <c r="M1823" s="1451"/>
      <c r="N1823" s="1451"/>
      <c r="O1823" s="1451"/>
      <c r="P1823" s="902"/>
      <c r="Q1823" s="905"/>
      <c r="R1823" s="1451"/>
      <c r="S1823" s="1451"/>
      <c r="T1823" s="904"/>
      <c r="U1823" s="1450"/>
    </row>
    <row r="1824" spans="1:21" ht="19.5" customHeight="1">
      <c r="A1824" s="864"/>
      <c r="B1824" s="894" t="str">
        <f>IF('BIS Doc'!AC859=130, "130 × 130", IF('BIS Doc'!AC859=160, "160 × 160", IF('BIS Doc'!AC859=110, "110 × 110", "Value not 130, 160, or 110")))</f>
        <v>Value not 130, 160, or 110</v>
      </c>
      <c r="C1824" s="895">
        <f>'BIS Doc'!W859</f>
        <v>0</v>
      </c>
      <c r="D1824" s="896"/>
      <c r="E1824" s="897">
        <f>'BIS Doc'!AE859</f>
        <v>0</v>
      </c>
      <c r="F1824" s="898">
        <f ca="1">'BIS Doc'!F859</f>
        <v>0</v>
      </c>
      <c r="G1824" s="899">
        <f ca="1">'BIS Doc'!J859</f>
        <v>0</v>
      </c>
      <c r="H1824" s="900">
        <f ca="1">'BIS Doc'!G859</f>
        <v>0.57505188635598858</v>
      </c>
      <c r="I1824" s="901">
        <f ca="1">'BIS Doc'!H859</f>
        <v>0</v>
      </c>
      <c r="J1824" s="901">
        <f ca="1">'BIS Doc'!I859</f>
        <v>0</v>
      </c>
      <c r="K1824" s="1451" t="str">
        <f t="shared" ca="1" si="52"/>
        <v>IS 14650 CPS 10748/GR2</v>
      </c>
      <c r="L1824" s="1451"/>
      <c r="M1824" s="1451"/>
      <c r="N1824" s="1451"/>
      <c r="O1824" s="1451"/>
      <c r="P1824" s="902"/>
      <c r="Q1824" s="905"/>
      <c r="R1824" s="1451"/>
      <c r="S1824" s="1451"/>
      <c r="T1824" s="904"/>
      <c r="U1824" s="1450"/>
    </row>
    <row r="1825" spans="1:21" ht="19.5" customHeight="1">
      <c r="A1825" s="864"/>
      <c r="B1825" s="894" t="str">
        <f>IF('BIS Doc'!AC861=130, "130 × 130", IF('BIS Doc'!AC861=160, "160 × 160", IF('BIS Doc'!AC861=110, "110 × 110", "Value not 130, 160, or 110")))</f>
        <v>Value not 130, 160, or 110</v>
      </c>
      <c r="C1825" s="895">
        <f>'BIS Doc'!W861</f>
        <v>0</v>
      </c>
      <c r="D1825" s="896"/>
      <c r="E1825" s="897">
        <f>'BIS Doc'!AE861</f>
        <v>0</v>
      </c>
      <c r="F1825" s="898">
        <f ca="1">'BIS Doc'!F861</f>
        <v>0</v>
      </c>
      <c r="G1825" s="899">
        <f ca="1">'BIS Doc'!J861</f>
        <v>0</v>
      </c>
      <c r="H1825" s="900">
        <f ca="1">'BIS Doc'!G861</f>
        <v>0.5865121893693338</v>
      </c>
      <c r="I1825" s="901">
        <f ca="1">'BIS Doc'!H861</f>
        <v>0</v>
      </c>
      <c r="J1825" s="901">
        <f ca="1">'BIS Doc'!I861</f>
        <v>0</v>
      </c>
      <c r="K1825" s="1451" t="str">
        <f t="shared" ca="1" si="52"/>
        <v>IS 14650 CPS 10748/GR2</v>
      </c>
      <c r="L1825" s="1451"/>
      <c r="M1825" s="1451"/>
      <c r="N1825" s="1451"/>
      <c r="O1825" s="1451"/>
      <c r="P1825" s="902"/>
      <c r="Q1825" s="903"/>
      <c r="R1825" s="1451"/>
      <c r="S1825" s="1451"/>
      <c r="T1825" s="904"/>
      <c r="U1825" s="1450"/>
    </row>
    <row r="1826" spans="1:21" ht="19.5" customHeight="1">
      <c r="A1826" s="864"/>
      <c r="B1826" s="904"/>
      <c r="C1826" s="895"/>
      <c r="D1826" s="896"/>
      <c r="E1826" s="897"/>
      <c r="F1826" s="906"/>
      <c r="G1826" s="907"/>
      <c r="H1826" s="908"/>
      <c r="I1826" s="909"/>
      <c r="J1826" s="909"/>
      <c r="K1826" s="1451"/>
      <c r="L1826" s="1451"/>
      <c r="M1826" s="1451"/>
      <c r="N1826" s="1451"/>
      <c r="O1826" s="1451"/>
      <c r="P1826" s="902"/>
      <c r="Q1826" s="903"/>
      <c r="R1826" s="1451"/>
      <c r="S1826" s="1451"/>
      <c r="T1826" s="904"/>
      <c r="U1826" s="1450"/>
    </row>
    <row r="1827" spans="1:21" ht="19.5" customHeight="1">
      <c r="A1827" s="864"/>
      <c r="B1827" s="904"/>
      <c r="C1827" s="895"/>
      <c r="D1827" s="896"/>
      <c r="E1827" s="897"/>
      <c r="F1827" s="906"/>
      <c r="G1827" s="907"/>
      <c r="H1827" s="908"/>
      <c r="I1827" s="909"/>
      <c r="J1827" s="909"/>
      <c r="K1827" s="1451"/>
      <c r="L1827" s="1451"/>
      <c r="M1827" s="1451"/>
      <c r="N1827" s="1451"/>
      <c r="O1827" s="1451"/>
      <c r="P1827" s="902"/>
      <c r="Q1827" s="905"/>
      <c r="R1827" s="1451"/>
      <c r="S1827" s="1451"/>
      <c r="T1827" s="904"/>
      <c r="U1827" s="1450"/>
    </row>
    <row r="1828" spans="1:21" ht="19.5" customHeight="1">
      <c r="A1828" s="864"/>
      <c r="B1828" s="910"/>
      <c r="C1828" s="911"/>
      <c r="D1828" s="896"/>
      <c r="E1828" s="897"/>
      <c r="F1828" s="906"/>
      <c r="G1828" s="907"/>
      <c r="H1828" s="908"/>
      <c r="I1828" s="909"/>
      <c r="J1828" s="909"/>
      <c r="K1828" s="1451"/>
      <c r="L1828" s="1451"/>
      <c r="M1828" s="1451"/>
      <c r="N1828" s="1451"/>
      <c r="O1828" s="1451"/>
      <c r="P1828" s="912"/>
      <c r="Q1828" s="913"/>
      <c r="R1828" s="1452"/>
      <c r="S1828" s="1452"/>
      <c r="T1828" s="910"/>
      <c r="U1828" s="1450"/>
    </row>
    <row r="1829" spans="1:21" ht="19.5" customHeight="1">
      <c r="A1829" s="914"/>
      <c r="B1829" s="915"/>
      <c r="C1829" s="916"/>
      <c r="D1829" s="917"/>
      <c r="E1829" s="918">
        <f>SUM(E1820:E1825)</f>
        <v>0</v>
      </c>
      <c r="F1829" s="919"/>
      <c r="G1829" s="920"/>
      <c r="H1829" s="921"/>
      <c r="I1829" s="922"/>
      <c r="J1829" s="922"/>
      <c r="K1829" s="1453"/>
      <c r="L1829" s="1453"/>
      <c r="M1829" s="1453"/>
      <c r="N1829" s="1453"/>
      <c r="O1829" s="1453"/>
      <c r="P1829" s="923"/>
      <c r="Q1829" s="924"/>
      <c r="R1829" s="1454"/>
      <c r="S1829" s="1454"/>
      <c r="T1829" s="915"/>
      <c r="U1829" s="1450"/>
    </row>
    <row r="1830" spans="1:21" ht="15.75" customHeight="1">
      <c r="A1830" s="864"/>
      <c r="B1830" s="773"/>
      <c r="C1830" s="773"/>
      <c r="D1830" s="925"/>
      <c r="E1830" s="926"/>
      <c r="F1830" s="927"/>
      <c r="G1830" s="928"/>
      <c r="H1830" s="259"/>
      <c r="I1830" s="259"/>
      <c r="J1830" s="928"/>
      <c r="K1830" s="929"/>
      <c r="L1830" s="929"/>
      <c r="M1830" s="929"/>
      <c r="N1830" s="929"/>
      <c r="O1830" s="928"/>
      <c r="P1830" s="930"/>
      <c r="Q1830" s="931"/>
      <c r="R1830" s="931"/>
      <c r="U1830" s="932"/>
    </row>
    <row r="1831" spans="1:21" ht="18.75" customHeight="1">
      <c r="A1831" s="864"/>
      <c r="B1831" s="773"/>
      <c r="C1831" s="773"/>
      <c r="D1831" s="773"/>
      <c r="E1831" s="773"/>
      <c r="F1831" s="773"/>
      <c r="G1831" s="773"/>
      <c r="H1831" s="773"/>
      <c r="I1831" s="773"/>
      <c r="J1831" s="773"/>
      <c r="K1831" s="773"/>
      <c r="P1831" s="1446" t="s">
        <v>804</v>
      </c>
      <c r="Q1831" s="1446"/>
      <c r="R1831" s="1446"/>
      <c r="S1831" s="1446"/>
      <c r="T1831" s="1446"/>
      <c r="U1831" s="1446"/>
    </row>
    <row r="1832" spans="1:21" ht="18.75" customHeight="1">
      <c r="A1832" s="1447" t="s">
        <v>805</v>
      </c>
      <c r="B1832" s="1447"/>
      <c r="C1832" s="933"/>
      <c r="D1832" s="933"/>
      <c r="E1832" s="933"/>
      <c r="F1832" s="933"/>
      <c r="P1832" s="855"/>
      <c r="Q1832" s="855"/>
      <c r="R1832" s="855"/>
      <c r="S1832" s="855"/>
      <c r="T1832" s="855"/>
      <c r="U1832" s="934"/>
    </row>
    <row r="1833" spans="1:21" ht="18.75" customHeight="1">
      <c r="A1833" s="854"/>
      <c r="B1833" s="855"/>
      <c r="P1833" s="855"/>
      <c r="Q1833" s="855"/>
      <c r="R1833" s="855"/>
      <c r="S1833" s="855"/>
      <c r="T1833" s="855"/>
      <c r="U1833" s="934"/>
    </row>
    <row r="1834" spans="1:21" ht="18.75" customHeight="1">
      <c r="A1834" s="854" t="s">
        <v>806</v>
      </c>
      <c r="B1834" s="855"/>
      <c r="C1834" s="867"/>
      <c r="D1834" s="941"/>
      <c r="E1834" s="933"/>
      <c r="F1834" s="933"/>
      <c r="P1834" s="855"/>
      <c r="Q1834" s="855"/>
      <c r="R1834" s="855"/>
      <c r="S1834" s="855"/>
      <c r="T1834" s="855"/>
      <c r="U1834" s="934"/>
    </row>
    <row r="1835" spans="1:21" ht="18.75" customHeight="1">
      <c r="A1835" s="854"/>
      <c r="B1835" s="855"/>
      <c r="C1835" s="937"/>
      <c r="P1835" s="855"/>
      <c r="Q1835" s="855"/>
      <c r="R1835" s="855"/>
      <c r="S1835" s="855"/>
      <c r="T1835" s="855"/>
      <c r="U1835" s="934"/>
    </row>
    <row r="1836" spans="1:21" ht="19.5" customHeight="1">
      <c r="A1836" s="938"/>
      <c r="B1836" s="939"/>
      <c r="C1836" s="940"/>
      <c r="D1836" s="453"/>
      <c r="E1836" s="453"/>
      <c r="F1836" s="453"/>
      <c r="G1836" s="453"/>
      <c r="H1836" s="453"/>
      <c r="I1836" s="453"/>
      <c r="J1836" s="453"/>
      <c r="K1836" s="453"/>
      <c r="L1836" s="453"/>
      <c r="M1836" s="453"/>
      <c r="N1836" s="453"/>
      <c r="O1836" s="453"/>
      <c r="P1836" s="1448" t="s">
        <v>807</v>
      </c>
      <c r="Q1836" s="1448"/>
      <c r="R1836" s="1448"/>
      <c r="S1836" s="1448"/>
      <c r="T1836" s="1448"/>
      <c r="U1836" s="1448"/>
    </row>
    <row r="1837" spans="1:21" ht="45.75" customHeight="1">
      <c r="A1837" s="1455"/>
      <c r="B1837" s="1455"/>
      <c r="C1837" s="1455"/>
      <c r="D1837" s="847"/>
      <c r="E1837" s="1456" t="s">
        <v>774</v>
      </c>
      <c r="F1837" s="1456"/>
      <c r="G1837" s="1456"/>
      <c r="H1837" s="1456"/>
      <c r="I1837" s="1456"/>
      <c r="J1837" s="1456"/>
      <c r="K1837" s="1456"/>
      <c r="L1837" s="1456"/>
      <c r="M1837" s="1456"/>
      <c r="N1837" s="1456"/>
      <c r="O1837" s="1456"/>
      <c r="P1837" s="1456"/>
      <c r="Q1837" s="1456"/>
      <c r="R1837" s="1456"/>
      <c r="S1837" s="848"/>
      <c r="T1837" s="1457" t="s">
        <v>775</v>
      </c>
      <c r="U1837" s="1457"/>
    </row>
    <row r="1838" spans="1:21" ht="18.75" customHeight="1">
      <c r="A1838" s="849"/>
      <c r="E1838" s="1458" t="s">
        <v>776</v>
      </c>
      <c r="F1838" s="1458"/>
      <c r="G1838" s="1458"/>
      <c r="H1838" s="1458"/>
      <c r="I1838" s="1458"/>
      <c r="J1838" s="1458"/>
      <c r="K1838" s="1458"/>
      <c r="L1838" s="1458"/>
      <c r="M1838" s="1458"/>
      <c r="N1838" s="1458"/>
      <c r="O1838" s="1458"/>
      <c r="P1838" s="1458"/>
      <c r="Q1838" s="1458"/>
      <c r="R1838" s="1458"/>
      <c r="U1838" s="456"/>
    </row>
    <row r="1839" spans="1:21" ht="18.75" customHeight="1">
      <c r="A1839" s="850"/>
      <c r="F1839" s="587"/>
      <c r="G1839" s="587"/>
      <c r="H1839" s="587"/>
      <c r="I1839" s="587"/>
      <c r="J1839" s="587"/>
      <c r="K1839" s="587"/>
      <c r="L1839" s="587"/>
      <c r="M1839" s="851"/>
      <c r="N1839" s="852"/>
      <c r="O1839" s="851"/>
      <c r="P1839" s="1459" t="s">
        <v>777</v>
      </c>
      <c r="Q1839" s="1459"/>
      <c r="R1839" s="1459"/>
      <c r="S1839" s="1459"/>
      <c r="T1839" s="1459"/>
      <c r="U1839" s="1459"/>
    </row>
    <row r="1840" spans="1:21" ht="15" customHeight="1">
      <c r="A1840" s="849"/>
      <c r="E1840" s="1287" t="s">
        <v>778</v>
      </c>
      <c r="F1840" s="1287"/>
      <c r="G1840" s="1287"/>
      <c r="H1840" s="1287"/>
      <c r="I1840" s="1287"/>
      <c r="J1840" s="1287"/>
      <c r="K1840" s="1287"/>
      <c r="L1840" s="1287"/>
      <c r="M1840" s="1287"/>
      <c r="N1840" s="1287"/>
      <c r="O1840" s="1287"/>
      <c r="P1840" s="1287"/>
      <c r="Q1840" s="1287"/>
      <c r="R1840" s="1287"/>
      <c r="U1840" s="456"/>
    </row>
    <row r="1841" spans="1:21" ht="18.75" customHeight="1">
      <c r="A1841" s="849"/>
      <c r="E1841" s="1286" t="s">
        <v>779</v>
      </c>
      <c r="F1841" s="1286"/>
      <c r="G1841" s="1286"/>
      <c r="H1841" s="1286"/>
      <c r="I1841" s="1286"/>
      <c r="J1841" s="1286"/>
      <c r="K1841" s="1286"/>
      <c r="L1841" s="1286"/>
      <c r="M1841" s="1286"/>
      <c r="N1841" s="1286"/>
      <c r="O1841" s="1286"/>
      <c r="P1841" s="1286"/>
      <c r="Q1841" s="1286"/>
      <c r="R1841" s="1286"/>
      <c r="U1841" s="853"/>
    </row>
    <row r="1842" spans="1:21" ht="23.25" customHeight="1">
      <c r="A1842" s="854" t="s">
        <v>780</v>
      </c>
      <c r="B1842" s="855"/>
      <c r="C1842" s="855"/>
      <c r="D1842" s="856" t="s">
        <v>878</v>
      </c>
      <c r="E1842" s="857"/>
      <c r="F1842" s="858"/>
      <c r="G1842" s="859"/>
      <c r="H1842" s="859"/>
      <c r="I1842" s="859"/>
      <c r="J1842" s="859"/>
      <c r="K1842" s="859"/>
      <c r="L1842" s="860"/>
      <c r="M1842" s="1460"/>
      <c r="N1842" s="1460"/>
      <c r="O1842" s="1460"/>
      <c r="P1842" s="1461" t="s">
        <v>781</v>
      </c>
      <c r="Q1842" s="1461"/>
      <c r="R1842" s="1461"/>
      <c r="S1842" s="855"/>
      <c r="T1842" s="861">
        <v>46323</v>
      </c>
      <c r="U1842" s="456"/>
    </row>
    <row r="1843" spans="1:21" ht="23.25" customHeight="1">
      <c r="A1843" s="854"/>
      <c r="B1843" s="862"/>
      <c r="C1843" s="862"/>
      <c r="D1843" s="862"/>
      <c r="E1843" s="163"/>
      <c r="F1843" s="863"/>
      <c r="G1843" s="863"/>
      <c r="H1843" s="863"/>
      <c r="I1843" s="863"/>
      <c r="J1843" s="863"/>
      <c r="K1843" s="863"/>
      <c r="U1843" s="456"/>
    </row>
    <row r="1844" spans="1:21" ht="21" customHeight="1">
      <c r="A1844" s="864" t="s">
        <v>782</v>
      </c>
      <c r="B1844" s="865"/>
      <c r="C1844" s="866"/>
      <c r="D1844" s="867"/>
      <c r="E1844" s="868"/>
      <c r="F1844" s="869"/>
      <c r="G1844" s="869"/>
      <c r="H1844" s="869"/>
      <c r="I1844" s="870"/>
      <c r="J1844" s="870"/>
      <c r="P1844" s="1462"/>
      <c r="Q1844" s="1462"/>
      <c r="R1844" s="1462"/>
      <c r="S1844" s="1462"/>
      <c r="T1844" s="871"/>
      <c r="U1844" s="456"/>
    </row>
    <row r="1845" spans="1:21" ht="21" customHeight="1">
      <c r="A1845" s="872"/>
      <c r="B1845" s="873"/>
      <c r="C1845" s="869"/>
      <c r="D1845" s="869"/>
      <c r="E1845" s="869"/>
      <c r="F1845" s="869"/>
      <c r="G1845" s="869"/>
      <c r="H1845" s="869"/>
      <c r="I1845" s="870"/>
      <c r="J1845" s="870"/>
      <c r="U1845" s="456"/>
    </row>
    <row r="1846" spans="1:21" ht="15" customHeight="1">
      <c r="A1846" s="1463" t="s">
        <v>783</v>
      </c>
      <c r="B1846" s="1463"/>
      <c r="C1846" s="1463"/>
      <c r="D1846" s="1463"/>
      <c r="E1846" s="1463"/>
      <c r="F1846" s="1463"/>
      <c r="G1846" s="1463"/>
      <c r="H1846" s="1463"/>
      <c r="I1846" s="1463"/>
      <c r="J1846" s="1463"/>
      <c r="K1846" s="1463"/>
      <c r="L1846" s="1463"/>
      <c r="M1846" s="1463"/>
      <c r="N1846" s="1463"/>
      <c r="O1846" s="1463"/>
      <c r="P1846" s="1463"/>
      <c r="Q1846" s="1463"/>
      <c r="R1846" s="1463"/>
      <c r="S1846" s="1463"/>
      <c r="T1846" s="1463"/>
      <c r="U1846" s="1463"/>
    </row>
    <row r="1847" spans="1:21" ht="15" customHeight="1">
      <c r="A1847" s="1463"/>
      <c r="B1847" s="1463"/>
      <c r="C1847" s="1463"/>
      <c r="D1847" s="1463"/>
      <c r="E1847" s="1463"/>
      <c r="F1847" s="1463"/>
      <c r="G1847" s="1463"/>
      <c r="H1847" s="1463"/>
      <c r="I1847" s="1463"/>
      <c r="J1847" s="1463"/>
      <c r="K1847" s="1463"/>
      <c r="L1847" s="1463"/>
      <c r="M1847" s="1463"/>
      <c r="N1847" s="1463"/>
      <c r="O1847" s="1463"/>
      <c r="P1847" s="1463"/>
      <c r="Q1847" s="1463"/>
      <c r="R1847" s="1463"/>
      <c r="S1847" s="1463"/>
      <c r="T1847" s="1463"/>
      <c r="U1847" s="1463"/>
    </row>
    <row r="1848" spans="1:21" ht="18" customHeight="1">
      <c r="A1848" s="1464" t="s">
        <v>784</v>
      </c>
      <c r="B1848" s="1464"/>
      <c r="C1848" s="1464"/>
      <c r="D1848" s="1464"/>
      <c r="E1848" s="1464"/>
      <c r="F1848" s="1464"/>
      <c r="G1848" s="1464"/>
      <c r="H1848" s="1464"/>
      <c r="I1848" s="1464"/>
      <c r="J1848" s="1464"/>
      <c r="K1848" s="1464"/>
      <c r="L1848" s="1464"/>
      <c r="M1848" s="1464"/>
      <c r="N1848" s="1464"/>
      <c r="O1848" s="1464"/>
      <c r="P1848" s="1464"/>
      <c r="Q1848" s="1464"/>
      <c r="R1848" s="1464"/>
      <c r="S1848" s="1464"/>
      <c r="T1848" s="1464"/>
      <c r="U1848" s="1464"/>
    </row>
    <row r="1849" spans="1:21" ht="23.25" customHeight="1">
      <c r="A1849" s="1465" t="s">
        <v>785</v>
      </c>
      <c r="B1849" s="1465"/>
      <c r="C1849" s="1465"/>
      <c r="D1849" s="1465"/>
      <c r="E1849" s="1465"/>
      <c r="F1849" s="1465"/>
      <c r="G1849" s="1465"/>
      <c r="H1849" s="1465"/>
      <c r="I1849" s="1465"/>
      <c r="J1849" s="1465"/>
      <c r="K1849" s="1465"/>
      <c r="L1849" s="1465"/>
      <c r="M1849" s="1465"/>
      <c r="N1849" s="1465"/>
      <c r="O1849" s="1465"/>
      <c r="P1849" s="1465"/>
      <c r="Q1849" s="1465"/>
      <c r="R1849" s="1465"/>
      <c r="S1849" s="1465"/>
      <c r="T1849" s="1465"/>
      <c r="U1849" s="1465"/>
    </row>
    <row r="1850" spans="1:21" ht="21.75" customHeight="1">
      <c r="A1850" s="874"/>
      <c r="B1850" s="875"/>
      <c r="C1850" s="875"/>
      <c r="D1850" s="875"/>
      <c r="E1850" s="875"/>
      <c r="F1850" s="875"/>
      <c r="G1850" s="875"/>
      <c r="H1850" s="875"/>
      <c r="I1850" s="875"/>
      <c r="J1850" s="875"/>
      <c r="K1850" s="875"/>
      <c r="L1850" s="875"/>
      <c r="M1850" s="875"/>
      <c r="N1850" s="875"/>
      <c r="O1850" s="875"/>
      <c r="P1850" s="875"/>
      <c r="Q1850" s="875"/>
      <c r="R1850" s="875"/>
      <c r="S1850" s="875"/>
      <c r="T1850" s="875"/>
      <c r="U1850" s="876"/>
    </row>
    <row r="1851" spans="1:21" ht="15" customHeight="1">
      <c r="A1851" s="1466" t="s">
        <v>786</v>
      </c>
      <c r="B1851" s="1467" t="s">
        <v>787</v>
      </c>
      <c r="C1851" s="1468" t="s">
        <v>788</v>
      </c>
      <c r="D1851" s="1468" t="s">
        <v>789</v>
      </c>
      <c r="E1851" s="1469" t="s">
        <v>790</v>
      </c>
      <c r="F1851" s="1468" t="s">
        <v>791</v>
      </c>
      <c r="G1851" s="1468"/>
      <c r="H1851" s="1468"/>
      <c r="I1851" s="1468"/>
      <c r="J1851" s="1468"/>
      <c r="K1851" s="1468"/>
      <c r="L1851" s="1468"/>
      <c r="M1851" s="1468"/>
      <c r="N1851" s="1468"/>
      <c r="O1851" s="1468"/>
      <c r="P1851" s="1470"/>
      <c r="Q1851" s="1470"/>
      <c r="R1851" s="1470"/>
      <c r="S1851" s="1470"/>
      <c r="T1851" s="1470"/>
      <c r="U1851" s="1470"/>
    </row>
    <row r="1852" spans="1:21" ht="15.75" customHeight="1">
      <c r="A1852" s="1466"/>
      <c r="B1852" s="1467"/>
      <c r="C1852" s="1468"/>
      <c r="D1852" s="1468"/>
      <c r="E1852" s="1469"/>
      <c r="F1852" s="1468"/>
      <c r="G1852" s="1468"/>
      <c r="H1852" s="1468"/>
      <c r="I1852" s="1468"/>
      <c r="J1852" s="1468"/>
      <c r="K1852" s="1468"/>
      <c r="L1852" s="1468"/>
      <c r="M1852" s="1468"/>
      <c r="N1852" s="1468"/>
      <c r="O1852" s="1468"/>
      <c r="P1852" s="1470"/>
      <c r="Q1852" s="1470"/>
      <c r="R1852" s="1470"/>
      <c r="S1852" s="1470"/>
      <c r="T1852" s="1470"/>
      <c r="U1852" s="1470"/>
    </row>
    <row r="1853" spans="1:21" ht="48" customHeight="1">
      <c r="A1853" s="1466"/>
      <c r="B1853" s="1467"/>
      <c r="C1853" s="1468"/>
      <c r="D1853" s="1468"/>
      <c r="E1853" s="1469"/>
      <c r="F1853" s="878" t="s">
        <v>792</v>
      </c>
      <c r="G1853" s="877" t="s">
        <v>793</v>
      </c>
      <c r="H1853" s="878" t="s">
        <v>794</v>
      </c>
      <c r="I1853" s="879" t="s">
        <v>795</v>
      </c>
      <c r="J1853" s="880" t="s">
        <v>796</v>
      </c>
      <c r="K1853" s="1468" t="s">
        <v>797</v>
      </c>
      <c r="L1853" s="1468"/>
      <c r="M1853" s="1468"/>
      <c r="N1853" s="1468"/>
      <c r="O1853" s="1468"/>
      <c r="P1853" s="881" t="s">
        <v>798</v>
      </c>
      <c r="Q1853" s="882" t="s">
        <v>799</v>
      </c>
      <c r="R1853" s="1469" t="s">
        <v>800</v>
      </c>
      <c r="S1853" s="1469"/>
      <c r="T1853" s="877" t="s">
        <v>801</v>
      </c>
      <c r="U1853" s="879" t="s">
        <v>104</v>
      </c>
    </row>
    <row r="1854" spans="1:21" ht="19.5" customHeight="1">
      <c r="A1854" s="883"/>
      <c r="B1854" s="884" t="str">
        <f>IF('BIS Doc'!AC871=130, "130 × 130", IF('BIS Doc'!AC871=160, "160 × 160", IF('BIS Doc'!AC871=110, "110 × 110", "Value not 130, 160, or 110")))</f>
        <v>Value not 130, 160, or 110</v>
      </c>
      <c r="C1854" s="885">
        <f>'BIS Doc'!W871</f>
        <v>0</v>
      </c>
      <c r="D1854" s="886"/>
      <c r="E1854" s="887">
        <f>'BIS Doc'!AE871</f>
        <v>0</v>
      </c>
      <c r="F1854" s="888">
        <f ca="1">'BIS Doc'!F871</f>
        <v>0</v>
      </c>
      <c r="G1854" s="888">
        <f ca="1">'BIS Doc'!J871</f>
        <v>0</v>
      </c>
      <c r="H1854" s="888">
        <f ca="1">'BIS Doc'!G871</f>
        <v>0.58983945552815309</v>
      </c>
      <c r="I1854" s="889">
        <f ca="1">'BIS Doc'!H871</f>
        <v>0</v>
      </c>
      <c r="J1854" s="889">
        <f ca="1">'BIS Doc'!I871</f>
        <v>0</v>
      </c>
      <c r="K1854" s="1449" t="str">
        <f t="shared" ref="K1854:K1859" ca="1" si="53">IF(H1854&lt;0.6, "IS 14650 CPS 10748/GR2", "IS 14650 CPS 10748/GR3")</f>
        <v>IS 14650 CPS 10748/GR2</v>
      </c>
      <c r="L1854" s="1449"/>
      <c r="M1854" s="1449"/>
      <c r="N1854" s="1449"/>
      <c r="O1854" s="1449"/>
      <c r="P1854" s="890"/>
      <c r="Q1854" s="891"/>
      <c r="R1854" s="1449"/>
      <c r="S1854" s="1449"/>
      <c r="T1854" s="892"/>
      <c r="U1854" s="1450" t="s">
        <v>802</v>
      </c>
    </row>
    <row r="1855" spans="1:21" ht="19.5" customHeight="1">
      <c r="A1855" s="893"/>
      <c r="B1855" s="894" t="str">
        <f>IF('BIS Doc'!AC873=130, "130 × 130", IF('BIS Doc'!AC873=160, "160 × 160", IF('BIS Doc'!AC873=110, "110 × 110", "Value not 130, 160, or 110")))</f>
        <v>Value not 130, 160, or 110</v>
      </c>
      <c r="C1855" s="895">
        <f>'BIS Doc'!W873</f>
        <v>0</v>
      </c>
      <c r="D1855" s="896"/>
      <c r="E1855" s="897">
        <f>'BIS Doc'!AE873</f>
        <v>0</v>
      </c>
      <c r="F1855" s="898">
        <f ca="1">'BIS Doc'!F873</f>
        <v>0</v>
      </c>
      <c r="G1855" s="899">
        <f ca="1">'BIS Doc'!J873</f>
        <v>0</v>
      </c>
      <c r="H1855" s="900">
        <f ca="1">'BIS Doc'!G873</f>
        <v>0.50546903092121487</v>
      </c>
      <c r="I1855" s="901">
        <f ca="1">'BIS Doc'!H873</f>
        <v>0</v>
      </c>
      <c r="J1855" s="901">
        <f ca="1">'BIS Doc'!I873</f>
        <v>0</v>
      </c>
      <c r="K1855" s="1451" t="str">
        <f t="shared" ca="1" si="53"/>
        <v>IS 14650 CPS 10748/GR2</v>
      </c>
      <c r="L1855" s="1451"/>
      <c r="M1855" s="1451"/>
      <c r="N1855" s="1451"/>
      <c r="O1855" s="1451"/>
      <c r="P1855" s="902"/>
      <c r="Q1855" s="903"/>
      <c r="R1855" s="1451"/>
      <c r="S1855" s="1451"/>
      <c r="T1855" s="904"/>
      <c r="U1855" s="1450"/>
    </row>
    <row r="1856" spans="1:21" ht="19.5" customHeight="1">
      <c r="A1856" s="864"/>
      <c r="B1856" s="894" t="str">
        <f>IF('BIS Doc'!AC875=130, "130 × 130", IF('BIS Doc'!AC875=160, "160 × 160", IF('BIS Doc'!AC875=110, "110 × 110", "Value not 130, 160, or 110")))</f>
        <v>Value not 130, 160, or 110</v>
      </c>
      <c r="C1856" s="895">
        <f>'BIS Doc'!W875</f>
        <v>0</v>
      </c>
      <c r="D1856" s="896" t="s">
        <v>803</v>
      </c>
      <c r="E1856" s="897">
        <f>'BIS Doc'!AE875</f>
        <v>0</v>
      </c>
      <c r="F1856" s="898">
        <f ca="1">'BIS Doc'!F875</f>
        <v>0</v>
      </c>
      <c r="G1856" s="899">
        <f ca="1">'BIS Doc'!J875</f>
        <v>0</v>
      </c>
      <c r="H1856" s="900">
        <f ca="1">'BIS Doc'!G875</f>
        <v>0.54396623657346976</v>
      </c>
      <c r="I1856" s="901">
        <f ca="1">'BIS Doc'!H875</f>
        <v>0</v>
      </c>
      <c r="J1856" s="901">
        <f ca="1">'BIS Doc'!I875</f>
        <v>0</v>
      </c>
      <c r="K1856" s="1451" t="str">
        <f t="shared" ca="1" si="53"/>
        <v>IS 14650 CPS 10748/GR2</v>
      </c>
      <c r="L1856" s="1451"/>
      <c r="M1856" s="1451"/>
      <c r="N1856" s="1451"/>
      <c r="O1856" s="1451"/>
      <c r="P1856" s="902"/>
      <c r="Q1856" s="905"/>
      <c r="R1856" s="1451"/>
      <c r="S1856" s="1451"/>
      <c r="T1856" s="904"/>
      <c r="U1856" s="1450"/>
    </row>
    <row r="1857" spans="1:21" ht="19.5" customHeight="1">
      <c r="A1857" s="864"/>
      <c r="B1857" s="894" t="str">
        <f>IF('BIS Doc'!AC877=130, "130 × 130", IF('BIS Doc'!AC877=160, "160 × 160", IF('BIS Doc'!AC877=110, "110 × 110", "Value not 130, 160, or 110")))</f>
        <v>Value not 130, 160, or 110</v>
      </c>
      <c r="C1857" s="895">
        <f>'BIS Doc'!W877</f>
        <v>0</v>
      </c>
      <c r="D1857" s="896"/>
      <c r="E1857" s="897">
        <f>'BIS Doc'!AE877</f>
        <v>0</v>
      </c>
      <c r="F1857" s="898">
        <f ca="1">'BIS Doc'!F877</f>
        <v>0</v>
      </c>
      <c r="G1857" s="899">
        <f ca="1">'BIS Doc'!J877</f>
        <v>0</v>
      </c>
      <c r="H1857" s="900">
        <f ca="1">'BIS Doc'!G877</f>
        <v>0.56512576113513247</v>
      </c>
      <c r="I1857" s="901">
        <f ca="1">'BIS Doc'!H877</f>
        <v>0</v>
      </c>
      <c r="J1857" s="901">
        <f ca="1">'BIS Doc'!I877</f>
        <v>0</v>
      </c>
      <c r="K1857" s="1451" t="str">
        <f t="shared" ca="1" si="53"/>
        <v>IS 14650 CPS 10748/GR2</v>
      </c>
      <c r="L1857" s="1451"/>
      <c r="M1857" s="1451"/>
      <c r="N1857" s="1451"/>
      <c r="O1857" s="1451"/>
      <c r="P1857" s="902"/>
      <c r="Q1857" s="905"/>
      <c r="R1857" s="1451"/>
      <c r="S1857" s="1451"/>
      <c r="T1857" s="904"/>
      <c r="U1857" s="1450"/>
    </row>
    <row r="1858" spans="1:21" ht="19.5" customHeight="1">
      <c r="A1858" s="864"/>
      <c r="B1858" s="894" t="str">
        <f>IF('BIS Doc'!AC879=130, "130 × 130", IF('BIS Doc'!AC879=160, "160 × 160", IF('BIS Doc'!AC879=110, "110 × 110", "Value not 130, 160, or 110")))</f>
        <v>Value not 130, 160, or 110</v>
      </c>
      <c r="C1858" s="895">
        <f>'BIS Doc'!W879</f>
        <v>0</v>
      </c>
      <c r="D1858" s="896"/>
      <c r="E1858" s="897">
        <f>'BIS Doc'!AE879</f>
        <v>0</v>
      </c>
      <c r="F1858" s="898">
        <f ca="1">'BIS Doc'!F879</f>
        <v>0</v>
      </c>
      <c r="G1858" s="899">
        <f ca="1">'BIS Doc'!J879</f>
        <v>0</v>
      </c>
      <c r="H1858" s="900">
        <f ca="1">'BIS Doc'!G879</f>
        <v>0.58182233125028393</v>
      </c>
      <c r="I1858" s="901">
        <f ca="1">'BIS Doc'!H879</f>
        <v>0</v>
      </c>
      <c r="J1858" s="901">
        <f ca="1">'BIS Doc'!I879</f>
        <v>0</v>
      </c>
      <c r="K1858" s="1451" t="str">
        <f t="shared" ca="1" si="53"/>
        <v>IS 14650 CPS 10748/GR2</v>
      </c>
      <c r="L1858" s="1451"/>
      <c r="M1858" s="1451"/>
      <c r="N1858" s="1451"/>
      <c r="O1858" s="1451"/>
      <c r="P1858" s="902"/>
      <c r="Q1858" s="905"/>
      <c r="R1858" s="1451"/>
      <c r="S1858" s="1451"/>
      <c r="T1858" s="904"/>
      <c r="U1858" s="1450"/>
    </row>
    <row r="1859" spans="1:21" ht="19.5" customHeight="1">
      <c r="A1859" s="864"/>
      <c r="B1859" s="894" t="str">
        <f>IF('BIS Doc'!AC881=130, "130 × 130", IF('BIS Doc'!AC881=160, "160 × 160", IF('BIS Doc'!AC881=110, "110 × 110", "Value not 130, 160, or 110")))</f>
        <v>Value not 130, 160, or 110</v>
      </c>
      <c r="C1859" s="895">
        <f>'BIS Doc'!W881</f>
        <v>0</v>
      </c>
      <c r="D1859" s="896"/>
      <c r="E1859" s="897">
        <f>'BIS Doc'!AE881</f>
        <v>0</v>
      </c>
      <c r="F1859" s="898">
        <f ca="1">'BIS Doc'!F881</f>
        <v>0</v>
      </c>
      <c r="G1859" s="899">
        <f ca="1">'BIS Doc'!J881</f>
        <v>0</v>
      </c>
      <c r="H1859" s="900">
        <f ca="1">'BIS Doc'!G881</f>
        <v>0.55819925922072655</v>
      </c>
      <c r="I1859" s="901">
        <f ca="1">'BIS Doc'!H881</f>
        <v>0</v>
      </c>
      <c r="J1859" s="901">
        <f ca="1">'BIS Doc'!I881</f>
        <v>0</v>
      </c>
      <c r="K1859" s="1451" t="str">
        <f t="shared" ca="1" si="53"/>
        <v>IS 14650 CPS 10748/GR2</v>
      </c>
      <c r="L1859" s="1451"/>
      <c r="M1859" s="1451"/>
      <c r="N1859" s="1451"/>
      <c r="O1859" s="1451"/>
      <c r="P1859" s="902"/>
      <c r="Q1859" s="903"/>
      <c r="R1859" s="1451"/>
      <c r="S1859" s="1451"/>
      <c r="T1859" s="904"/>
      <c r="U1859" s="1450"/>
    </row>
    <row r="1860" spans="1:21" ht="19.5" customHeight="1">
      <c r="A1860" s="864"/>
      <c r="B1860" s="904"/>
      <c r="C1860" s="895"/>
      <c r="D1860" s="896"/>
      <c r="E1860" s="897"/>
      <c r="F1860" s="906"/>
      <c r="G1860" s="907"/>
      <c r="H1860" s="908"/>
      <c r="I1860" s="909"/>
      <c r="J1860" s="909"/>
      <c r="K1860" s="1451"/>
      <c r="L1860" s="1451"/>
      <c r="M1860" s="1451"/>
      <c r="N1860" s="1451"/>
      <c r="O1860" s="1451"/>
      <c r="P1860" s="902"/>
      <c r="Q1860" s="903"/>
      <c r="R1860" s="1451"/>
      <c r="S1860" s="1451"/>
      <c r="T1860" s="904"/>
      <c r="U1860" s="1450"/>
    </row>
    <row r="1861" spans="1:21" ht="19.5" customHeight="1">
      <c r="A1861" s="864"/>
      <c r="B1861" s="904"/>
      <c r="C1861" s="895"/>
      <c r="D1861" s="896"/>
      <c r="E1861" s="897"/>
      <c r="F1861" s="906"/>
      <c r="G1861" s="907"/>
      <c r="H1861" s="908"/>
      <c r="I1861" s="909"/>
      <c r="J1861" s="909"/>
      <c r="K1861" s="1451"/>
      <c r="L1861" s="1451"/>
      <c r="M1861" s="1451"/>
      <c r="N1861" s="1451"/>
      <c r="O1861" s="1451"/>
      <c r="P1861" s="902"/>
      <c r="Q1861" s="905"/>
      <c r="R1861" s="1451"/>
      <c r="S1861" s="1451"/>
      <c r="T1861" s="904"/>
      <c r="U1861" s="1450"/>
    </row>
    <row r="1862" spans="1:21" ht="19.5" customHeight="1">
      <c r="A1862" s="864"/>
      <c r="B1862" s="910"/>
      <c r="C1862" s="911"/>
      <c r="D1862" s="896"/>
      <c r="E1862" s="897"/>
      <c r="F1862" s="906"/>
      <c r="G1862" s="907"/>
      <c r="H1862" s="908"/>
      <c r="I1862" s="909"/>
      <c r="J1862" s="909"/>
      <c r="K1862" s="1451"/>
      <c r="L1862" s="1451"/>
      <c r="M1862" s="1451"/>
      <c r="N1862" s="1451"/>
      <c r="O1862" s="1451"/>
      <c r="P1862" s="912"/>
      <c r="Q1862" s="913"/>
      <c r="R1862" s="1452"/>
      <c r="S1862" s="1452"/>
      <c r="T1862" s="910"/>
      <c r="U1862" s="1450"/>
    </row>
    <row r="1863" spans="1:21" ht="19.5" customHeight="1">
      <c r="A1863" s="914"/>
      <c r="B1863" s="915"/>
      <c r="C1863" s="916"/>
      <c r="D1863" s="917"/>
      <c r="E1863" s="918">
        <f>SUM(E1854:E1859)</f>
        <v>0</v>
      </c>
      <c r="F1863" s="919"/>
      <c r="G1863" s="920"/>
      <c r="H1863" s="921"/>
      <c r="I1863" s="922"/>
      <c r="J1863" s="922"/>
      <c r="K1863" s="1453"/>
      <c r="L1863" s="1453"/>
      <c r="M1863" s="1453"/>
      <c r="N1863" s="1453"/>
      <c r="O1863" s="1453"/>
      <c r="P1863" s="923"/>
      <c r="Q1863" s="924"/>
      <c r="R1863" s="1454"/>
      <c r="S1863" s="1454"/>
      <c r="T1863" s="915"/>
      <c r="U1863" s="1450"/>
    </row>
    <row r="1864" spans="1:21" ht="15.75" customHeight="1">
      <c r="A1864" s="864"/>
      <c r="B1864" s="773"/>
      <c r="C1864" s="773"/>
      <c r="D1864" s="925"/>
      <c r="E1864" s="926"/>
      <c r="F1864" s="927"/>
      <c r="G1864" s="928"/>
      <c r="H1864" s="259"/>
      <c r="I1864" s="259"/>
      <c r="J1864" s="928"/>
      <c r="K1864" s="929"/>
      <c r="L1864" s="929"/>
      <c r="M1864" s="929"/>
      <c r="N1864" s="929"/>
      <c r="O1864" s="928"/>
      <c r="P1864" s="930"/>
      <c r="Q1864" s="931"/>
      <c r="R1864" s="931"/>
      <c r="U1864" s="932"/>
    </row>
    <row r="1865" spans="1:21" ht="18.75" customHeight="1">
      <c r="A1865" s="864"/>
      <c r="B1865" s="773"/>
      <c r="C1865" s="773"/>
      <c r="D1865" s="773"/>
      <c r="E1865" s="773"/>
      <c r="F1865" s="773"/>
      <c r="G1865" s="773"/>
      <c r="H1865" s="773"/>
      <c r="I1865" s="773"/>
      <c r="J1865" s="773"/>
      <c r="K1865" s="773"/>
      <c r="P1865" s="1446" t="s">
        <v>804</v>
      </c>
      <c r="Q1865" s="1446"/>
      <c r="R1865" s="1446"/>
      <c r="S1865" s="1446"/>
      <c r="T1865" s="1446"/>
      <c r="U1865" s="1446"/>
    </row>
    <row r="1866" spans="1:21" ht="18.75" customHeight="1">
      <c r="A1866" s="1447" t="s">
        <v>805</v>
      </c>
      <c r="B1866" s="1447"/>
      <c r="C1866" s="933"/>
      <c r="D1866" s="933"/>
      <c r="E1866" s="933"/>
      <c r="F1866" s="933"/>
      <c r="P1866" s="855"/>
      <c r="Q1866" s="855"/>
      <c r="R1866" s="855"/>
      <c r="S1866" s="855"/>
      <c r="T1866" s="855"/>
      <c r="U1866" s="934"/>
    </row>
    <row r="1867" spans="1:21" ht="18.75" customHeight="1">
      <c r="A1867" s="854"/>
      <c r="B1867" s="855"/>
      <c r="P1867" s="855"/>
      <c r="Q1867" s="855"/>
      <c r="R1867" s="855"/>
      <c r="S1867" s="855"/>
      <c r="T1867" s="855"/>
      <c r="U1867" s="934"/>
    </row>
    <row r="1868" spans="1:21" ht="18.75" customHeight="1">
      <c r="A1868" s="854" t="s">
        <v>806</v>
      </c>
      <c r="B1868" s="855"/>
      <c r="C1868" s="867"/>
      <c r="D1868" s="941"/>
      <c r="E1868" s="933"/>
      <c r="F1868" s="933"/>
      <c r="P1868" s="855"/>
      <c r="Q1868" s="855"/>
      <c r="R1868" s="855"/>
      <c r="S1868" s="855"/>
      <c r="T1868" s="855"/>
      <c r="U1868" s="934"/>
    </row>
    <row r="1869" spans="1:21" ht="18.75" customHeight="1">
      <c r="A1869" s="854"/>
      <c r="B1869" s="855"/>
      <c r="C1869" s="937"/>
      <c r="P1869" s="855"/>
      <c r="Q1869" s="855"/>
      <c r="R1869" s="855"/>
      <c r="S1869" s="855"/>
      <c r="T1869" s="855"/>
      <c r="U1869" s="934"/>
    </row>
    <row r="1870" spans="1:21" ht="19.5" customHeight="1">
      <c r="A1870" s="938"/>
      <c r="B1870" s="939"/>
      <c r="C1870" s="940"/>
      <c r="D1870" s="453"/>
      <c r="E1870" s="453"/>
      <c r="F1870" s="453"/>
      <c r="G1870" s="453"/>
      <c r="H1870" s="453"/>
      <c r="I1870" s="453"/>
      <c r="J1870" s="453"/>
      <c r="K1870" s="453"/>
      <c r="L1870" s="453"/>
      <c r="M1870" s="453"/>
      <c r="N1870" s="453"/>
      <c r="O1870" s="453"/>
      <c r="P1870" s="1448" t="s">
        <v>807</v>
      </c>
      <c r="Q1870" s="1448"/>
      <c r="R1870" s="1448"/>
      <c r="S1870" s="1448"/>
      <c r="T1870" s="1448"/>
      <c r="U1870" s="1448"/>
    </row>
    <row r="1871" spans="1:21" ht="45.75" customHeight="1">
      <c r="A1871" s="1455"/>
      <c r="B1871" s="1455"/>
      <c r="C1871" s="1455"/>
      <c r="D1871" s="847"/>
      <c r="E1871" s="1456" t="s">
        <v>774</v>
      </c>
      <c r="F1871" s="1456"/>
      <c r="G1871" s="1456"/>
      <c r="H1871" s="1456"/>
      <c r="I1871" s="1456"/>
      <c r="J1871" s="1456"/>
      <c r="K1871" s="1456"/>
      <c r="L1871" s="1456"/>
      <c r="M1871" s="1456"/>
      <c r="N1871" s="1456"/>
      <c r="O1871" s="1456"/>
      <c r="P1871" s="1456"/>
      <c r="Q1871" s="1456"/>
      <c r="R1871" s="1456"/>
      <c r="S1871" s="848"/>
      <c r="T1871" s="1457" t="s">
        <v>775</v>
      </c>
      <c r="U1871" s="1457"/>
    </row>
    <row r="1872" spans="1:21" ht="18.75" customHeight="1">
      <c r="A1872" s="849"/>
      <c r="E1872" s="1458" t="s">
        <v>776</v>
      </c>
      <c r="F1872" s="1458"/>
      <c r="G1872" s="1458"/>
      <c r="H1872" s="1458"/>
      <c r="I1872" s="1458"/>
      <c r="J1872" s="1458"/>
      <c r="K1872" s="1458"/>
      <c r="L1872" s="1458"/>
      <c r="M1872" s="1458"/>
      <c r="N1872" s="1458"/>
      <c r="O1872" s="1458"/>
      <c r="P1872" s="1458"/>
      <c r="Q1872" s="1458"/>
      <c r="R1872" s="1458"/>
      <c r="U1872" s="456"/>
    </row>
    <row r="1873" spans="1:21" ht="18.75" customHeight="1">
      <c r="A1873" s="850"/>
      <c r="F1873" s="587"/>
      <c r="G1873" s="587"/>
      <c r="H1873" s="587"/>
      <c r="I1873" s="587"/>
      <c r="J1873" s="587"/>
      <c r="K1873" s="587"/>
      <c r="L1873" s="587"/>
      <c r="M1873" s="851"/>
      <c r="N1873" s="852"/>
      <c r="O1873" s="851"/>
      <c r="P1873" s="1459" t="s">
        <v>777</v>
      </c>
      <c r="Q1873" s="1459"/>
      <c r="R1873" s="1459"/>
      <c r="S1873" s="1459"/>
      <c r="T1873" s="1459"/>
      <c r="U1873" s="1459"/>
    </row>
    <row r="1874" spans="1:21" ht="15" customHeight="1">
      <c r="A1874" s="849"/>
      <c r="E1874" s="1287" t="s">
        <v>778</v>
      </c>
      <c r="F1874" s="1287"/>
      <c r="G1874" s="1287"/>
      <c r="H1874" s="1287"/>
      <c r="I1874" s="1287"/>
      <c r="J1874" s="1287"/>
      <c r="K1874" s="1287"/>
      <c r="L1874" s="1287"/>
      <c r="M1874" s="1287"/>
      <c r="N1874" s="1287"/>
      <c r="O1874" s="1287"/>
      <c r="P1874" s="1287"/>
      <c r="Q1874" s="1287"/>
      <c r="R1874" s="1287"/>
      <c r="U1874" s="456"/>
    </row>
    <row r="1875" spans="1:21" ht="18.75" customHeight="1">
      <c r="A1875" s="849"/>
      <c r="E1875" s="1286" t="s">
        <v>779</v>
      </c>
      <c r="F1875" s="1286"/>
      <c r="G1875" s="1286"/>
      <c r="H1875" s="1286"/>
      <c r="I1875" s="1286"/>
      <c r="J1875" s="1286"/>
      <c r="K1875" s="1286"/>
      <c r="L1875" s="1286"/>
      <c r="M1875" s="1286"/>
      <c r="N1875" s="1286"/>
      <c r="O1875" s="1286"/>
      <c r="P1875" s="1286"/>
      <c r="Q1875" s="1286"/>
      <c r="R1875" s="1286"/>
      <c r="U1875" s="853"/>
    </row>
    <row r="1876" spans="1:21" ht="23.25" customHeight="1">
      <c r="A1876" s="854" t="s">
        <v>780</v>
      </c>
      <c r="B1876" s="855"/>
      <c r="C1876" s="855"/>
      <c r="D1876" s="856" t="s">
        <v>879</v>
      </c>
      <c r="E1876" s="857"/>
      <c r="F1876" s="858"/>
      <c r="G1876" s="859"/>
      <c r="H1876" s="859"/>
      <c r="I1876" s="859"/>
      <c r="J1876" s="859"/>
      <c r="K1876" s="859"/>
      <c r="L1876" s="860"/>
      <c r="M1876" s="1460"/>
      <c r="N1876" s="1460"/>
      <c r="O1876" s="1460"/>
      <c r="P1876" s="1461" t="s">
        <v>781</v>
      </c>
      <c r="Q1876" s="1461"/>
      <c r="R1876" s="1461"/>
      <c r="S1876" s="855"/>
      <c r="T1876" s="861">
        <v>46323</v>
      </c>
      <c r="U1876" s="456"/>
    </row>
    <row r="1877" spans="1:21" ht="23.25" customHeight="1">
      <c r="A1877" s="854"/>
      <c r="B1877" s="862"/>
      <c r="C1877" s="862"/>
      <c r="D1877" s="862"/>
      <c r="E1877" s="163"/>
      <c r="F1877" s="863"/>
      <c r="G1877" s="863"/>
      <c r="H1877" s="863"/>
      <c r="I1877" s="863"/>
      <c r="J1877" s="863"/>
      <c r="K1877" s="863"/>
      <c r="U1877" s="456"/>
    </row>
    <row r="1878" spans="1:21" ht="21" customHeight="1">
      <c r="A1878" s="864" t="s">
        <v>782</v>
      </c>
      <c r="B1878" s="865"/>
      <c r="C1878" s="866"/>
      <c r="D1878" s="867"/>
      <c r="E1878" s="868"/>
      <c r="F1878" s="869"/>
      <c r="G1878" s="869"/>
      <c r="H1878" s="869"/>
      <c r="I1878" s="870"/>
      <c r="J1878" s="870"/>
      <c r="P1878" s="1462"/>
      <c r="Q1878" s="1462"/>
      <c r="R1878" s="1462"/>
      <c r="S1878" s="1462"/>
      <c r="T1878" s="871"/>
      <c r="U1878" s="456"/>
    </row>
    <row r="1879" spans="1:21" ht="21" customHeight="1">
      <c r="A1879" s="872"/>
      <c r="B1879" s="873"/>
      <c r="C1879" s="869"/>
      <c r="D1879" s="869"/>
      <c r="E1879" s="869"/>
      <c r="F1879" s="869"/>
      <c r="G1879" s="869"/>
      <c r="H1879" s="869"/>
      <c r="I1879" s="870"/>
      <c r="J1879" s="870"/>
      <c r="U1879" s="456"/>
    </row>
    <row r="1880" spans="1:21" ht="15" customHeight="1">
      <c r="A1880" s="1463" t="s">
        <v>783</v>
      </c>
      <c r="B1880" s="1463"/>
      <c r="C1880" s="1463"/>
      <c r="D1880" s="1463"/>
      <c r="E1880" s="1463"/>
      <c r="F1880" s="1463"/>
      <c r="G1880" s="1463"/>
      <c r="H1880" s="1463"/>
      <c r="I1880" s="1463"/>
      <c r="J1880" s="1463"/>
      <c r="K1880" s="1463"/>
      <c r="L1880" s="1463"/>
      <c r="M1880" s="1463"/>
      <c r="N1880" s="1463"/>
      <c r="O1880" s="1463"/>
      <c r="P1880" s="1463"/>
      <c r="Q1880" s="1463"/>
      <c r="R1880" s="1463"/>
      <c r="S1880" s="1463"/>
      <c r="T1880" s="1463"/>
      <c r="U1880" s="1463"/>
    </row>
    <row r="1881" spans="1:21" ht="15" customHeight="1">
      <c r="A1881" s="1463"/>
      <c r="B1881" s="1463"/>
      <c r="C1881" s="1463"/>
      <c r="D1881" s="1463"/>
      <c r="E1881" s="1463"/>
      <c r="F1881" s="1463"/>
      <c r="G1881" s="1463"/>
      <c r="H1881" s="1463"/>
      <c r="I1881" s="1463"/>
      <c r="J1881" s="1463"/>
      <c r="K1881" s="1463"/>
      <c r="L1881" s="1463"/>
      <c r="M1881" s="1463"/>
      <c r="N1881" s="1463"/>
      <c r="O1881" s="1463"/>
      <c r="P1881" s="1463"/>
      <c r="Q1881" s="1463"/>
      <c r="R1881" s="1463"/>
      <c r="S1881" s="1463"/>
      <c r="T1881" s="1463"/>
      <c r="U1881" s="1463"/>
    </row>
    <row r="1882" spans="1:21" ht="18" customHeight="1">
      <c r="A1882" s="1464" t="s">
        <v>784</v>
      </c>
      <c r="B1882" s="1464"/>
      <c r="C1882" s="1464"/>
      <c r="D1882" s="1464"/>
      <c r="E1882" s="1464"/>
      <c r="F1882" s="1464"/>
      <c r="G1882" s="1464"/>
      <c r="H1882" s="1464"/>
      <c r="I1882" s="1464"/>
      <c r="J1882" s="1464"/>
      <c r="K1882" s="1464"/>
      <c r="L1882" s="1464"/>
      <c r="M1882" s="1464"/>
      <c r="N1882" s="1464"/>
      <c r="O1882" s="1464"/>
      <c r="P1882" s="1464"/>
      <c r="Q1882" s="1464"/>
      <c r="R1882" s="1464"/>
      <c r="S1882" s="1464"/>
      <c r="T1882" s="1464"/>
      <c r="U1882" s="1464"/>
    </row>
    <row r="1883" spans="1:21" ht="23.25" customHeight="1">
      <c r="A1883" s="1465" t="s">
        <v>785</v>
      </c>
      <c r="B1883" s="1465"/>
      <c r="C1883" s="1465"/>
      <c r="D1883" s="1465"/>
      <c r="E1883" s="1465"/>
      <c r="F1883" s="1465"/>
      <c r="G1883" s="1465"/>
      <c r="H1883" s="1465"/>
      <c r="I1883" s="1465"/>
      <c r="J1883" s="1465"/>
      <c r="K1883" s="1465"/>
      <c r="L1883" s="1465"/>
      <c r="M1883" s="1465"/>
      <c r="N1883" s="1465"/>
      <c r="O1883" s="1465"/>
      <c r="P1883" s="1465"/>
      <c r="Q1883" s="1465"/>
      <c r="R1883" s="1465"/>
      <c r="S1883" s="1465"/>
      <c r="T1883" s="1465"/>
      <c r="U1883" s="1465"/>
    </row>
    <row r="1884" spans="1:21" ht="21.75" customHeight="1">
      <c r="A1884" s="874"/>
      <c r="B1884" s="875"/>
      <c r="C1884" s="875"/>
      <c r="D1884" s="875"/>
      <c r="E1884" s="875"/>
      <c r="F1884" s="875"/>
      <c r="G1884" s="875"/>
      <c r="H1884" s="875"/>
      <c r="I1884" s="875"/>
      <c r="J1884" s="875"/>
      <c r="K1884" s="875"/>
      <c r="L1884" s="875"/>
      <c r="M1884" s="875"/>
      <c r="N1884" s="875"/>
      <c r="O1884" s="875"/>
      <c r="P1884" s="875"/>
      <c r="Q1884" s="875"/>
      <c r="R1884" s="875"/>
      <c r="S1884" s="875"/>
      <c r="T1884" s="875"/>
      <c r="U1884" s="876"/>
    </row>
    <row r="1885" spans="1:21" ht="15" customHeight="1">
      <c r="A1885" s="1466" t="s">
        <v>786</v>
      </c>
      <c r="B1885" s="1467" t="s">
        <v>787</v>
      </c>
      <c r="C1885" s="1468" t="s">
        <v>788</v>
      </c>
      <c r="D1885" s="1468" t="s">
        <v>789</v>
      </c>
      <c r="E1885" s="1469" t="s">
        <v>790</v>
      </c>
      <c r="F1885" s="1468" t="s">
        <v>791</v>
      </c>
      <c r="G1885" s="1468"/>
      <c r="H1885" s="1468"/>
      <c r="I1885" s="1468"/>
      <c r="J1885" s="1468"/>
      <c r="K1885" s="1468"/>
      <c r="L1885" s="1468"/>
      <c r="M1885" s="1468"/>
      <c r="N1885" s="1468"/>
      <c r="O1885" s="1468"/>
      <c r="P1885" s="1470"/>
      <c r="Q1885" s="1470"/>
      <c r="R1885" s="1470"/>
      <c r="S1885" s="1470"/>
      <c r="T1885" s="1470"/>
      <c r="U1885" s="1470"/>
    </row>
    <row r="1886" spans="1:21" ht="15.75" customHeight="1">
      <c r="A1886" s="1466"/>
      <c r="B1886" s="1467"/>
      <c r="C1886" s="1468"/>
      <c r="D1886" s="1468"/>
      <c r="E1886" s="1469"/>
      <c r="F1886" s="1468"/>
      <c r="G1886" s="1468"/>
      <c r="H1886" s="1468"/>
      <c r="I1886" s="1468"/>
      <c r="J1886" s="1468"/>
      <c r="K1886" s="1468"/>
      <c r="L1886" s="1468"/>
      <c r="M1886" s="1468"/>
      <c r="N1886" s="1468"/>
      <c r="O1886" s="1468"/>
      <c r="P1886" s="1470"/>
      <c r="Q1886" s="1470"/>
      <c r="R1886" s="1470"/>
      <c r="S1886" s="1470"/>
      <c r="T1886" s="1470"/>
      <c r="U1886" s="1470"/>
    </row>
    <row r="1887" spans="1:21" ht="48" customHeight="1">
      <c r="A1887" s="1466"/>
      <c r="B1887" s="1467"/>
      <c r="C1887" s="1468"/>
      <c r="D1887" s="1468"/>
      <c r="E1887" s="1469"/>
      <c r="F1887" s="878" t="s">
        <v>792</v>
      </c>
      <c r="G1887" s="877" t="s">
        <v>793</v>
      </c>
      <c r="H1887" s="878" t="s">
        <v>794</v>
      </c>
      <c r="I1887" s="879" t="s">
        <v>795</v>
      </c>
      <c r="J1887" s="880" t="s">
        <v>796</v>
      </c>
      <c r="K1887" s="1468" t="s">
        <v>797</v>
      </c>
      <c r="L1887" s="1468"/>
      <c r="M1887" s="1468"/>
      <c r="N1887" s="1468"/>
      <c r="O1887" s="1468"/>
      <c r="P1887" s="881" t="s">
        <v>798</v>
      </c>
      <c r="Q1887" s="882" t="s">
        <v>799</v>
      </c>
      <c r="R1887" s="1469" t="s">
        <v>800</v>
      </c>
      <c r="S1887" s="1469"/>
      <c r="T1887" s="877" t="s">
        <v>801</v>
      </c>
      <c r="U1887" s="879" t="s">
        <v>104</v>
      </c>
    </row>
    <row r="1888" spans="1:21" ht="19.5" customHeight="1">
      <c r="A1888" s="883"/>
      <c r="B1888" s="884" t="str">
        <f>IF('BIS Doc'!AC883=130, "130 × 130", IF('BIS Doc'!AC883=160, "160 × 160", IF('BIS Doc'!AC883=110, "110 × 110", "Value not 130, 160, or 110")))</f>
        <v>Value not 130, 160, or 110</v>
      </c>
      <c r="C1888" s="885">
        <f>'BIS Doc'!W883</f>
        <v>0</v>
      </c>
      <c r="D1888" s="886"/>
      <c r="E1888" s="887">
        <f>'BIS Doc'!AE883</f>
        <v>0</v>
      </c>
      <c r="F1888" s="888">
        <f ca="1">'BIS Doc'!F883</f>
        <v>0</v>
      </c>
      <c r="G1888" s="888">
        <f ca="1">'BIS Doc'!J883</f>
        <v>0</v>
      </c>
      <c r="H1888" s="888">
        <f ca="1">'BIS Doc'!G883</f>
        <v>0.51461941643690823</v>
      </c>
      <c r="I1888" s="889">
        <f ca="1">'BIS Doc'!H883</f>
        <v>0</v>
      </c>
      <c r="J1888" s="889">
        <f ca="1">'BIS Doc'!I883</f>
        <v>0</v>
      </c>
      <c r="K1888" s="1449" t="str">
        <f t="shared" ref="K1888:K1893" ca="1" si="54">IF(H1888&lt;0.6, "IS 14650 CPS 10748/GR2", "IS 14650 CPS 10748/GR3")</f>
        <v>IS 14650 CPS 10748/GR2</v>
      </c>
      <c r="L1888" s="1449"/>
      <c r="M1888" s="1449"/>
      <c r="N1888" s="1449"/>
      <c r="O1888" s="1449"/>
      <c r="P1888" s="890"/>
      <c r="Q1888" s="891"/>
      <c r="R1888" s="1449"/>
      <c r="S1888" s="1449"/>
      <c r="T1888" s="892"/>
      <c r="U1888" s="1450" t="s">
        <v>802</v>
      </c>
    </row>
    <row r="1889" spans="1:21" ht="19.5" customHeight="1">
      <c r="A1889" s="893"/>
      <c r="B1889" s="894" t="str">
        <f>IF('BIS Doc'!AC885=130, "130 × 130", IF('BIS Doc'!AC885=160, "160 × 160", IF('BIS Doc'!AC885=110, "110 × 110", "Value not 130, 160, or 110")))</f>
        <v>Value not 130, 160, or 110</v>
      </c>
      <c r="C1889" s="895">
        <f>'BIS Doc'!W885</f>
        <v>0</v>
      </c>
      <c r="D1889" s="896"/>
      <c r="E1889" s="897">
        <f>'BIS Doc'!AE885</f>
        <v>0</v>
      </c>
      <c r="F1889" s="898">
        <f ca="1">'BIS Doc'!F885</f>
        <v>0</v>
      </c>
      <c r="G1889" s="899">
        <f ca="1">'BIS Doc'!J885</f>
        <v>0</v>
      </c>
      <c r="H1889" s="900">
        <f ca="1">'BIS Doc'!G885</f>
        <v>0.54810181221864696</v>
      </c>
      <c r="I1889" s="901">
        <f ca="1">'BIS Doc'!H885</f>
        <v>0</v>
      </c>
      <c r="J1889" s="901">
        <f ca="1">'BIS Doc'!I885</f>
        <v>0</v>
      </c>
      <c r="K1889" s="1451" t="str">
        <f t="shared" ca="1" si="54"/>
        <v>IS 14650 CPS 10748/GR2</v>
      </c>
      <c r="L1889" s="1451"/>
      <c r="M1889" s="1451"/>
      <c r="N1889" s="1451"/>
      <c r="O1889" s="1451"/>
      <c r="P1889" s="902"/>
      <c r="Q1889" s="903"/>
      <c r="R1889" s="1451"/>
      <c r="S1889" s="1451"/>
      <c r="T1889" s="904"/>
      <c r="U1889" s="1450"/>
    </row>
    <row r="1890" spans="1:21" ht="19.5" customHeight="1">
      <c r="A1890" s="864"/>
      <c r="B1890" s="894" t="str">
        <f>IF('BIS Doc'!AC887=130, "130 × 130", IF('BIS Doc'!AC887=160, "160 × 160", IF('BIS Doc'!AC887=110, "110 × 110", "Value not 130, 160, or 110")))</f>
        <v>Value not 130, 160, or 110</v>
      </c>
      <c r="C1890" s="895">
        <f>'BIS Doc'!W887</f>
        <v>0</v>
      </c>
      <c r="D1890" s="896" t="s">
        <v>803</v>
      </c>
      <c r="E1890" s="897">
        <f>'BIS Doc'!AE887</f>
        <v>0</v>
      </c>
      <c r="F1890" s="898">
        <f ca="1">'BIS Doc'!F887</f>
        <v>0</v>
      </c>
      <c r="G1890" s="899">
        <f ca="1">'BIS Doc'!J887</f>
        <v>0</v>
      </c>
      <c r="H1890" s="900">
        <f ca="1">'BIS Doc'!G887</f>
        <v>0.51490428884147954</v>
      </c>
      <c r="I1890" s="901">
        <f ca="1">'BIS Doc'!H887</f>
        <v>0</v>
      </c>
      <c r="J1890" s="901">
        <f ca="1">'BIS Doc'!I887</f>
        <v>0</v>
      </c>
      <c r="K1890" s="1451" t="str">
        <f t="shared" ca="1" si="54"/>
        <v>IS 14650 CPS 10748/GR2</v>
      </c>
      <c r="L1890" s="1451"/>
      <c r="M1890" s="1451"/>
      <c r="N1890" s="1451"/>
      <c r="O1890" s="1451"/>
      <c r="P1890" s="902"/>
      <c r="Q1890" s="905"/>
      <c r="R1890" s="1451"/>
      <c r="S1890" s="1451"/>
      <c r="T1890" s="904"/>
      <c r="U1890" s="1450"/>
    </row>
    <row r="1891" spans="1:21" ht="19.5" customHeight="1">
      <c r="A1891" s="864"/>
      <c r="B1891" s="894" t="str">
        <f>IF('BIS Doc'!AC889=130, "130 × 130", IF('BIS Doc'!AC889=160, "160 × 160", IF('BIS Doc'!AC889=110, "110 × 110", "Value not 130, 160, or 110")))</f>
        <v>Value not 130, 160, or 110</v>
      </c>
      <c r="C1891" s="895">
        <f>'BIS Doc'!W889</f>
        <v>0</v>
      </c>
      <c r="D1891" s="896"/>
      <c r="E1891" s="897">
        <f>'BIS Doc'!AE889</f>
        <v>0</v>
      </c>
      <c r="F1891" s="898">
        <f ca="1">'BIS Doc'!F889</f>
        <v>0</v>
      </c>
      <c r="G1891" s="899">
        <f ca="1">'BIS Doc'!J889</f>
        <v>0</v>
      </c>
      <c r="H1891" s="900">
        <f ca="1">'BIS Doc'!G889</f>
        <v>0.54043593340165108</v>
      </c>
      <c r="I1891" s="901">
        <f ca="1">'BIS Doc'!H889</f>
        <v>0</v>
      </c>
      <c r="J1891" s="901">
        <f ca="1">'BIS Doc'!I889</f>
        <v>0</v>
      </c>
      <c r="K1891" s="1451" t="str">
        <f t="shared" ca="1" si="54"/>
        <v>IS 14650 CPS 10748/GR2</v>
      </c>
      <c r="L1891" s="1451"/>
      <c r="M1891" s="1451"/>
      <c r="N1891" s="1451"/>
      <c r="O1891" s="1451"/>
      <c r="P1891" s="902"/>
      <c r="Q1891" s="905"/>
      <c r="R1891" s="1451"/>
      <c r="S1891" s="1451"/>
      <c r="T1891" s="904"/>
      <c r="U1891" s="1450"/>
    </row>
    <row r="1892" spans="1:21" ht="19.5" customHeight="1">
      <c r="A1892" s="864"/>
      <c r="B1892" s="894" t="str">
        <f>IF('BIS Doc'!AC891=130, "130 × 130", IF('BIS Doc'!AC891=160, "160 × 160", IF('BIS Doc'!AC891=110, "110 × 110", "Value not 130, 160, or 110")))</f>
        <v>Value not 130, 160, or 110</v>
      </c>
      <c r="C1892" s="895">
        <f>'BIS Doc'!W891</f>
        <v>0</v>
      </c>
      <c r="D1892" s="896"/>
      <c r="E1892" s="897">
        <f>'BIS Doc'!AE891</f>
        <v>0</v>
      </c>
      <c r="F1892" s="898">
        <f ca="1">'BIS Doc'!F891</f>
        <v>0</v>
      </c>
      <c r="G1892" s="899">
        <f ca="1">'BIS Doc'!J891</f>
        <v>0</v>
      </c>
      <c r="H1892" s="900">
        <f ca="1">'BIS Doc'!G891</f>
        <v>0.56486259546684314</v>
      </c>
      <c r="I1892" s="901">
        <f ca="1">'BIS Doc'!H891</f>
        <v>0</v>
      </c>
      <c r="J1892" s="901">
        <f ca="1">'BIS Doc'!I891</f>
        <v>0</v>
      </c>
      <c r="K1892" s="1451" t="str">
        <f t="shared" ca="1" si="54"/>
        <v>IS 14650 CPS 10748/GR2</v>
      </c>
      <c r="L1892" s="1451"/>
      <c r="M1892" s="1451"/>
      <c r="N1892" s="1451"/>
      <c r="O1892" s="1451"/>
      <c r="P1892" s="902"/>
      <c r="Q1892" s="905"/>
      <c r="R1892" s="1451"/>
      <c r="S1892" s="1451"/>
      <c r="T1892" s="904"/>
      <c r="U1892" s="1450"/>
    </row>
    <row r="1893" spans="1:21" ht="19.5" customHeight="1">
      <c r="A1893" s="864"/>
      <c r="B1893" s="894" t="str">
        <f>IF('BIS Doc'!AC893=130, "130 × 130", IF('BIS Doc'!AC893=160, "160 × 160", IF('BIS Doc'!AC893=110, "110 × 110", "Value not 130, 160, or 110")))</f>
        <v>Value not 130, 160, or 110</v>
      </c>
      <c r="C1893" s="895">
        <f>'BIS Doc'!W893</f>
        <v>0</v>
      </c>
      <c r="D1893" s="896"/>
      <c r="E1893" s="897">
        <f>'BIS Doc'!AE893</f>
        <v>0</v>
      </c>
      <c r="F1893" s="898">
        <f ca="1">'BIS Doc'!F893</f>
        <v>0</v>
      </c>
      <c r="G1893" s="899">
        <f ca="1">'BIS Doc'!J893</f>
        <v>0</v>
      </c>
      <c r="H1893" s="900">
        <f ca="1">'BIS Doc'!G893</f>
        <v>0.55692666859314388</v>
      </c>
      <c r="I1893" s="901">
        <f ca="1">'BIS Doc'!H893</f>
        <v>0</v>
      </c>
      <c r="J1893" s="901">
        <f ca="1">'BIS Doc'!I893</f>
        <v>0</v>
      </c>
      <c r="K1893" s="1451" t="str">
        <f t="shared" ca="1" si="54"/>
        <v>IS 14650 CPS 10748/GR2</v>
      </c>
      <c r="L1893" s="1451"/>
      <c r="M1893" s="1451"/>
      <c r="N1893" s="1451"/>
      <c r="O1893" s="1451"/>
      <c r="P1893" s="902"/>
      <c r="Q1893" s="903"/>
      <c r="R1893" s="1451"/>
      <c r="S1893" s="1451"/>
      <c r="T1893" s="904"/>
      <c r="U1893" s="1450"/>
    </row>
    <row r="1894" spans="1:21" ht="19.5" customHeight="1">
      <c r="A1894" s="864"/>
      <c r="B1894" s="904"/>
      <c r="C1894" s="895"/>
      <c r="D1894" s="896"/>
      <c r="E1894" s="897"/>
      <c r="F1894" s="906"/>
      <c r="G1894" s="907"/>
      <c r="H1894" s="908"/>
      <c r="I1894" s="909"/>
      <c r="J1894" s="909"/>
      <c r="K1894" s="1451"/>
      <c r="L1894" s="1451"/>
      <c r="M1894" s="1451"/>
      <c r="N1894" s="1451"/>
      <c r="O1894" s="1451"/>
      <c r="P1894" s="902"/>
      <c r="Q1894" s="903"/>
      <c r="R1894" s="1451"/>
      <c r="S1894" s="1451"/>
      <c r="T1894" s="904"/>
      <c r="U1894" s="1450"/>
    </row>
    <row r="1895" spans="1:21" ht="19.5" customHeight="1">
      <c r="A1895" s="864"/>
      <c r="B1895" s="904"/>
      <c r="C1895" s="895"/>
      <c r="D1895" s="896"/>
      <c r="E1895" s="897"/>
      <c r="F1895" s="906"/>
      <c r="G1895" s="907"/>
      <c r="H1895" s="908"/>
      <c r="I1895" s="909"/>
      <c r="J1895" s="909"/>
      <c r="K1895" s="1451"/>
      <c r="L1895" s="1451"/>
      <c r="M1895" s="1451"/>
      <c r="N1895" s="1451"/>
      <c r="O1895" s="1451"/>
      <c r="P1895" s="902"/>
      <c r="Q1895" s="905"/>
      <c r="R1895" s="1451"/>
      <c r="S1895" s="1451"/>
      <c r="T1895" s="904"/>
      <c r="U1895" s="1450"/>
    </row>
    <row r="1896" spans="1:21" ht="19.5" customHeight="1">
      <c r="A1896" s="864"/>
      <c r="B1896" s="910"/>
      <c r="C1896" s="911"/>
      <c r="D1896" s="896"/>
      <c r="E1896" s="897"/>
      <c r="F1896" s="906"/>
      <c r="G1896" s="907"/>
      <c r="H1896" s="908"/>
      <c r="I1896" s="909"/>
      <c r="J1896" s="909"/>
      <c r="K1896" s="1451"/>
      <c r="L1896" s="1451"/>
      <c r="M1896" s="1451"/>
      <c r="N1896" s="1451"/>
      <c r="O1896" s="1451"/>
      <c r="P1896" s="912"/>
      <c r="Q1896" s="913"/>
      <c r="R1896" s="1452"/>
      <c r="S1896" s="1452"/>
      <c r="T1896" s="910"/>
      <c r="U1896" s="1450"/>
    </row>
    <row r="1897" spans="1:21" ht="19.5" customHeight="1">
      <c r="A1897" s="914"/>
      <c r="B1897" s="915"/>
      <c r="C1897" s="916"/>
      <c r="D1897" s="917"/>
      <c r="E1897" s="918">
        <f>SUM(E1888:E1893)</f>
        <v>0</v>
      </c>
      <c r="F1897" s="919"/>
      <c r="G1897" s="920"/>
      <c r="H1897" s="921"/>
      <c r="I1897" s="922"/>
      <c r="J1897" s="922"/>
      <c r="K1897" s="1453"/>
      <c r="L1897" s="1453"/>
      <c r="M1897" s="1453"/>
      <c r="N1897" s="1453"/>
      <c r="O1897" s="1453"/>
      <c r="P1897" s="923"/>
      <c r="Q1897" s="924"/>
      <c r="R1897" s="1454"/>
      <c r="S1897" s="1454"/>
      <c r="T1897" s="915"/>
      <c r="U1897" s="1450"/>
    </row>
    <row r="1898" spans="1:21" ht="15.75" customHeight="1">
      <c r="A1898" s="864"/>
      <c r="B1898" s="773"/>
      <c r="C1898" s="773"/>
      <c r="D1898" s="925"/>
      <c r="E1898" s="926"/>
      <c r="F1898" s="927"/>
      <c r="G1898" s="928"/>
      <c r="H1898" s="259"/>
      <c r="I1898" s="259"/>
      <c r="J1898" s="928"/>
      <c r="K1898" s="929"/>
      <c r="L1898" s="929"/>
      <c r="M1898" s="929"/>
      <c r="N1898" s="929"/>
      <c r="O1898" s="928"/>
      <c r="P1898" s="930"/>
      <c r="Q1898" s="931"/>
      <c r="R1898" s="931"/>
      <c r="U1898" s="932"/>
    </row>
    <row r="1899" spans="1:21" ht="18.75" customHeight="1">
      <c r="A1899" s="864"/>
      <c r="B1899" s="773"/>
      <c r="C1899" s="773"/>
      <c r="D1899" s="773"/>
      <c r="E1899" s="773"/>
      <c r="F1899" s="773"/>
      <c r="G1899" s="773"/>
      <c r="H1899" s="773"/>
      <c r="I1899" s="773"/>
      <c r="J1899" s="773"/>
      <c r="K1899" s="773"/>
      <c r="P1899" s="1446" t="s">
        <v>804</v>
      </c>
      <c r="Q1899" s="1446"/>
      <c r="R1899" s="1446"/>
      <c r="S1899" s="1446"/>
      <c r="T1899" s="1446"/>
      <c r="U1899" s="1446"/>
    </row>
    <row r="1900" spans="1:21" ht="18.75" customHeight="1">
      <c r="A1900" s="1447" t="s">
        <v>805</v>
      </c>
      <c r="B1900" s="1447"/>
      <c r="C1900" s="933"/>
      <c r="D1900" s="933"/>
      <c r="E1900" s="933"/>
      <c r="F1900" s="933"/>
      <c r="P1900" s="855"/>
      <c r="Q1900" s="855"/>
      <c r="R1900" s="855"/>
      <c r="S1900" s="855"/>
      <c r="T1900" s="855"/>
      <c r="U1900" s="934"/>
    </row>
    <row r="1901" spans="1:21" ht="18.75" customHeight="1">
      <c r="A1901" s="854"/>
      <c r="B1901" s="855"/>
      <c r="P1901" s="855"/>
      <c r="Q1901" s="855"/>
      <c r="R1901" s="855"/>
      <c r="S1901" s="855"/>
      <c r="T1901" s="855"/>
      <c r="U1901" s="934"/>
    </row>
    <row r="1902" spans="1:21" ht="18.75" customHeight="1">
      <c r="A1902" s="854" t="s">
        <v>806</v>
      </c>
      <c r="B1902" s="855"/>
      <c r="C1902" s="867"/>
      <c r="D1902" s="941"/>
      <c r="E1902" s="933"/>
      <c r="F1902" s="933"/>
      <c r="P1902" s="855"/>
      <c r="Q1902" s="855"/>
      <c r="R1902" s="855"/>
      <c r="S1902" s="855"/>
      <c r="T1902" s="855"/>
      <c r="U1902" s="934"/>
    </row>
    <row r="1903" spans="1:21" ht="18.75" customHeight="1">
      <c r="A1903" s="854"/>
      <c r="B1903" s="855"/>
      <c r="C1903" s="937"/>
      <c r="P1903" s="855"/>
      <c r="Q1903" s="855"/>
      <c r="R1903" s="855"/>
      <c r="S1903" s="855"/>
      <c r="T1903" s="855"/>
      <c r="U1903" s="934"/>
    </row>
    <row r="1904" spans="1:21" ht="19.5" customHeight="1">
      <c r="A1904" s="938"/>
      <c r="B1904" s="939"/>
      <c r="C1904" s="940"/>
      <c r="D1904" s="453"/>
      <c r="E1904" s="453"/>
      <c r="F1904" s="453"/>
      <c r="G1904" s="453"/>
      <c r="H1904" s="453"/>
      <c r="I1904" s="453"/>
      <c r="J1904" s="453"/>
      <c r="K1904" s="453"/>
      <c r="L1904" s="453"/>
      <c r="M1904" s="453"/>
      <c r="N1904" s="453"/>
      <c r="O1904" s="453"/>
      <c r="P1904" s="1448" t="s">
        <v>807</v>
      </c>
      <c r="Q1904" s="1448"/>
      <c r="R1904" s="1448"/>
      <c r="S1904" s="1448"/>
      <c r="T1904" s="1448"/>
      <c r="U1904" s="1448"/>
    </row>
    <row r="1905" spans="1:21" ht="45.75" customHeight="1">
      <c r="A1905" s="1455"/>
      <c r="B1905" s="1455"/>
      <c r="C1905" s="1455"/>
      <c r="D1905" s="847"/>
      <c r="E1905" s="1456" t="s">
        <v>774</v>
      </c>
      <c r="F1905" s="1456"/>
      <c r="G1905" s="1456"/>
      <c r="H1905" s="1456"/>
      <c r="I1905" s="1456"/>
      <c r="J1905" s="1456"/>
      <c r="K1905" s="1456"/>
      <c r="L1905" s="1456"/>
      <c r="M1905" s="1456"/>
      <c r="N1905" s="1456"/>
      <c r="O1905" s="1456"/>
      <c r="P1905" s="1456"/>
      <c r="Q1905" s="1456"/>
      <c r="R1905" s="1456"/>
      <c r="S1905" s="848"/>
      <c r="T1905" s="1457" t="s">
        <v>775</v>
      </c>
      <c r="U1905" s="1457"/>
    </row>
    <row r="1906" spans="1:21" ht="18.75" customHeight="1">
      <c r="A1906" s="849"/>
      <c r="E1906" s="1458" t="s">
        <v>776</v>
      </c>
      <c r="F1906" s="1458"/>
      <c r="G1906" s="1458"/>
      <c r="H1906" s="1458"/>
      <c r="I1906" s="1458"/>
      <c r="J1906" s="1458"/>
      <c r="K1906" s="1458"/>
      <c r="L1906" s="1458"/>
      <c r="M1906" s="1458"/>
      <c r="N1906" s="1458"/>
      <c r="O1906" s="1458"/>
      <c r="P1906" s="1458"/>
      <c r="Q1906" s="1458"/>
      <c r="R1906" s="1458"/>
      <c r="U1906" s="456"/>
    </row>
    <row r="1907" spans="1:21" ht="18.75" customHeight="1">
      <c r="A1907" s="850"/>
      <c r="F1907" s="587"/>
      <c r="G1907" s="587"/>
      <c r="H1907" s="587"/>
      <c r="I1907" s="587"/>
      <c r="J1907" s="587"/>
      <c r="K1907" s="587"/>
      <c r="L1907" s="587"/>
      <c r="M1907" s="851"/>
      <c r="N1907" s="852"/>
      <c r="O1907" s="851"/>
      <c r="P1907" s="1459" t="s">
        <v>777</v>
      </c>
      <c r="Q1907" s="1459"/>
      <c r="R1907" s="1459"/>
      <c r="S1907" s="1459"/>
      <c r="T1907" s="1459"/>
      <c r="U1907" s="1459"/>
    </row>
    <row r="1908" spans="1:21" ht="15" customHeight="1">
      <c r="A1908" s="849"/>
      <c r="E1908" s="1287" t="s">
        <v>778</v>
      </c>
      <c r="F1908" s="1287"/>
      <c r="G1908" s="1287"/>
      <c r="H1908" s="1287"/>
      <c r="I1908" s="1287"/>
      <c r="J1908" s="1287"/>
      <c r="K1908" s="1287"/>
      <c r="L1908" s="1287"/>
      <c r="M1908" s="1287"/>
      <c r="N1908" s="1287"/>
      <c r="O1908" s="1287"/>
      <c r="P1908" s="1287"/>
      <c r="Q1908" s="1287"/>
      <c r="R1908" s="1287"/>
      <c r="U1908" s="456"/>
    </row>
    <row r="1909" spans="1:21" ht="18.75" customHeight="1">
      <c r="A1909" s="849"/>
      <c r="E1909" s="1286" t="s">
        <v>779</v>
      </c>
      <c r="F1909" s="1286"/>
      <c r="G1909" s="1286"/>
      <c r="H1909" s="1286"/>
      <c r="I1909" s="1286"/>
      <c r="J1909" s="1286"/>
      <c r="K1909" s="1286"/>
      <c r="L1909" s="1286"/>
      <c r="M1909" s="1286"/>
      <c r="N1909" s="1286"/>
      <c r="O1909" s="1286"/>
      <c r="P1909" s="1286"/>
      <c r="Q1909" s="1286"/>
      <c r="R1909" s="1286"/>
      <c r="U1909" s="853"/>
    </row>
    <row r="1910" spans="1:21" ht="23.25" customHeight="1">
      <c r="A1910" s="854" t="s">
        <v>780</v>
      </c>
      <c r="B1910" s="855"/>
      <c r="C1910" s="855"/>
      <c r="D1910" s="856" t="s">
        <v>880</v>
      </c>
      <c r="E1910" s="857"/>
      <c r="F1910" s="858"/>
      <c r="G1910" s="859"/>
      <c r="H1910" s="859"/>
      <c r="I1910" s="859"/>
      <c r="J1910" s="859"/>
      <c r="K1910" s="859"/>
      <c r="L1910" s="860"/>
      <c r="M1910" s="1460"/>
      <c r="N1910" s="1460"/>
      <c r="O1910" s="1460"/>
      <c r="P1910" s="1461" t="s">
        <v>781</v>
      </c>
      <c r="Q1910" s="1461"/>
      <c r="R1910" s="1461"/>
      <c r="S1910" s="855"/>
      <c r="T1910" s="861" t="s">
        <v>887</v>
      </c>
      <c r="U1910" s="456"/>
    </row>
    <row r="1911" spans="1:21" ht="23.25" customHeight="1">
      <c r="A1911" s="854"/>
      <c r="B1911" s="862"/>
      <c r="C1911" s="862"/>
      <c r="D1911" s="862"/>
      <c r="E1911" s="163"/>
      <c r="F1911" s="863"/>
      <c r="G1911" s="863"/>
      <c r="H1911" s="863"/>
      <c r="I1911" s="863"/>
      <c r="J1911" s="863"/>
      <c r="K1911" s="863"/>
      <c r="U1911" s="456"/>
    </row>
    <row r="1912" spans="1:21" ht="21" customHeight="1">
      <c r="A1912" s="864" t="s">
        <v>782</v>
      </c>
      <c r="B1912" s="865"/>
      <c r="C1912" s="866"/>
      <c r="D1912" s="867"/>
      <c r="E1912" s="868"/>
      <c r="F1912" s="869"/>
      <c r="G1912" s="869"/>
      <c r="H1912" s="869"/>
      <c r="I1912" s="870"/>
      <c r="J1912" s="870"/>
      <c r="P1912" s="1462"/>
      <c r="Q1912" s="1462"/>
      <c r="R1912" s="1462"/>
      <c r="S1912" s="1462"/>
      <c r="T1912" s="871"/>
      <c r="U1912" s="456"/>
    </row>
    <row r="1913" spans="1:21" ht="21" customHeight="1">
      <c r="A1913" s="872"/>
      <c r="B1913" s="873"/>
      <c r="C1913" s="869"/>
      <c r="D1913" s="869"/>
      <c r="E1913" s="869"/>
      <c r="F1913" s="869"/>
      <c r="G1913" s="869"/>
      <c r="H1913" s="869"/>
      <c r="I1913" s="870"/>
      <c r="J1913" s="870"/>
      <c r="U1913" s="456"/>
    </row>
    <row r="1914" spans="1:21" ht="15" customHeight="1">
      <c r="A1914" s="1463" t="s">
        <v>783</v>
      </c>
      <c r="B1914" s="1463"/>
      <c r="C1914" s="1463"/>
      <c r="D1914" s="1463"/>
      <c r="E1914" s="1463"/>
      <c r="F1914" s="1463"/>
      <c r="G1914" s="1463"/>
      <c r="H1914" s="1463"/>
      <c r="I1914" s="1463"/>
      <c r="J1914" s="1463"/>
      <c r="K1914" s="1463"/>
      <c r="L1914" s="1463"/>
      <c r="M1914" s="1463"/>
      <c r="N1914" s="1463"/>
      <c r="O1914" s="1463"/>
      <c r="P1914" s="1463"/>
      <c r="Q1914" s="1463"/>
      <c r="R1914" s="1463"/>
      <c r="S1914" s="1463"/>
      <c r="T1914" s="1463"/>
      <c r="U1914" s="1463"/>
    </row>
    <row r="1915" spans="1:21" ht="15" customHeight="1">
      <c r="A1915" s="1463"/>
      <c r="B1915" s="1463"/>
      <c r="C1915" s="1463"/>
      <c r="D1915" s="1463"/>
      <c r="E1915" s="1463"/>
      <c r="F1915" s="1463"/>
      <c r="G1915" s="1463"/>
      <c r="H1915" s="1463"/>
      <c r="I1915" s="1463"/>
      <c r="J1915" s="1463"/>
      <c r="K1915" s="1463"/>
      <c r="L1915" s="1463"/>
      <c r="M1915" s="1463"/>
      <c r="N1915" s="1463"/>
      <c r="O1915" s="1463"/>
      <c r="P1915" s="1463"/>
      <c r="Q1915" s="1463"/>
      <c r="R1915" s="1463"/>
      <c r="S1915" s="1463"/>
      <c r="T1915" s="1463"/>
      <c r="U1915" s="1463"/>
    </row>
    <row r="1916" spans="1:21" ht="18" customHeight="1">
      <c r="A1916" s="1464" t="s">
        <v>784</v>
      </c>
      <c r="B1916" s="1464"/>
      <c r="C1916" s="1464"/>
      <c r="D1916" s="1464"/>
      <c r="E1916" s="1464"/>
      <c r="F1916" s="1464"/>
      <c r="G1916" s="1464"/>
      <c r="H1916" s="1464"/>
      <c r="I1916" s="1464"/>
      <c r="J1916" s="1464"/>
      <c r="K1916" s="1464"/>
      <c r="L1916" s="1464"/>
      <c r="M1916" s="1464"/>
      <c r="N1916" s="1464"/>
      <c r="O1916" s="1464"/>
      <c r="P1916" s="1464"/>
      <c r="Q1916" s="1464"/>
      <c r="R1916" s="1464"/>
      <c r="S1916" s="1464"/>
      <c r="T1916" s="1464"/>
      <c r="U1916" s="1464"/>
    </row>
    <row r="1917" spans="1:21" ht="23.25" customHeight="1">
      <c r="A1917" s="1465" t="s">
        <v>785</v>
      </c>
      <c r="B1917" s="1465"/>
      <c r="C1917" s="1465"/>
      <c r="D1917" s="1465"/>
      <c r="E1917" s="1465"/>
      <c r="F1917" s="1465"/>
      <c r="G1917" s="1465"/>
      <c r="H1917" s="1465"/>
      <c r="I1917" s="1465"/>
      <c r="J1917" s="1465"/>
      <c r="K1917" s="1465"/>
      <c r="L1917" s="1465"/>
      <c r="M1917" s="1465"/>
      <c r="N1917" s="1465"/>
      <c r="O1917" s="1465"/>
      <c r="P1917" s="1465"/>
      <c r="Q1917" s="1465"/>
      <c r="R1917" s="1465"/>
      <c r="S1917" s="1465"/>
      <c r="T1917" s="1465"/>
      <c r="U1917" s="1465"/>
    </row>
    <row r="1918" spans="1:21" ht="21.75" customHeight="1">
      <c r="A1918" s="874"/>
      <c r="B1918" s="875"/>
      <c r="C1918" s="875"/>
      <c r="D1918" s="875"/>
      <c r="E1918" s="875"/>
      <c r="F1918" s="875"/>
      <c r="G1918" s="875"/>
      <c r="H1918" s="875"/>
      <c r="I1918" s="875"/>
      <c r="J1918" s="875"/>
      <c r="K1918" s="875"/>
      <c r="L1918" s="875"/>
      <c r="M1918" s="875"/>
      <c r="N1918" s="875"/>
      <c r="O1918" s="875"/>
      <c r="P1918" s="875"/>
      <c r="Q1918" s="875"/>
      <c r="R1918" s="875"/>
      <c r="S1918" s="875"/>
      <c r="T1918" s="875"/>
      <c r="U1918" s="876"/>
    </row>
    <row r="1919" spans="1:21" ht="15" customHeight="1">
      <c r="A1919" s="1466" t="s">
        <v>786</v>
      </c>
      <c r="B1919" s="1467" t="s">
        <v>787</v>
      </c>
      <c r="C1919" s="1468" t="s">
        <v>788</v>
      </c>
      <c r="D1919" s="1468" t="s">
        <v>789</v>
      </c>
      <c r="E1919" s="1469" t="s">
        <v>790</v>
      </c>
      <c r="F1919" s="1468" t="s">
        <v>791</v>
      </c>
      <c r="G1919" s="1468"/>
      <c r="H1919" s="1468"/>
      <c r="I1919" s="1468"/>
      <c r="J1919" s="1468"/>
      <c r="K1919" s="1468"/>
      <c r="L1919" s="1468"/>
      <c r="M1919" s="1468"/>
      <c r="N1919" s="1468"/>
      <c r="O1919" s="1468"/>
      <c r="P1919" s="1470"/>
      <c r="Q1919" s="1470"/>
      <c r="R1919" s="1470"/>
      <c r="S1919" s="1470"/>
      <c r="T1919" s="1470"/>
      <c r="U1919" s="1470"/>
    </row>
    <row r="1920" spans="1:21" ht="15.75" customHeight="1">
      <c r="A1920" s="1466"/>
      <c r="B1920" s="1467"/>
      <c r="C1920" s="1468"/>
      <c r="D1920" s="1468"/>
      <c r="E1920" s="1469"/>
      <c r="F1920" s="1468"/>
      <c r="G1920" s="1468"/>
      <c r="H1920" s="1468"/>
      <c r="I1920" s="1468"/>
      <c r="J1920" s="1468"/>
      <c r="K1920" s="1468"/>
      <c r="L1920" s="1468"/>
      <c r="M1920" s="1468"/>
      <c r="N1920" s="1468"/>
      <c r="O1920" s="1468"/>
      <c r="P1920" s="1470"/>
      <c r="Q1920" s="1470"/>
      <c r="R1920" s="1470"/>
      <c r="S1920" s="1470"/>
      <c r="T1920" s="1470"/>
      <c r="U1920" s="1470"/>
    </row>
    <row r="1921" spans="1:21" ht="48" customHeight="1">
      <c r="A1921" s="1466"/>
      <c r="B1921" s="1467"/>
      <c r="C1921" s="1468"/>
      <c r="D1921" s="1468"/>
      <c r="E1921" s="1469"/>
      <c r="F1921" s="878" t="s">
        <v>792</v>
      </c>
      <c r="G1921" s="877" t="s">
        <v>793</v>
      </c>
      <c r="H1921" s="878" t="s">
        <v>794</v>
      </c>
      <c r="I1921" s="879" t="s">
        <v>795</v>
      </c>
      <c r="J1921" s="880" t="s">
        <v>796</v>
      </c>
      <c r="K1921" s="1468" t="s">
        <v>797</v>
      </c>
      <c r="L1921" s="1468"/>
      <c r="M1921" s="1468"/>
      <c r="N1921" s="1468"/>
      <c r="O1921" s="1468"/>
      <c r="P1921" s="881" t="s">
        <v>798</v>
      </c>
      <c r="Q1921" s="882" t="s">
        <v>799</v>
      </c>
      <c r="R1921" s="1469" t="s">
        <v>800</v>
      </c>
      <c r="S1921" s="1469"/>
      <c r="T1921" s="877" t="s">
        <v>801</v>
      </c>
      <c r="U1921" s="879" t="s">
        <v>104</v>
      </c>
    </row>
    <row r="1922" spans="1:21" ht="19.5" customHeight="1">
      <c r="A1922" s="883"/>
      <c r="B1922" s="884" t="str">
        <f>IF('BIS Doc'!AC903=130, "130 × 130", IF('BIS Doc'!AC903=160, "160 × 160", IF('BIS Doc'!AC903=110, "110 × 110", "Value not 130, 160, or 110")))</f>
        <v>Value not 130, 160, or 110</v>
      </c>
      <c r="C1922" s="885">
        <f>'BIS Doc'!W903</f>
        <v>0</v>
      </c>
      <c r="D1922" s="886"/>
      <c r="E1922" s="887">
        <f>'BIS Doc'!AE903</f>
        <v>0</v>
      </c>
      <c r="F1922" s="888">
        <f ca="1">'BIS Doc'!F903</f>
        <v>0</v>
      </c>
      <c r="G1922" s="888">
        <f ca="1">'BIS Doc'!J903</f>
        <v>0</v>
      </c>
      <c r="H1922" s="888">
        <f ca="1">'BIS Doc'!G903</f>
        <v>0.52787133951114895</v>
      </c>
      <c r="I1922" s="889">
        <f ca="1">'BIS Doc'!H903</f>
        <v>0</v>
      </c>
      <c r="J1922" s="889">
        <f ca="1">'BIS Doc'!I903</f>
        <v>0</v>
      </c>
      <c r="K1922" s="1449" t="str">
        <f t="shared" ref="K1922:K1927" ca="1" si="55">IF(H1922&lt;0.6, "IS 14650 CPS 10748/GR2", "IS 14650 CPS 10748/GR3")</f>
        <v>IS 14650 CPS 10748/GR2</v>
      </c>
      <c r="L1922" s="1449"/>
      <c r="M1922" s="1449"/>
      <c r="N1922" s="1449"/>
      <c r="O1922" s="1449"/>
      <c r="P1922" s="890"/>
      <c r="Q1922" s="891"/>
      <c r="R1922" s="1449"/>
      <c r="S1922" s="1449"/>
      <c r="T1922" s="892"/>
      <c r="U1922" s="1450" t="s">
        <v>802</v>
      </c>
    </row>
    <row r="1923" spans="1:21" ht="19.5" customHeight="1">
      <c r="A1923" s="893"/>
      <c r="B1923" s="894" t="str">
        <f>IF('BIS Doc'!AC905=130, "130 × 130", IF('BIS Doc'!AC905=160, "160 × 160", IF('BIS Doc'!AC905=110, "110 × 110", "Value not 130, 160, or 110")))</f>
        <v>Value not 130, 160, or 110</v>
      </c>
      <c r="C1923" s="895">
        <f>'BIS Doc'!W905</f>
        <v>0</v>
      </c>
      <c r="D1923" s="896"/>
      <c r="E1923" s="897">
        <f>'BIS Doc'!AE905</f>
        <v>0</v>
      </c>
      <c r="F1923" s="898">
        <f ca="1">'BIS Doc'!F905</f>
        <v>0</v>
      </c>
      <c r="G1923" s="899">
        <f ca="1">'BIS Doc'!J905</f>
        <v>0</v>
      </c>
      <c r="H1923" s="900">
        <f ca="1">'BIS Doc'!G905</f>
        <v>0.57390351055525723</v>
      </c>
      <c r="I1923" s="901">
        <f ca="1">'BIS Doc'!H905</f>
        <v>0</v>
      </c>
      <c r="J1923" s="901">
        <f ca="1">'BIS Doc'!I905</f>
        <v>0</v>
      </c>
      <c r="K1923" s="1451" t="str">
        <f t="shared" ca="1" si="55"/>
        <v>IS 14650 CPS 10748/GR2</v>
      </c>
      <c r="L1923" s="1451"/>
      <c r="M1923" s="1451"/>
      <c r="N1923" s="1451"/>
      <c r="O1923" s="1451"/>
      <c r="P1923" s="902"/>
      <c r="Q1923" s="903"/>
      <c r="R1923" s="1451"/>
      <c r="S1923" s="1451"/>
      <c r="T1923" s="904"/>
      <c r="U1923" s="1450"/>
    </row>
    <row r="1924" spans="1:21" ht="19.5" customHeight="1">
      <c r="A1924" s="864"/>
      <c r="B1924" s="894" t="str">
        <f>IF('BIS Doc'!AC907=130, "130 × 130", IF('BIS Doc'!AC907=160, "160 × 160", IF('BIS Doc'!AC907=110, "110 × 110", "Value not 130, 160, or 110")))</f>
        <v>Value not 130, 160, or 110</v>
      </c>
      <c r="C1924" s="895">
        <f>'BIS Doc'!W907</f>
        <v>0</v>
      </c>
      <c r="D1924" s="896" t="s">
        <v>803</v>
      </c>
      <c r="E1924" s="897">
        <f>'BIS Doc'!AE907</f>
        <v>0</v>
      </c>
      <c r="F1924" s="898">
        <f ca="1">'BIS Doc'!F907</f>
        <v>0</v>
      </c>
      <c r="G1924" s="899">
        <f ca="1">'BIS Doc'!J907</f>
        <v>0</v>
      </c>
      <c r="H1924" s="900">
        <f ca="1">'BIS Doc'!G907</f>
        <v>0.53664694959352244</v>
      </c>
      <c r="I1924" s="901">
        <f ca="1">'BIS Doc'!H907</f>
        <v>0</v>
      </c>
      <c r="J1924" s="901">
        <f ca="1">'BIS Doc'!I907</f>
        <v>0</v>
      </c>
      <c r="K1924" s="1451" t="str">
        <f t="shared" ca="1" si="55"/>
        <v>IS 14650 CPS 10748/GR2</v>
      </c>
      <c r="L1924" s="1451"/>
      <c r="M1924" s="1451"/>
      <c r="N1924" s="1451"/>
      <c r="O1924" s="1451"/>
      <c r="P1924" s="902"/>
      <c r="Q1924" s="905"/>
      <c r="R1924" s="1451"/>
      <c r="S1924" s="1451"/>
      <c r="T1924" s="904"/>
      <c r="U1924" s="1450"/>
    </row>
    <row r="1925" spans="1:21" ht="19.5" customHeight="1">
      <c r="A1925" s="864"/>
      <c r="B1925" s="894" t="str">
        <f>IF('BIS Doc'!AC909=130, "130 × 130", IF('BIS Doc'!AC909=160, "160 × 160", IF('BIS Doc'!AC909=110, "110 × 110", "Value not 130, 160, or 110")))</f>
        <v>Value not 130, 160, or 110</v>
      </c>
      <c r="C1925" s="895">
        <f>'BIS Doc'!W909</f>
        <v>0</v>
      </c>
      <c r="D1925" s="896"/>
      <c r="E1925" s="897">
        <f>'BIS Doc'!AE909</f>
        <v>0</v>
      </c>
      <c r="F1925" s="898">
        <f ca="1">'BIS Doc'!F909</f>
        <v>0</v>
      </c>
      <c r="G1925" s="899">
        <f ca="1">'BIS Doc'!J909</f>
        <v>0</v>
      </c>
      <c r="H1925" s="900">
        <f ca="1">'BIS Doc'!G909</f>
        <v>0.529672921774477</v>
      </c>
      <c r="I1925" s="901">
        <f ca="1">'BIS Doc'!H909</f>
        <v>0</v>
      </c>
      <c r="J1925" s="901">
        <f ca="1">'BIS Doc'!I909</f>
        <v>0</v>
      </c>
      <c r="K1925" s="1451" t="str">
        <f t="shared" ca="1" si="55"/>
        <v>IS 14650 CPS 10748/GR2</v>
      </c>
      <c r="L1925" s="1451"/>
      <c r="M1925" s="1451"/>
      <c r="N1925" s="1451"/>
      <c r="O1925" s="1451"/>
      <c r="P1925" s="902"/>
      <c r="Q1925" s="905"/>
      <c r="R1925" s="1451"/>
      <c r="S1925" s="1451"/>
      <c r="T1925" s="904"/>
      <c r="U1925" s="1450"/>
    </row>
    <row r="1926" spans="1:21" ht="19.5" customHeight="1">
      <c r="A1926" s="864"/>
      <c r="B1926" s="894" t="str">
        <f>IF('BIS Doc'!AC911=130, "130 × 130", IF('BIS Doc'!AC911=160, "160 × 160", IF('BIS Doc'!AC911=110, "110 × 110", "Value not 130, 160, or 110")))</f>
        <v>Value not 130, 160, or 110</v>
      </c>
      <c r="C1926" s="895">
        <f>'BIS Doc'!W911</f>
        <v>0</v>
      </c>
      <c r="D1926" s="896"/>
      <c r="E1926" s="897">
        <f>'BIS Doc'!AE911</f>
        <v>0</v>
      </c>
      <c r="F1926" s="898">
        <f ca="1">'BIS Doc'!F911</f>
        <v>0</v>
      </c>
      <c r="G1926" s="899">
        <f ca="1">'BIS Doc'!J911</f>
        <v>0</v>
      </c>
      <c r="H1926" s="900">
        <f ca="1">'BIS Doc'!G911</f>
        <v>0.51040426512007642</v>
      </c>
      <c r="I1926" s="901">
        <f ca="1">'BIS Doc'!H911</f>
        <v>0</v>
      </c>
      <c r="J1926" s="901">
        <f ca="1">'BIS Doc'!I911</f>
        <v>0</v>
      </c>
      <c r="K1926" s="1451" t="str">
        <f t="shared" ca="1" si="55"/>
        <v>IS 14650 CPS 10748/GR2</v>
      </c>
      <c r="L1926" s="1451"/>
      <c r="M1926" s="1451"/>
      <c r="N1926" s="1451"/>
      <c r="O1926" s="1451"/>
      <c r="P1926" s="902"/>
      <c r="Q1926" s="905"/>
      <c r="R1926" s="1451"/>
      <c r="S1926" s="1451"/>
      <c r="T1926" s="904"/>
      <c r="U1926" s="1450"/>
    </row>
    <row r="1927" spans="1:21" ht="19.5" customHeight="1">
      <c r="A1927" s="864"/>
      <c r="B1927" s="894" t="str">
        <f>IF('BIS Doc'!AC913=130, "130 × 130", IF('BIS Doc'!AC913=160, "160 × 160", IF('BIS Doc'!AC913=110, "110 × 110", "Value not 130, 160, or 110")))</f>
        <v>Value not 130, 160, or 110</v>
      </c>
      <c r="C1927" s="895">
        <f>'BIS Doc'!W913</f>
        <v>0</v>
      </c>
      <c r="D1927" s="896"/>
      <c r="E1927" s="897">
        <f>'BIS Doc'!AE913</f>
        <v>0</v>
      </c>
      <c r="F1927" s="898">
        <f ca="1">'BIS Doc'!F913</f>
        <v>0</v>
      </c>
      <c r="G1927" s="899">
        <f ca="1">'BIS Doc'!J913</f>
        <v>0</v>
      </c>
      <c r="H1927" s="900">
        <f ca="1">'BIS Doc'!G913</f>
        <v>0.55085065106078601</v>
      </c>
      <c r="I1927" s="901">
        <f ca="1">'BIS Doc'!H913</f>
        <v>0</v>
      </c>
      <c r="J1927" s="901">
        <f ca="1">'BIS Doc'!I913</f>
        <v>0</v>
      </c>
      <c r="K1927" s="1451" t="str">
        <f t="shared" ca="1" si="55"/>
        <v>IS 14650 CPS 10748/GR2</v>
      </c>
      <c r="L1927" s="1451"/>
      <c r="M1927" s="1451"/>
      <c r="N1927" s="1451"/>
      <c r="O1927" s="1451"/>
      <c r="P1927" s="902"/>
      <c r="Q1927" s="903"/>
      <c r="R1927" s="1451"/>
      <c r="S1927" s="1451"/>
      <c r="T1927" s="904"/>
      <c r="U1927" s="1450"/>
    </row>
    <row r="1928" spans="1:21" ht="19.5" customHeight="1">
      <c r="A1928" s="864"/>
      <c r="B1928" s="904"/>
      <c r="C1928" s="895"/>
      <c r="D1928" s="896"/>
      <c r="E1928" s="897"/>
      <c r="F1928" s="906"/>
      <c r="G1928" s="907"/>
      <c r="H1928" s="908"/>
      <c r="I1928" s="909"/>
      <c r="J1928" s="909"/>
      <c r="K1928" s="1451"/>
      <c r="L1928" s="1451"/>
      <c r="M1928" s="1451"/>
      <c r="N1928" s="1451"/>
      <c r="O1928" s="1451"/>
      <c r="P1928" s="902"/>
      <c r="Q1928" s="903"/>
      <c r="R1928" s="1451"/>
      <c r="S1928" s="1451"/>
      <c r="T1928" s="904"/>
      <c r="U1928" s="1450"/>
    </row>
    <row r="1929" spans="1:21" ht="19.5" customHeight="1">
      <c r="A1929" s="864"/>
      <c r="B1929" s="904"/>
      <c r="C1929" s="895"/>
      <c r="D1929" s="896"/>
      <c r="E1929" s="897"/>
      <c r="F1929" s="906"/>
      <c r="G1929" s="907"/>
      <c r="H1929" s="908"/>
      <c r="I1929" s="909"/>
      <c r="J1929" s="909"/>
      <c r="K1929" s="1451"/>
      <c r="L1929" s="1451"/>
      <c r="M1929" s="1451"/>
      <c r="N1929" s="1451"/>
      <c r="O1929" s="1451"/>
      <c r="P1929" s="902"/>
      <c r="Q1929" s="905"/>
      <c r="R1929" s="1451"/>
      <c r="S1929" s="1451"/>
      <c r="T1929" s="904"/>
      <c r="U1929" s="1450"/>
    </row>
    <row r="1930" spans="1:21" ht="19.5" customHeight="1">
      <c r="A1930" s="864"/>
      <c r="B1930" s="910"/>
      <c r="C1930" s="911"/>
      <c r="D1930" s="896"/>
      <c r="E1930" s="897"/>
      <c r="F1930" s="906"/>
      <c r="G1930" s="907"/>
      <c r="H1930" s="908"/>
      <c r="I1930" s="909"/>
      <c r="J1930" s="909"/>
      <c r="K1930" s="1451"/>
      <c r="L1930" s="1451"/>
      <c r="M1930" s="1451"/>
      <c r="N1930" s="1451"/>
      <c r="O1930" s="1451"/>
      <c r="P1930" s="912"/>
      <c r="Q1930" s="913"/>
      <c r="R1930" s="1452"/>
      <c r="S1930" s="1452"/>
      <c r="T1930" s="910"/>
      <c r="U1930" s="1450"/>
    </row>
    <row r="1931" spans="1:21" ht="19.5" customHeight="1">
      <c r="A1931" s="914"/>
      <c r="B1931" s="915"/>
      <c r="C1931" s="916"/>
      <c r="D1931" s="917"/>
      <c r="E1931" s="918">
        <f>SUM(E1922:E1927)</f>
        <v>0</v>
      </c>
      <c r="F1931" s="919"/>
      <c r="G1931" s="920"/>
      <c r="H1931" s="921"/>
      <c r="I1931" s="922"/>
      <c r="J1931" s="922"/>
      <c r="K1931" s="1453"/>
      <c r="L1931" s="1453"/>
      <c r="M1931" s="1453"/>
      <c r="N1931" s="1453"/>
      <c r="O1931" s="1453"/>
      <c r="P1931" s="923"/>
      <c r="Q1931" s="924"/>
      <c r="R1931" s="1454"/>
      <c r="S1931" s="1454"/>
      <c r="T1931" s="915"/>
      <c r="U1931" s="1450"/>
    </row>
    <row r="1932" spans="1:21" ht="15.75" customHeight="1">
      <c r="A1932" s="864"/>
      <c r="B1932" s="773"/>
      <c r="C1932" s="773"/>
      <c r="D1932" s="925"/>
      <c r="E1932" s="926"/>
      <c r="F1932" s="927"/>
      <c r="G1932" s="928"/>
      <c r="H1932" s="259"/>
      <c r="I1932" s="259"/>
      <c r="J1932" s="928"/>
      <c r="K1932" s="929"/>
      <c r="L1932" s="929"/>
      <c r="M1932" s="929"/>
      <c r="N1932" s="929"/>
      <c r="O1932" s="928"/>
      <c r="P1932" s="930"/>
      <c r="Q1932" s="931"/>
      <c r="R1932" s="931"/>
      <c r="U1932" s="932"/>
    </row>
    <row r="1933" spans="1:21" ht="18.75" customHeight="1">
      <c r="A1933" s="864"/>
      <c r="B1933" s="773"/>
      <c r="C1933" s="773"/>
      <c r="D1933" s="773"/>
      <c r="E1933" s="773"/>
      <c r="F1933" s="773"/>
      <c r="G1933" s="773"/>
      <c r="H1933" s="773"/>
      <c r="I1933" s="773"/>
      <c r="J1933" s="773"/>
      <c r="K1933" s="773"/>
      <c r="P1933" s="1446" t="s">
        <v>804</v>
      </c>
      <c r="Q1933" s="1446"/>
      <c r="R1933" s="1446"/>
      <c r="S1933" s="1446"/>
      <c r="T1933" s="1446"/>
      <c r="U1933" s="1446"/>
    </row>
    <row r="1934" spans="1:21" ht="18.75" customHeight="1">
      <c r="A1934" s="1447" t="s">
        <v>805</v>
      </c>
      <c r="B1934" s="1447"/>
      <c r="C1934" s="933"/>
      <c r="D1934" s="933"/>
      <c r="E1934" s="933"/>
      <c r="F1934" s="933"/>
      <c r="P1934" s="855"/>
      <c r="Q1934" s="855"/>
      <c r="R1934" s="855"/>
      <c r="S1934" s="855"/>
      <c r="T1934" s="855"/>
      <c r="U1934" s="934"/>
    </row>
    <row r="1935" spans="1:21" ht="18.75" customHeight="1">
      <c r="A1935" s="854"/>
      <c r="B1935" s="855"/>
      <c r="P1935" s="855"/>
      <c r="Q1935" s="855"/>
      <c r="R1935" s="855"/>
      <c r="S1935" s="855"/>
      <c r="T1935" s="855"/>
      <c r="U1935" s="934"/>
    </row>
    <row r="1936" spans="1:21" ht="18.75" customHeight="1">
      <c r="A1936" s="854" t="s">
        <v>806</v>
      </c>
      <c r="B1936" s="855"/>
      <c r="C1936" s="867"/>
      <c r="D1936" s="941"/>
      <c r="E1936" s="933"/>
      <c r="F1936" s="933"/>
      <c r="P1936" s="855"/>
      <c r="Q1936" s="855"/>
      <c r="R1936" s="855"/>
      <c r="S1936" s="855"/>
      <c r="T1936" s="855"/>
      <c r="U1936" s="934"/>
    </row>
    <row r="1937" spans="1:21" ht="18.75" customHeight="1">
      <c r="A1937" s="854"/>
      <c r="B1937" s="855"/>
      <c r="C1937" s="937"/>
      <c r="P1937" s="855"/>
      <c r="Q1937" s="855"/>
      <c r="R1937" s="855"/>
      <c r="S1937" s="855"/>
      <c r="T1937" s="855"/>
      <c r="U1937" s="934"/>
    </row>
    <row r="1938" spans="1:21" ht="19.5" customHeight="1">
      <c r="A1938" s="938"/>
      <c r="B1938" s="939"/>
      <c r="C1938" s="940"/>
      <c r="D1938" s="453"/>
      <c r="E1938" s="453"/>
      <c r="F1938" s="453"/>
      <c r="G1938" s="453"/>
      <c r="H1938" s="453"/>
      <c r="I1938" s="453"/>
      <c r="J1938" s="453"/>
      <c r="K1938" s="453"/>
      <c r="L1938" s="453"/>
      <c r="M1938" s="453"/>
      <c r="N1938" s="453"/>
      <c r="O1938" s="453"/>
      <c r="P1938" s="1448" t="s">
        <v>807</v>
      </c>
      <c r="Q1938" s="1448"/>
      <c r="R1938" s="1448"/>
      <c r="S1938" s="1448"/>
      <c r="T1938" s="1448"/>
      <c r="U1938" s="1448"/>
    </row>
    <row r="1939" spans="1:21" ht="45.75" customHeight="1">
      <c r="A1939" s="1455"/>
      <c r="B1939" s="1455"/>
      <c r="C1939" s="1455"/>
      <c r="D1939" s="847"/>
      <c r="E1939" s="1456" t="s">
        <v>774</v>
      </c>
      <c r="F1939" s="1456"/>
      <c r="G1939" s="1456"/>
      <c r="H1939" s="1456"/>
      <c r="I1939" s="1456"/>
      <c r="J1939" s="1456"/>
      <c r="K1939" s="1456"/>
      <c r="L1939" s="1456"/>
      <c r="M1939" s="1456"/>
      <c r="N1939" s="1456"/>
      <c r="O1939" s="1456"/>
      <c r="P1939" s="1456"/>
      <c r="Q1939" s="1456"/>
      <c r="R1939" s="1456"/>
      <c r="S1939" s="848"/>
      <c r="T1939" s="1457" t="s">
        <v>775</v>
      </c>
      <c r="U1939" s="1457"/>
    </row>
    <row r="1940" spans="1:21" ht="18.75" customHeight="1">
      <c r="A1940" s="849"/>
      <c r="E1940" s="1458" t="s">
        <v>776</v>
      </c>
      <c r="F1940" s="1458"/>
      <c r="G1940" s="1458"/>
      <c r="H1940" s="1458"/>
      <c r="I1940" s="1458"/>
      <c r="J1940" s="1458"/>
      <c r="K1940" s="1458"/>
      <c r="L1940" s="1458"/>
      <c r="M1940" s="1458"/>
      <c r="N1940" s="1458"/>
      <c r="O1940" s="1458"/>
      <c r="P1940" s="1458"/>
      <c r="Q1940" s="1458"/>
      <c r="R1940" s="1458"/>
      <c r="U1940" s="456"/>
    </row>
    <row r="1941" spans="1:21" ht="18.75" customHeight="1">
      <c r="A1941" s="850"/>
      <c r="F1941" s="587"/>
      <c r="G1941" s="587"/>
      <c r="H1941" s="587"/>
      <c r="I1941" s="587"/>
      <c r="J1941" s="587"/>
      <c r="K1941" s="587"/>
      <c r="L1941" s="587"/>
      <c r="M1941" s="851"/>
      <c r="N1941" s="852"/>
      <c r="O1941" s="851"/>
      <c r="P1941" s="1459" t="s">
        <v>777</v>
      </c>
      <c r="Q1941" s="1459"/>
      <c r="R1941" s="1459"/>
      <c r="S1941" s="1459"/>
      <c r="T1941" s="1459"/>
      <c r="U1941" s="1459"/>
    </row>
    <row r="1942" spans="1:21" ht="15" customHeight="1">
      <c r="A1942" s="849"/>
      <c r="E1942" s="1287" t="s">
        <v>778</v>
      </c>
      <c r="F1942" s="1287"/>
      <c r="G1942" s="1287"/>
      <c r="H1942" s="1287"/>
      <c r="I1942" s="1287"/>
      <c r="J1942" s="1287"/>
      <c r="K1942" s="1287"/>
      <c r="L1942" s="1287"/>
      <c r="M1942" s="1287"/>
      <c r="N1942" s="1287"/>
      <c r="O1942" s="1287"/>
      <c r="P1942" s="1287"/>
      <c r="Q1942" s="1287"/>
      <c r="R1942" s="1287"/>
      <c r="U1942" s="456"/>
    </row>
    <row r="1943" spans="1:21" ht="18.75" customHeight="1">
      <c r="A1943" s="849"/>
      <c r="E1943" s="1286" t="s">
        <v>779</v>
      </c>
      <c r="F1943" s="1286"/>
      <c r="G1943" s="1286"/>
      <c r="H1943" s="1286"/>
      <c r="I1943" s="1286"/>
      <c r="J1943" s="1286"/>
      <c r="K1943" s="1286"/>
      <c r="L1943" s="1286"/>
      <c r="M1943" s="1286"/>
      <c r="N1943" s="1286"/>
      <c r="O1943" s="1286"/>
      <c r="P1943" s="1286"/>
      <c r="Q1943" s="1286"/>
      <c r="R1943" s="1286"/>
      <c r="U1943" s="853"/>
    </row>
    <row r="1944" spans="1:21" ht="23.25" customHeight="1">
      <c r="A1944" s="854" t="s">
        <v>780</v>
      </c>
      <c r="B1944" s="855"/>
      <c r="C1944" s="855"/>
      <c r="D1944" s="856" t="s">
        <v>881</v>
      </c>
      <c r="E1944" s="857"/>
      <c r="F1944" s="858"/>
      <c r="G1944" s="859"/>
      <c r="H1944" s="859"/>
      <c r="I1944" s="859"/>
      <c r="J1944" s="859"/>
      <c r="K1944" s="859"/>
      <c r="L1944" s="860"/>
      <c r="M1944" s="1460"/>
      <c r="N1944" s="1460"/>
      <c r="O1944" s="1460"/>
      <c r="P1944" s="1461" t="s">
        <v>781</v>
      </c>
      <c r="Q1944" s="1461"/>
      <c r="R1944" s="1461"/>
      <c r="S1944" s="855"/>
      <c r="T1944" s="861" t="s">
        <v>887</v>
      </c>
      <c r="U1944" s="456"/>
    </row>
    <row r="1945" spans="1:21" ht="23.25" customHeight="1">
      <c r="A1945" s="854"/>
      <c r="B1945" s="862"/>
      <c r="C1945" s="862"/>
      <c r="D1945" s="862"/>
      <c r="E1945" s="163"/>
      <c r="F1945" s="863"/>
      <c r="G1945" s="863"/>
      <c r="H1945" s="863"/>
      <c r="I1945" s="863"/>
      <c r="J1945" s="863"/>
      <c r="K1945" s="863"/>
      <c r="U1945" s="456"/>
    </row>
    <row r="1946" spans="1:21" ht="21" customHeight="1">
      <c r="A1946" s="864" t="s">
        <v>782</v>
      </c>
      <c r="B1946" s="865"/>
      <c r="C1946" s="866"/>
      <c r="D1946" s="867"/>
      <c r="E1946" s="868"/>
      <c r="F1946" s="869"/>
      <c r="G1946" s="869"/>
      <c r="H1946" s="869"/>
      <c r="I1946" s="870"/>
      <c r="J1946" s="870"/>
      <c r="P1946" s="1462"/>
      <c r="Q1946" s="1462"/>
      <c r="R1946" s="1462"/>
      <c r="S1946" s="1462"/>
      <c r="T1946" s="871"/>
      <c r="U1946" s="456"/>
    </row>
    <row r="1947" spans="1:21" ht="21" customHeight="1">
      <c r="A1947" s="872"/>
      <c r="B1947" s="873"/>
      <c r="C1947" s="869"/>
      <c r="D1947" s="869"/>
      <c r="E1947" s="869"/>
      <c r="F1947" s="869"/>
      <c r="G1947" s="869"/>
      <c r="H1947" s="869"/>
      <c r="I1947" s="870"/>
      <c r="J1947" s="870"/>
      <c r="U1947" s="456"/>
    </row>
    <row r="1948" spans="1:21" ht="15" customHeight="1">
      <c r="A1948" s="1463" t="s">
        <v>783</v>
      </c>
      <c r="B1948" s="1463"/>
      <c r="C1948" s="1463"/>
      <c r="D1948" s="1463"/>
      <c r="E1948" s="1463"/>
      <c r="F1948" s="1463"/>
      <c r="G1948" s="1463"/>
      <c r="H1948" s="1463"/>
      <c r="I1948" s="1463"/>
      <c r="J1948" s="1463"/>
      <c r="K1948" s="1463"/>
      <c r="L1948" s="1463"/>
      <c r="M1948" s="1463"/>
      <c r="N1948" s="1463"/>
      <c r="O1948" s="1463"/>
      <c r="P1948" s="1463"/>
      <c r="Q1948" s="1463"/>
      <c r="R1948" s="1463"/>
      <c r="S1948" s="1463"/>
      <c r="T1948" s="1463"/>
      <c r="U1948" s="1463"/>
    </row>
    <row r="1949" spans="1:21" ht="15" customHeight="1">
      <c r="A1949" s="1463"/>
      <c r="B1949" s="1463"/>
      <c r="C1949" s="1463"/>
      <c r="D1949" s="1463"/>
      <c r="E1949" s="1463"/>
      <c r="F1949" s="1463"/>
      <c r="G1949" s="1463"/>
      <c r="H1949" s="1463"/>
      <c r="I1949" s="1463"/>
      <c r="J1949" s="1463"/>
      <c r="K1949" s="1463"/>
      <c r="L1949" s="1463"/>
      <c r="M1949" s="1463"/>
      <c r="N1949" s="1463"/>
      <c r="O1949" s="1463"/>
      <c r="P1949" s="1463"/>
      <c r="Q1949" s="1463"/>
      <c r="R1949" s="1463"/>
      <c r="S1949" s="1463"/>
      <c r="T1949" s="1463"/>
      <c r="U1949" s="1463"/>
    </row>
    <row r="1950" spans="1:21" ht="18" customHeight="1">
      <c r="A1950" s="1464" t="s">
        <v>784</v>
      </c>
      <c r="B1950" s="1464"/>
      <c r="C1950" s="1464"/>
      <c r="D1950" s="1464"/>
      <c r="E1950" s="1464"/>
      <c r="F1950" s="1464"/>
      <c r="G1950" s="1464"/>
      <c r="H1950" s="1464"/>
      <c r="I1950" s="1464"/>
      <c r="J1950" s="1464"/>
      <c r="K1950" s="1464"/>
      <c r="L1950" s="1464"/>
      <c r="M1950" s="1464"/>
      <c r="N1950" s="1464"/>
      <c r="O1950" s="1464"/>
      <c r="P1950" s="1464"/>
      <c r="Q1950" s="1464"/>
      <c r="R1950" s="1464"/>
      <c r="S1950" s="1464"/>
      <c r="T1950" s="1464"/>
      <c r="U1950" s="1464"/>
    </row>
    <row r="1951" spans="1:21" ht="23.25" customHeight="1">
      <c r="A1951" s="1465" t="s">
        <v>785</v>
      </c>
      <c r="B1951" s="1465"/>
      <c r="C1951" s="1465"/>
      <c r="D1951" s="1465"/>
      <c r="E1951" s="1465"/>
      <c r="F1951" s="1465"/>
      <c r="G1951" s="1465"/>
      <c r="H1951" s="1465"/>
      <c r="I1951" s="1465"/>
      <c r="J1951" s="1465"/>
      <c r="K1951" s="1465"/>
      <c r="L1951" s="1465"/>
      <c r="M1951" s="1465"/>
      <c r="N1951" s="1465"/>
      <c r="O1951" s="1465"/>
      <c r="P1951" s="1465"/>
      <c r="Q1951" s="1465"/>
      <c r="R1951" s="1465"/>
      <c r="S1951" s="1465"/>
      <c r="T1951" s="1465"/>
      <c r="U1951" s="1465"/>
    </row>
    <row r="1952" spans="1:21" ht="21.75" customHeight="1">
      <c r="A1952" s="874"/>
      <c r="B1952" s="875"/>
      <c r="C1952" s="875"/>
      <c r="D1952" s="875"/>
      <c r="E1952" s="875"/>
      <c r="F1952" s="875"/>
      <c r="G1952" s="875"/>
      <c r="H1952" s="875"/>
      <c r="I1952" s="875"/>
      <c r="J1952" s="875"/>
      <c r="K1952" s="875"/>
      <c r="L1952" s="875"/>
      <c r="M1952" s="875"/>
      <c r="N1952" s="875"/>
      <c r="O1952" s="875"/>
      <c r="P1952" s="875"/>
      <c r="Q1952" s="875"/>
      <c r="R1952" s="875"/>
      <c r="S1952" s="875"/>
      <c r="T1952" s="875"/>
      <c r="U1952" s="876"/>
    </row>
    <row r="1953" spans="1:21" ht="15" customHeight="1">
      <c r="A1953" s="1466" t="s">
        <v>786</v>
      </c>
      <c r="B1953" s="1467" t="s">
        <v>787</v>
      </c>
      <c r="C1953" s="1468" t="s">
        <v>788</v>
      </c>
      <c r="D1953" s="1468" t="s">
        <v>789</v>
      </c>
      <c r="E1953" s="1469" t="s">
        <v>790</v>
      </c>
      <c r="F1953" s="1468" t="s">
        <v>791</v>
      </c>
      <c r="G1953" s="1468"/>
      <c r="H1953" s="1468"/>
      <c r="I1953" s="1468"/>
      <c r="J1953" s="1468"/>
      <c r="K1953" s="1468"/>
      <c r="L1953" s="1468"/>
      <c r="M1953" s="1468"/>
      <c r="N1953" s="1468"/>
      <c r="O1953" s="1468"/>
      <c r="P1953" s="1470"/>
      <c r="Q1953" s="1470"/>
      <c r="R1953" s="1470"/>
      <c r="S1953" s="1470"/>
      <c r="T1953" s="1470"/>
      <c r="U1953" s="1470"/>
    </row>
    <row r="1954" spans="1:21" ht="15.75" customHeight="1">
      <c r="A1954" s="1466"/>
      <c r="B1954" s="1467"/>
      <c r="C1954" s="1468"/>
      <c r="D1954" s="1468"/>
      <c r="E1954" s="1469"/>
      <c r="F1954" s="1468"/>
      <c r="G1954" s="1468"/>
      <c r="H1954" s="1468"/>
      <c r="I1954" s="1468"/>
      <c r="J1954" s="1468"/>
      <c r="K1954" s="1468"/>
      <c r="L1954" s="1468"/>
      <c r="M1954" s="1468"/>
      <c r="N1954" s="1468"/>
      <c r="O1954" s="1468"/>
      <c r="P1954" s="1470"/>
      <c r="Q1954" s="1470"/>
      <c r="R1954" s="1470"/>
      <c r="S1954" s="1470"/>
      <c r="T1954" s="1470"/>
      <c r="U1954" s="1470"/>
    </row>
    <row r="1955" spans="1:21" ht="48" customHeight="1">
      <c r="A1955" s="1466"/>
      <c r="B1955" s="1467"/>
      <c r="C1955" s="1468"/>
      <c r="D1955" s="1468"/>
      <c r="E1955" s="1469"/>
      <c r="F1955" s="878" t="s">
        <v>792</v>
      </c>
      <c r="G1955" s="877" t="s">
        <v>793</v>
      </c>
      <c r="H1955" s="878" t="s">
        <v>794</v>
      </c>
      <c r="I1955" s="879" t="s">
        <v>795</v>
      </c>
      <c r="J1955" s="880" t="s">
        <v>796</v>
      </c>
      <c r="K1955" s="1468" t="s">
        <v>797</v>
      </c>
      <c r="L1955" s="1468"/>
      <c r="M1955" s="1468"/>
      <c r="N1955" s="1468"/>
      <c r="O1955" s="1468"/>
      <c r="P1955" s="881" t="s">
        <v>798</v>
      </c>
      <c r="Q1955" s="882" t="s">
        <v>799</v>
      </c>
      <c r="R1955" s="1469" t="s">
        <v>800</v>
      </c>
      <c r="S1955" s="1469"/>
      <c r="T1955" s="877" t="s">
        <v>801</v>
      </c>
      <c r="U1955" s="879" t="s">
        <v>104</v>
      </c>
    </row>
    <row r="1956" spans="1:21" ht="19.5" customHeight="1">
      <c r="A1956" s="883"/>
      <c r="B1956" s="884" t="str">
        <f>IF('BIS Doc'!AC915=130, "130 × 130", IF('BIS Doc'!AC915=160, "160 × 160", IF('BIS Doc'!AC915=110, "110 × 110", "Value not 130, 160, or 110")))</f>
        <v>Value not 130, 160, or 110</v>
      </c>
      <c r="C1956" s="885">
        <f>'BIS Doc'!W915</f>
        <v>0</v>
      </c>
      <c r="D1956" s="886"/>
      <c r="E1956" s="887">
        <f>'BIS Doc'!AE915</f>
        <v>0</v>
      </c>
      <c r="F1956" s="888">
        <f ca="1">'BIS Doc'!F915</f>
        <v>0</v>
      </c>
      <c r="G1956" s="888">
        <f ca="1">'BIS Doc'!J915</f>
        <v>0</v>
      </c>
      <c r="H1956" s="888">
        <f ca="1">'BIS Doc'!G915</f>
        <v>0.55155562604741359</v>
      </c>
      <c r="I1956" s="889">
        <f ca="1">'BIS Doc'!H915</f>
        <v>0</v>
      </c>
      <c r="J1956" s="889">
        <f ca="1">'BIS Doc'!I915</f>
        <v>0</v>
      </c>
      <c r="K1956" s="1449" t="str">
        <f t="shared" ref="K1956:K1961" ca="1" si="56">IF(H1956&lt;0.6, "IS 14650 CPS 10748/GR2", "IS 14650 CPS 10748/GR3")</f>
        <v>IS 14650 CPS 10748/GR2</v>
      </c>
      <c r="L1956" s="1449"/>
      <c r="M1956" s="1449"/>
      <c r="N1956" s="1449"/>
      <c r="O1956" s="1449"/>
      <c r="P1956" s="890"/>
      <c r="Q1956" s="891"/>
      <c r="R1956" s="1449"/>
      <c r="S1956" s="1449"/>
      <c r="T1956" s="892"/>
      <c r="U1956" s="1450" t="s">
        <v>802</v>
      </c>
    </row>
    <row r="1957" spans="1:21" ht="19.5" customHeight="1">
      <c r="A1957" s="893"/>
      <c r="B1957" s="894" t="str">
        <f>IF('BIS Doc'!AC917=130, "130 × 130", IF('BIS Doc'!AC917=160, "160 × 160", IF('BIS Doc'!AC917=110, "110 × 110", "Value not 130, 160, or 110")))</f>
        <v>Value not 130, 160, or 110</v>
      </c>
      <c r="C1957" s="895">
        <f>'BIS Doc'!W917</f>
        <v>0</v>
      </c>
      <c r="D1957" s="896"/>
      <c r="E1957" s="897">
        <f>'BIS Doc'!AE917</f>
        <v>0</v>
      </c>
      <c r="F1957" s="898">
        <f ca="1">'BIS Doc'!F917</f>
        <v>0</v>
      </c>
      <c r="G1957" s="899">
        <f ca="1">'BIS Doc'!J917</f>
        <v>0</v>
      </c>
      <c r="H1957" s="900">
        <f ca="1">'BIS Doc'!G917</f>
        <v>0.5551235944082048</v>
      </c>
      <c r="I1957" s="901">
        <f ca="1">'BIS Doc'!H917</f>
        <v>0</v>
      </c>
      <c r="J1957" s="901">
        <f ca="1">'BIS Doc'!I917</f>
        <v>0</v>
      </c>
      <c r="K1957" s="1451" t="str">
        <f t="shared" ca="1" si="56"/>
        <v>IS 14650 CPS 10748/GR2</v>
      </c>
      <c r="L1957" s="1451"/>
      <c r="M1957" s="1451"/>
      <c r="N1957" s="1451"/>
      <c r="O1957" s="1451"/>
      <c r="P1957" s="902"/>
      <c r="Q1957" s="903"/>
      <c r="R1957" s="1451"/>
      <c r="S1957" s="1451"/>
      <c r="T1957" s="904"/>
      <c r="U1957" s="1450"/>
    </row>
    <row r="1958" spans="1:21" ht="19.5" customHeight="1">
      <c r="A1958" s="864"/>
      <c r="B1958" s="894" t="str">
        <f>IF('BIS Doc'!AC919=130, "130 × 130", IF('BIS Doc'!AC919=160, "160 × 160", IF('BIS Doc'!AC919=110, "110 × 110", "Value not 130, 160, or 110")))</f>
        <v>Value not 130, 160, or 110</v>
      </c>
      <c r="C1958" s="895">
        <f>'BIS Doc'!W919</f>
        <v>0</v>
      </c>
      <c r="D1958" s="896" t="s">
        <v>803</v>
      </c>
      <c r="E1958" s="897">
        <f>'BIS Doc'!AE919</f>
        <v>0</v>
      </c>
      <c r="F1958" s="898">
        <f ca="1">'BIS Doc'!F919</f>
        <v>0</v>
      </c>
      <c r="G1958" s="899">
        <f ca="1">'BIS Doc'!J919</f>
        <v>0</v>
      </c>
      <c r="H1958" s="900">
        <f ca="1">'BIS Doc'!G919</f>
        <v>0.51961580185680833</v>
      </c>
      <c r="I1958" s="901">
        <f ca="1">'BIS Doc'!H919</f>
        <v>0</v>
      </c>
      <c r="J1958" s="901">
        <f ca="1">'BIS Doc'!I919</f>
        <v>0</v>
      </c>
      <c r="K1958" s="1451" t="str">
        <f t="shared" ca="1" si="56"/>
        <v>IS 14650 CPS 10748/GR2</v>
      </c>
      <c r="L1958" s="1451"/>
      <c r="M1958" s="1451"/>
      <c r="N1958" s="1451"/>
      <c r="O1958" s="1451"/>
      <c r="P1958" s="902"/>
      <c r="Q1958" s="905"/>
      <c r="R1958" s="1451"/>
      <c r="S1958" s="1451"/>
      <c r="T1958" s="904"/>
      <c r="U1958" s="1450"/>
    </row>
    <row r="1959" spans="1:21" ht="19.5" customHeight="1">
      <c r="A1959" s="864"/>
      <c r="B1959" s="894" t="str">
        <f>IF('BIS Doc'!AC921=130, "130 × 130", IF('BIS Doc'!AC921=160, "160 × 160", IF('BIS Doc'!AC921=110, "110 × 110", "Value not 130, 160, or 110")))</f>
        <v>Value not 130, 160, or 110</v>
      </c>
      <c r="C1959" s="895">
        <f>'BIS Doc'!W921</f>
        <v>0</v>
      </c>
      <c r="D1959" s="896"/>
      <c r="E1959" s="897">
        <f>'BIS Doc'!AE921</f>
        <v>0</v>
      </c>
      <c r="F1959" s="898">
        <f ca="1">'BIS Doc'!F921</f>
        <v>0</v>
      </c>
      <c r="G1959" s="899">
        <f ca="1">'BIS Doc'!J921</f>
        <v>0</v>
      </c>
      <c r="H1959" s="900">
        <f ca="1">'BIS Doc'!G921</f>
        <v>0.55169175623855893</v>
      </c>
      <c r="I1959" s="901">
        <f ca="1">'BIS Doc'!H921</f>
        <v>0</v>
      </c>
      <c r="J1959" s="901">
        <f ca="1">'BIS Doc'!I921</f>
        <v>0</v>
      </c>
      <c r="K1959" s="1451" t="str">
        <f t="shared" ca="1" si="56"/>
        <v>IS 14650 CPS 10748/GR2</v>
      </c>
      <c r="L1959" s="1451"/>
      <c r="M1959" s="1451"/>
      <c r="N1959" s="1451"/>
      <c r="O1959" s="1451"/>
      <c r="P1959" s="902"/>
      <c r="Q1959" s="905"/>
      <c r="R1959" s="1451"/>
      <c r="S1959" s="1451"/>
      <c r="T1959" s="904"/>
      <c r="U1959" s="1450"/>
    </row>
    <row r="1960" spans="1:21" ht="19.5" customHeight="1">
      <c r="A1960" s="864"/>
      <c r="B1960" s="894" t="str">
        <f>IF('BIS Doc'!AC923=130, "130 × 130", IF('BIS Doc'!AC923=160, "160 × 160", IF('BIS Doc'!AC923=110, "110 × 110", "Value not 130, 160, or 110")))</f>
        <v>Value not 130, 160, or 110</v>
      </c>
      <c r="C1960" s="895">
        <f>'BIS Doc'!W923</f>
        <v>0</v>
      </c>
      <c r="D1960" s="896"/>
      <c r="E1960" s="897">
        <f>'BIS Doc'!AE923</f>
        <v>0</v>
      </c>
      <c r="F1960" s="898">
        <f ca="1">'BIS Doc'!F923</f>
        <v>0</v>
      </c>
      <c r="G1960" s="899">
        <f ca="1">'BIS Doc'!J923</f>
        <v>0</v>
      </c>
      <c r="H1960" s="900">
        <f ca="1">'BIS Doc'!G923</f>
        <v>0.53231463747721053</v>
      </c>
      <c r="I1960" s="901">
        <f ca="1">'BIS Doc'!H923</f>
        <v>0</v>
      </c>
      <c r="J1960" s="901">
        <f ca="1">'BIS Doc'!I923</f>
        <v>0</v>
      </c>
      <c r="K1960" s="1451" t="str">
        <f t="shared" ca="1" si="56"/>
        <v>IS 14650 CPS 10748/GR2</v>
      </c>
      <c r="L1960" s="1451"/>
      <c r="M1960" s="1451"/>
      <c r="N1960" s="1451"/>
      <c r="O1960" s="1451"/>
      <c r="P1960" s="902"/>
      <c r="Q1960" s="905"/>
      <c r="R1960" s="1451"/>
      <c r="S1960" s="1451"/>
      <c r="T1960" s="904"/>
      <c r="U1960" s="1450"/>
    </row>
    <row r="1961" spans="1:21" ht="19.5" customHeight="1">
      <c r="A1961" s="864"/>
      <c r="B1961" s="894" t="str">
        <f>IF('BIS Doc'!AC925=130, "130 × 130", IF('BIS Doc'!AC925=160, "160 × 160", IF('BIS Doc'!AC925=110, "110 × 110", "Value not 130, 160, or 110")))</f>
        <v>Value not 130, 160, or 110</v>
      </c>
      <c r="C1961" s="895">
        <f>'BIS Doc'!W925</f>
        <v>0</v>
      </c>
      <c r="D1961" s="896"/>
      <c r="E1961" s="897">
        <f>'BIS Doc'!AE925</f>
        <v>0</v>
      </c>
      <c r="F1961" s="898">
        <f ca="1">'BIS Doc'!F925</f>
        <v>0</v>
      </c>
      <c r="G1961" s="899">
        <f ca="1">'BIS Doc'!J925</f>
        <v>0</v>
      </c>
      <c r="H1961" s="900">
        <f ca="1">'BIS Doc'!G925</f>
        <v>0.53600266483437597</v>
      </c>
      <c r="I1961" s="901">
        <f ca="1">'BIS Doc'!H925</f>
        <v>0</v>
      </c>
      <c r="J1961" s="901">
        <f ca="1">'BIS Doc'!I925</f>
        <v>0</v>
      </c>
      <c r="K1961" s="1451" t="str">
        <f t="shared" ca="1" si="56"/>
        <v>IS 14650 CPS 10748/GR2</v>
      </c>
      <c r="L1961" s="1451"/>
      <c r="M1961" s="1451"/>
      <c r="N1961" s="1451"/>
      <c r="O1961" s="1451"/>
      <c r="P1961" s="902"/>
      <c r="Q1961" s="903"/>
      <c r="R1961" s="1451"/>
      <c r="S1961" s="1451"/>
      <c r="T1961" s="904"/>
      <c r="U1961" s="1450"/>
    </row>
    <row r="1962" spans="1:21" ht="19.5" customHeight="1">
      <c r="A1962" s="864"/>
      <c r="B1962" s="904"/>
      <c r="C1962" s="895"/>
      <c r="D1962" s="896"/>
      <c r="E1962" s="897"/>
      <c r="F1962" s="906"/>
      <c r="G1962" s="907"/>
      <c r="H1962" s="908"/>
      <c r="I1962" s="909"/>
      <c r="J1962" s="909"/>
      <c r="K1962" s="1451"/>
      <c r="L1962" s="1451"/>
      <c r="M1962" s="1451"/>
      <c r="N1962" s="1451"/>
      <c r="O1962" s="1451"/>
      <c r="P1962" s="902"/>
      <c r="Q1962" s="903"/>
      <c r="R1962" s="1451"/>
      <c r="S1962" s="1451"/>
      <c r="T1962" s="904"/>
      <c r="U1962" s="1450"/>
    </row>
    <row r="1963" spans="1:21" ht="19.5" customHeight="1">
      <c r="A1963" s="864"/>
      <c r="B1963" s="904"/>
      <c r="C1963" s="895"/>
      <c r="D1963" s="896"/>
      <c r="E1963" s="897"/>
      <c r="F1963" s="906"/>
      <c r="G1963" s="907"/>
      <c r="H1963" s="908"/>
      <c r="I1963" s="909"/>
      <c r="J1963" s="909"/>
      <c r="K1963" s="1451"/>
      <c r="L1963" s="1451"/>
      <c r="M1963" s="1451"/>
      <c r="N1963" s="1451"/>
      <c r="O1963" s="1451"/>
      <c r="P1963" s="902"/>
      <c r="Q1963" s="905"/>
      <c r="R1963" s="1451"/>
      <c r="S1963" s="1451"/>
      <c r="T1963" s="904"/>
      <c r="U1963" s="1450"/>
    </row>
    <row r="1964" spans="1:21" ht="19.5" customHeight="1">
      <c r="A1964" s="864"/>
      <c r="B1964" s="910"/>
      <c r="C1964" s="911"/>
      <c r="D1964" s="896"/>
      <c r="E1964" s="897"/>
      <c r="F1964" s="906"/>
      <c r="G1964" s="907"/>
      <c r="H1964" s="908"/>
      <c r="I1964" s="909"/>
      <c r="J1964" s="909"/>
      <c r="K1964" s="1451"/>
      <c r="L1964" s="1451"/>
      <c r="M1964" s="1451"/>
      <c r="N1964" s="1451"/>
      <c r="O1964" s="1451"/>
      <c r="P1964" s="912"/>
      <c r="Q1964" s="913"/>
      <c r="R1964" s="1452"/>
      <c r="S1964" s="1452"/>
      <c r="T1964" s="910"/>
      <c r="U1964" s="1450"/>
    </row>
    <row r="1965" spans="1:21" ht="19.5" customHeight="1">
      <c r="A1965" s="914"/>
      <c r="B1965" s="915"/>
      <c r="C1965" s="916"/>
      <c r="D1965" s="917"/>
      <c r="E1965" s="918">
        <f>SUM(E1956:E1961)</f>
        <v>0</v>
      </c>
      <c r="F1965" s="919"/>
      <c r="G1965" s="920"/>
      <c r="H1965" s="921"/>
      <c r="I1965" s="922"/>
      <c r="J1965" s="922"/>
      <c r="K1965" s="1453"/>
      <c r="L1965" s="1453"/>
      <c r="M1965" s="1453"/>
      <c r="N1965" s="1453"/>
      <c r="O1965" s="1453"/>
      <c r="P1965" s="923"/>
      <c r="Q1965" s="924"/>
      <c r="R1965" s="1454"/>
      <c r="S1965" s="1454"/>
      <c r="T1965" s="915"/>
      <c r="U1965" s="1450"/>
    </row>
    <row r="1966" spans="1:21" ht="15.75" customHeight="1">
      <c r="A1966" s="864"/>
      <c r="B1966" s="773"/>
      <c r="C1966" s="773"/>
      <c r="D1966" s="925"/>
      <c r="E1966" s="926"/>
      <c r="F1966" s="927"/>
      <c r="G1966" s="928"/>
      <c r="H1966" s="259"/>
      <c r="I1966" s="259"/>
      <c r="J1966" s="928"/>
      <c r="K1966" s="929"/>
      <c r="L1966" s="929"/>
      <c r="M1966" s="929"/>
      <c r="N1966" s="929"/>
      <c r="O1966" s="928"/>
      <c r="P1966" s="930"/>
      <c r="Q1966" s="931"/>
      <c r="R1966" s="931"/>
      <c r="U1966" s="932"/>
    </row>
    <row r="1967" spans="1:21" ht="18.75" customHeight="1">
      <c r="A1967" s="864"/>
      <c r="B1967" s="773"/>
      <c r="C1967" s="773"/>
      <c r="D1967" s="773"/>
      <c r="E1967" s="773"/>
      <c r="F1967" s="773"/>
      <c r="G1967" s="773"/>
      <c r="H1967" s="773"/>
      <c r="I1967" s="773"/>
      <c r="J1967" s="773"/>
      <c r="K1967" s="773"/>
      <c r="P1967" s="1446" t="s">
        <v>804</v>
      </c>
      <c r="Q1967" s="1446"/>
      <c r="R1967" s="1446"/>
      <c r="S1967" s="1446"/>
      <c r="T1967" s="1446"/>
      <c r="U1967" s="1446"/>
    </row>
    <row r="1968" spans="1:21" ht="18.75" customHeight="1">
      <c r="A1968" s="1447" t="s">
        <v>805</v>
      </c>
      <c r="B1968" s="1447"/>
      <c r="C1968" s="933"/>
      <c r="D1968" s="933"/>
      <c r="E1968" s="933"/>
      <c r="F1968" s="933"/>
      <c r="P1968" s="855"/>
      <c r="Q1968" s="855"/>
      <c r="R1968" s="855"/>
      <c r="S1968" s="855"/>
      <c r="T1968" s="855"/>
      <c r="U1968" s="934"/>
    </row>
    <row r="1969" spans="1:21" ht="18.75" customHeight="1">
      <c r="A1969" s="854"/>
      <c r="B1969" s="855"/>
      <c r="P1969" s="855"/>
      <c r="Q1969" s="855"/>
      <c r="R1969" s="855"/>
      <c r="S1969" s="855"/>
      <c r="T1969" s="855"/>
      <c r="U1969" s="934"/>
    </row>
    <row r="1970" spans="1:21" ht="18.75" customHeight="1">
      <c r="A1970" s="854" t="s">
        <v>806</v>
      </c>
      <c r="B1970" s="855"/>
      <c r="C1970" s="867"/>
      <c r="D1970" s="941"/>
      <c r="E1970" s="933"/>
      <c r="F1970" s="933"/>
      <c r="P1970" s="855"/>
      <c r="Q1970" s="855"/>
      <c r="R1970" s="855"/>
      <c r="S1970" s="855"/>
      <c r="T1970" s="855"/>
      <c r="U1970" s="934"/>
    </row>
    <row r="1971" spans="1:21" ht="18.75" customHeight="1">
      <c r="A1971" s="854"/>
      <c r="B1971" s="855"/>
      <c r="C1971" s="937"/>
      <c r="P1971" s="855"/>
      <c r="Q1971" s="855"/>
      <c r="R1971" s="855"/>
      <c r="S1971" s="855"/>
      <c r="T1971" s="855"/>
      <c r="U1971" s="934"/>
    </row>
    <row r="1972" spans="1:21" ht="19.5" customHeight="1">
      <c r="A1972" s="938"/>
      <c r="B1972" s="939"/>
      <c r="C1972" s="940"/>
      <c r="D1972" s="453"/>
      <c r="E1972" s="453"/>
      <c r="F1972" s="453"/>
      <c r="G1972" s="453"/>
      <c r="H1972" s="453"/>
      <c r="I1972" s="453"/>
      <c r="J1972" s="453"/>
      <c r="K1972" s="453"/>
      <c r="L1972" s="453"/>
      <c r="M1972" s="453"/>
      <c r="N1972" s="453"/>
      <c r="O1972" s="453"/>
      <c r="P1972" s="1448" t="s">
        <v>807</v>
      </c>
      <c r="Q1972" s="1448"/>
      <c r="R1972" s="1448"/>
      <c r="S1972" s="1448"/>
      <c r="T1972" s="1448"/>
      <c r="U1972" s="1448"/>
    </row>
    <row r="1973" spans="1:21" ht="45.75" customHeight="1">
      <c r="A1973" s="1455"/>
      <c r="B1973" s="1455"/>
      <c r="C1973" s="1455"/>
      <c r="D1973" s="847"/>
      <c r="E1973" s="1456" t="s">
        <v>774</v>
      </c>
      <c r="F1973" s="1456"/>
      <c r="G1973" s="1456"/>
      <c r="H1973" s="1456"/>
      <c r="I1973" s="1456"/>
      <c r="J1973" s="1456"/>
      <c r="K1973" s="1456"/>
      <c r="L1973" s="1456"/>
      <c r="M1973" s="1456"/>
      <c r="N1973" s="1456"/>
      <c r="O1973" s="1456"/>
      <c r="P1973" s="1456"/>
      <c r="Q1973" s="1456"/>
      <c r="R1973" s="1456"/>
      <c r="S1973" s="848"/>
      <c r="T1973" s="1457" t="s">
        <v>775</v>
      </c>
      <c r="U1973" s="1457"/>
    </row>
    <row r="1974" spans="1:21" ht="18.75" customHeight="1">
      <c r="A1974" s="849"/>
      <c r="E1974" s="1458" t="s">
        <v>776</v>
      </c>
      <c r="F1974" s="1458"/>
      <c r="G1974" s="1458"/>
      <c r="H1974" s="1458"/>
      <c r="I1974" s="1458"/>
      <c r="J1974" s="1458"/>
      <c r="K1974" s="1458"/>
      <c r="L1974" s="1458"/>
      <c r="M1974" s="1458"/>
      <c r="N1974" s="1458"/>
      <c r="O1974" s="1458"/>
      <c r="P1974" s="1458"/>
      <c r="Q1974" s="1458"/>
      <c r="R1974" s="1458"/>
      <c r="U1974" s="456"/>
    </row>
    <row r="1975" spans="1:21" ht="18.75" customHeight="1">
      <c r="A1975" s="850"/>
      <c r="F1975" s="587"/>
      <c r="G1975" s="587"/>
      <c r="H1975" s="587"/>
      <c r="I1975" s="587"/>
      <c r="J1975" s="587"/>
      <c r="K1975" s="587"/>
      <c r="L1975" s="587"/>
      <c r="M1975" s="851"/>
      <c r="N1975" s="852"/>
      <c r="O1975" s="851"/>
      <c r="P1975" s="1459" t="s">
        <v>777</v>
      </c>
      <c r="Q1975" s="1459"/>
      <c r="R1975" s="1459"/>
      <c r="S1975" s="1459"/>
      <c r="T1975" s="1459"/>
      <c r="U1975" s="1459"/>
    </row>
    <row r="1976" spans="1:21" ht="15" customHeight="1">
      <c r="A1976" s="849"/>
      <c r="E1976" s="1287" t="s">
        <v>778</v>
      </c>
      <c r="F1976" s="1287"/>
      <c r="G1976" s="1287"/>
      <c r="H1976" s="1287"/>
      <c r="I1976" s="1287"/>
      <c r="J1976" s="1287"/>
      <c r="K1976" s="1287"/>
      <c r="L1976" s="1287"/>
      <c r="M1976" s="1287"/>
      <c r="N1976" s="1287"/>
      <c r="O1976" s="1287"/>
      <c r="P1976" s="1287"/>
      <c r="Q1976" s="1287"/>
      <c r="R1976" s="1287"/>
      <c r="U1976" s="456"/>
    </row>
    <row r="1977" spans="1:21" ht="18.75" customHeight="1">
      <c r="A1977" s="849"/>
      <c r="E1977" s="1286" t="s">
        <v>779</v>
      </c>
      <c r="F1977" s="1286"/>
      <c r="G1977" s="1286"/>
      <c r="H1977" s="1286"/>
      <c r="I1977" s="1286"/>
      <c r="J1977" s="1286"/>
      <c r="K1977" s="1286"/>
      <c r="L1977" s="1286"/>
      <c r="M1977" s="1286"/>
      <c r="N1977" s="1286"/>
      <c r="O1977" s="1286"/>
      <c r="P1977" s="1286"/>
      <c r="Q1977" s="1286"/>
      <c r="R1977" s="1286"/>
      <c r="U1977" s="853"/>
    </row>
    <row r="1978" spans="1:21" ht="23.25" customHeight="1">
      <c r="A1978" s="854" t="s">
        <v>780</v>
      </c>
      <c r="B1978" s="855"/>
      <c r="C1978" s="855"/>
      <c r="D1978" s="856" t="s">
        <v>882</v>
      </c>
      <c r="E1978" s="857"/>
      <c r="F1978" s="858"/>
      <c r="G1978" s="859"/>
      <c r="H1978" s="859"/>
      <c r="I1978" s="859"/>
      <c r="J1978" s="859"/>
      <c r="K1978" s="859"/>
      <c r="L1978" s="860"/>
      <c r="M1978" s="1460"/>
      <c r="N1978" s="1460"/>
      <c r="O1978" s="1460"/>
      <c r="P1978" s="1461" t="s">
        <v>781</v>
      </c>
      <c r="Q1978" s="1461"/>
      <c r="R1978" s="1461"/>
      <c r="S1978" s="855"/>
      <c r="T1978" s="861">
        <v>46325</v>
      </c>
      <c r="U1978" s="456"/>
    </row>
    <row r="1979" spans="1:21" ht="23.25" customHeight="1">
      <c r="A1979" s="854"/>
      <c r="B1979" s="862"/>
      <c r="C1979" s="862"/>
      <c r="D1979" s="862"/>
      <c r="E1979" s="163"/>
      <c r="F1979" s="863"/>
      <c r="G1979" s="863"/>
      <c r="H1979" s="863"/>
      <c r="I1979" s="863"/>
      <c r="J1979" s="863"/>
      <c r="K1979" s="863"/>
      <c r="U1979" s="456"/>
    </row>
    <row r="1980" spans="1:21" ht="21" customHeight="1">
      <c r="A1980" s="864" t="s">
        <v>782</v>
      </c>
      <c r="B1980" s="865"/>
      <c r="C1980" s="866"/>
      <c r="D1980" s="867"/>
      <c r="E1980" s="868"/>
      <c r="F1980" s="869"/>
      <c r="G1980" s="869"/>
      <c r="H1980" s="869"/>
      <c r="I1980" s="870"/>
      <c r="J1980" s="870"/>
      <c r="P1980" s="1462"/>
      <c r="Q1980" s="1462"/>
      <c r="R1980" s="1462"/>
      <c r="S1980" s="1462"/>
      <c r="T1980" s="871"/>
      <c r="U1980" s="456"/>
    </row>
    <row r="1981" spans="1:21" ht="21" customHeight="1">
      <c r="A1981" s="872"/>
      <c r="B1981" s="873"/>
      <c r="C1981" s="869"/>
      <c r="D1981" s="869"/>
      <c r="E1981" s="869"/>
      <c r="F1981" s="869"/>
      <c r="G1981" s="869"/>
      <c r="H1981" s="869"/>
      <c r="I1981" s="870"/>
      <c r="J1981" s="870"/>
      <c r="U1981" s="456"/>
    </row>
    <row r="1982" spans="1:21" ht="15" customHeight="1">
      <c r="A1982" s="1463" t="s">
        <v>783</v>
      </c>
      <c r="B1982" s="1463"/>
      <c r="C1982" s="1463"/>
      <c r="D1982" s="1463"/>
      <c r="E1982" s="1463"/>
      <c r="F1982" s="1463"/>
      <c r="G1982" s="1463"/>
      <c r="H1982" s="1463"/>
      <c r="I1982" s="1463"/>
      <c r="J1982" s="1463"/>
      <c r="K1982" s="1463"/>
      <c r="L1982" s="1463"/>
      <c r="M1982" s="1463"/>
      <c r="N1982" s="1463"/>
      <c r="O1982" s="1463"/>
      <c r="P1982" s="1463"/>
      <c r="Q1982" s="1463"/>
      <c r="R1982" s="1463"/>
      <c r="S1982" s="1463"/>
      <c r="T1982" s="1463"/>
      <c r="U1982" s="1463"/>
    </row>
    <row r="1983" spans="1:21" ht="15" customHeight="1">
      <c r="A1983" s="1463"/>
      <c r="B1983" s="1463"/>
      <c r="C1983" s="1463"/>
      <c r="D1983" s="1463"/>
      <c r="E1983" s="1463"/>
      <c r="F1983" s="1463"/>
      <c r="G1983" s="1463"/>
      <c r="H1983" s="1463"/>
      <c r="I1983" s="1463"/>
      <c r="J1983" s="1463"/>
      <c r="K1983" s="1463"/>
      <c r="L1983" s="1463"/>
      <c r="M1983" s="1463"/>
      <c r="N1983" s="1463"/>
      <c r="O1983" s="1463"/>
      <c r="P1983" s="1463"/>
      <c r="Q1983" s="1463"/>
      <c r="R1983" s="1463"/>
      <c r="S1983" s="1463"/>
      <c r="T1983" s="1463"/>
      <c r="U1983" s="1463"/>
    </row>
    <row r="1984" spans="1:21" ht="18" customHeight="1">
      <c r="A1984" s="1464" t="s">
        <v>784</v>
      </c>
      <c r="B1984" s="1464"/>
      <c r="C1984" s="1464"/>
      <c r="D1984" s="1464"/>
      <c r="E1984" s="1464"/>
      <c r="F1984" s="1464"/>
      <c r="G1984" s="1464"/>
      <c r="H1984" s="1464"/>
      <c r="I1984" s="1464"/>
      <c r="J1984" s="1464"/>
      <c r="K1984" s="1464"/>
      <c r="L1984" s="1464"/>
      <c r="M1984" s="1464"/>
      <c r="N1984" s="1464"/>
      <c r="O1984" s="1464"/>
      <c r="P1984" s="1464"/>
      <c r="Q1984" s="1464"/>
      <c r="R1984" s="1464"/>
      <c r="S1984" s="1464"/>
      <c r="T1984" s="1464"/>
      <c r="U1984" s="1464"/>
    </row>
    <row r="1985" spans="1:21" ht="23.25" customHeight="1">
      <c r="A1985" s="1465" t="s">
        <v>785</v>
      </c>
      <c r="B1985" s="1465"/>
      <c r="C1985" s="1465"/>
      <c r="D1985" s="1465"/>
      <c r="E1985" s="1465"/>
      <c r="F1985" s="1465"/>
      <c r="G1985" s="1465"/>
      <c r="H1985" s="1465"/>
      <c r="I1985" s="1465"/>
      <c r="J1985" s="1465"/>
      <c r="K1985" s="1465"/>
      <c r="L1985" s="1465"/>
      <c r="M1985" s="1465"/>
      <c r="N1985" s="1465"/>
      <c r="O1985" s="1465"/>
      <c r="P1985" s="1465"/>
      <c r="Q1985" s="1465"/>
      <c r="R1985" s="1465"/>
      <c r="S1985" s="1465"/>
      <c r="T1985" s="1465"/>
      <c r="U1985" s="1465"/>
    </row>
    <row r="1986" spans="1:21" ht="21.75" customHeight="1">
      <c r="A1986" s="874"/>
      <c r="B1986" s="875"/>
      <c r="C1986" s="875"/>
      <c r="D1986" s="875"/>
      <c r="E1986" s="875"/>
      <c r="F1986" s="875"/>
      <c r="G1986" s="875"/>
      <c r="H1986" s="875"/>
      <c r="I1986" s="875"/>
      <c r="J1986" s="875"/>
      <c r="K1986" s="875"/>
      <c r="L1986" s="875"/>
      <c r="M1986" s="875"/>
      <c r="N1986" s="875"/>
      <c r="O1986" s="875"/>
      <c r="P1986" s="875"/>
      <c r="Q1986" s="875"/>
      <c r="R1986" s="875"/>
      <c r="S1986" s="875"/>
      <c r="T1986" s="875"/>
      <c r="U1986" s="876"/>
    </row>
    <row r="1987" spans="1:21" ht="15" customHeight="1">
      <c r="A1987" s="1466" t="s">
        <v>786</v>
      </c>
      <c r="B1987" s="1467" t="s">
        <v>787</v>
      </c>
      <c r="C1987" s="1468" t="s">
        <v>788</v>
      </c>
      <c r="D1987" s="1468" t="s">
        <v>789</v>
      </c>
      <c r="E1987" s="1469" t="s">
        <v>790</v>
      </c>
      <c r="F1987" s="1468" t="s">
        <v>791</v>
      </c>
      <c r="G1987" s="1468"/>
      <c r="H1987" s="1468"/>
      <c r="I1987" s="1468"/>
      <c r="J1987" s="1468"/>
      <c r="K1987" s="1468"/>
      <c r="L1987" s="1468"/>
      <c r="M1987" s="1468"/>
      <c r="N1987" s="1468"/>
      <c r="O1987" s="1468"/>
      <c r="P1987" s="1470"/>
      <c r="Q1987" s="1470"/>
      <c r="R1987" s="1470"/>
      <c r="S1987" s="1470"/>
      <c r="T1987" s="1470"/>
      <c r="U1987" s="1470"/>
    </row>
    <row r="1988" spans="1:21" ht="15.75" customHeight="1">
      <c r="A1988" s="1466"/>
      <c r="B1988" s="1467"/>
      <c r="C1988" s="1468"/>
      <c r="D1988" s="1468"/>
      <c r="E1988" s="1469"/>
      <c r="F1988" s="1468"/>
      <c r="G1988" s="1468"/>
      <c r="H1988" s="1468"/>
      <c r="I1988" s="1468"/>
      <c r="J1988" s="1468"/>
      <c r="K1988" s="1468"/>
      <c r="L1988" s="1468"/>
      <c r="M1988" s="1468"/>
      <c r="N1988" s="1468"/>
      <c r="O1988" s="1468"/>
      <c r="P1988" s="1470"/>
      <c r="Q1988" s="1470"/>
      <c r="R1988" s="1470"/>
      <c r="S1988" s="1470"/>
      <c r="T1988" s="1470"/>
      <c r="U1988" s="1470"/>
    </row>
    <row r="1989" spans="1:21" ht="48" customHeight="1">
      <c r="A1989" s="1466"/>
      <c r="B1989" s="1467"/>
      <c r="C1989" s="1468"/>
      <c r="D1989" s="1468"/>
      <c r="E1989" s="1469"/>
      <c r="F1989" s="878" t="s">
        <v>792</v>
      </c>
      <c r="G1989" s="877" t="s">
        <v>793</v>
      </c>
      <c r="H1989" s="878" t="s">
        <v>794</v>
      </c>
      <c r="I1989" s="879" t="s">
        <v>795</v>
      </c>
      <c r="J1989" s="880" t="s">
        <v>796</v>
      </c>
      <c r="K1989" s="1468" t="s">
        <v>797</v>
      </c>
      <c r="L1989" s="1468"/>
      <c r="M1989" s="1468"/>
      <c r="N1989" s="1468"/>
      <c r="O1989" s="1468"/>
      <c r="P1989" s="881" t="s">
        <v>798</v>
      </c>
      <c r="Q1989" s="882" t="s">
        <v>799</v>
      </c>
      <c r="R1989" s="1469" t="s">
        <v>800</v>
      </c>
      <c r="S1989" s="1469"/>
      <c r="T1989" s="877" t="s">
        <v>801</v>
      </c>
      <c r="U1989" s="879" t="s">
        <v>104</v>
      </c>
    </row>
    <row r="1990" spans="1:21" ht="19.5" customHeight="1">
      <c r="A1990" s="883"/>
      <c r="B1990" s="884" t="str">
        <f>IF('BIS Doc'!AC935=130, "130 × 130", IF('BIS Doc'!AC935=160, "160 × 160", IF('BIS Doc'!AC935=110, "110 × 110", "Value not 130, 160, or 110")))</f>
        <v>Value not 130, 160, or 110</v>
      </c>
      <c r="C1990" s="885">
        <f>'BIS Doc'!W935</f>
        <v>0</v>
      </c>
      <c r="D1990" s="886"/>
      <c r="E1990" s="887">
        <f>'BIS Doc'!AE935</f>
        <v>0</v>
      </c>
      <c r="F1990" s="888">
        <f ca="1">'BIS Doc'!F935</f>
        <v>0</v>
      </c>
      <c r="G1990" s="888">
        <f ca="1">'BIS Doc'!J935</f>
        <v>0</v>
      </c>
      <c r="H1990" s="888">
        <f ca="1">'BIS Doc'!G935</f>
        <v>0.56740564076985978</v>
      </c>
      <c r="I1990" s="889">
        <f ca="1">'BIS Doc'!H935</f>
        <v>0</v>
      </c>
      <c r="J1990" s="889">
        <f ca="1">'BIS Doc'!I935</f>
        <v>0</v>
      </c>
      <c r="K1990" s="1449" t="str">
        <f t="shared" ref="K1990:K1995" ca="1" si="57">IF(H1990&lt;0.6, "IS 14650 CPS 10748/GR2", "IS 14650 CPS 10748/GR3")</f>
        <v>IS 14650 CPS 10748/GR2</v>
      </c>
      <c r="L1990" s="1449"/>
      <c r="M1990" s="1449"/>
      <c r="N1990" s="1449"/>
      <c r="O1990" s="1449"/>
      <c r="P1990" s="890"/>
      <c r="Q1990" s="891"/>
      <c r="R1990" s="1449"/>
      <c r="S1990" s="1449"/>
      <c r="T1990" s="892"/>
      <c r="U1990" s="1450" t="s">
        <v>802</v>
      </c>
    </row>
    <row r="1991" spans="1:21" ht="19.5" customHeight="1">
      <c r="A1991" s="893"/>
      <c r="B1991" s="894" t="str">
        <f>IF('BIS Doc'!AC937=130, "130 × 130", IF('BIS Doc'!AC937=160, "160 × 160", IF('BIS Doc'!AC937=110, "110 × 110", "Value not 130, 160, or 110")))</f>
        <v>Value not 130, 160, or 110</v>
      </c>
      <c r="C1991" s="895">
        <f>'BIS Doc'!W937</f>
        <v>0</v>
      </c>
      <c r="D1991" s="896"/>
      <c r="E1991" s="897">
        <f>'BIS Doc'!AE937</f>
        <v>0</v>
      </c>
      <c r="F1991" s="898">
        <f ca="1">'BIS Doc'!F937</f>
        <v>0</v>
      </c>
      <c r="G1991" s="899">
        <f ca="1">'BIS Doc'!J937</f>
        <v>0</v>
      </c>
      <c r="H1991" s="900">
        <f ca="1">'BIS Doc'!G937</f>
        <v>0.51729028411723676</v>
      </c>
      <c r="I1991" s="901">
        <f ca="1">'BIS Doc'!H937</f>
        <v>0</v>
      </c>
      <c r="J1991" s="901">
        <f ca="1">'BIS Doc'!I937</f>
        <v>0</v>
      </c>
      <c r="K1991" s="1451" t="str">
        <f t="shared" ca="1" si="57"/>
        <v>IS 14650 CPS 10748/GR2</v>
      </c>
      <c r="L1991" s="1451"/>
      <c r="M1991" s="1451"/>
      <c r="N1991" s="1451"/>
      <c r="O1991" s="1451"/>
      <c r="P1991" s="902"/>
      <c r="Q1991" s="903"/>
      <c r="R1991" s="1451"/>
      <c r="S1991" s="1451"/>
      <c r="T1991" s="904"/>
      <c r="U1991" s="1450"/>
    </row>
    <row r="1992" spans="1:21" ht="19.5" customHeight="1">
      <c r="A1992" s="864"/>
      <c r="B1992" s="894" t="str">
        <f>IF('BIS Doc'!AC939=130, "130 × 130", IF('BIS Doc'!AC939=160, "160 × 160", IF('BIS Doc'!AC939=110, "110 × 110", "Value not 130, 160, or 110")))</f>
        <v>Value not 130, 160, or 110</v>
      </c>
      <c r="C1992" s="895">
        <f>'BIS Doc'!W939</f>
        <v>0</v>
      </c>
      <c r="D1992" s="896" t="s">
        <v>803</v>
      </c>
      <c r="E1992" s="897">
        <f>'BIS Doc'!AE939</f>
        <v>0</v>
      </c>
      <c r="F1992" s="898">
        <f ca="1">'BIS Doc'!F939</f>
        <v>0</v>
      </c>
      <c r="G1992" s="899">
        <f ca="1">'BIS Doc'!J939</f>
        <v>0</v>
      </c>
      <c r="H1992" s="900">
        <f ca="1">'BIS Doc'!G939</f>
        <v>0.57338778067501917</v>
      </c>
      <c r="I1992" s="901">
        <f ca="1">'BIS Doc'!H939</f>
        <v>0</v>
      </c>
      <c r="J1992" s="901">
        <f ca="1">'BIS Doc'!I939</f>
        <v>0</v>
      </c>
      <c r="K1992" s="1451" t="str">
        <f t="shared" ca="1" si="57"/>
        <v>IS 14650 CPS 10748/GR2</v>
      </c>
      <c r="L1992" s="1451"/>
      <c r="M1992" s="1451"/>
      <c r="N1992" s="1451"/>
      <c r="O1992" s="1451"/>
      <c r="P1992" s="902"/>
      <c r="Q1992" s="905"/>
      <c r="R1992" s="1451"/>
      <c r="S1992" s="1451"/>
      <c r="T1992" s="904"/>
      <c r="U1992" s="1450"/>
    </row>
    <row r="1993" spans="1:21" ht="19.5" customHeight="1">
      <c r="A1993" s="864"/>
      <c r="B1993" s="894" t="str">
        <f>IF('BIS Doc'!AC941=130, "130 × 130", IF('BIS Doc'!AC941=160, "160 × 160", IF('BIS Doc'!AC941=110, "110 × 110", "Value not 130, 160, or 110")))</f>
        <v>Value not 130, 160, or 110</v>
      </c>
      <c r="C1993" s="895">
        <f>'BIS Doc'!W941</f>
        <v>0</v>
      </c>
      <c r="D1993" s="896"/>
      <c r="E1993" s="897">
        <f>'BIS Doc'!AE941</f>
        <v>0</v>
      </c>
      <c r="F1993" s="898">
        <f ca="1">'BIS Doc'!F941</f>
        <v>0</v>
      </c>
      <c r="G1993" s="899">
        <f ca="1">'BIS Doc'!J941</f>
        <v>0</v>
      </c>
      <c r="H1993" s="900">
        <f ca="1">'BIS Doc'!G941</f>
        <v>0.58450081792896591</v>
      </c>
      <c r="I1993" s="901">
        <f ca="1">'BIS Doc'!H941</f>
        <v>0</v>
      </c>
      <c r="J1993" s="901">
        <f ca="1">'BIS Doc'!I941</f>
        <v>0</v>
      </c>
      <c r="K1993" s="1451" t="str">
        <f t="shared" ca="1" si="57"/>
        <v>IS 14650 CPS 10748/GR2</v>
      </c>
      <c r="L1993" s="1451"/>
      <c r="M1993" s="1451"/>
      <c r="N1993" s="1451"/>
      <c r="O1993" s="1451"/>
      <c r="P1993" s="902"/>
      <c r="Q1993" s="905"/>
      <c r="R1993" s="1451"/>
      <c r="S1993" s="1451"/>
      <c r="T1993" s="904"/>
      <c r="U1993" s="1450"/>
    </row>
    <row r="1994" spans="1:21" ht="19.5" customHeight="1">
      <c r="A1994" s="864"/>
      <c r="B1994" s="894" t="str">
        <f>IF('BIS Doc'!AC943=130, "130 × 130", IF('BIS Doc'!AC943=160, "160 × 160", IF('BIS Doc'!AC943=110, "110 × 110", "Value not 130, 160, or 110")))</f>
        <v>Value not 130, 160, or 110</v>
      </c>
      <c r="C1994" s="895">
        <f>'BIS Doc'!W943</f>
        <v>0</v>
      </c>
      <c r="D1994" s="896"/>
      <c r="E1994" s="897">
        <f>'BIS Doc'!AE943</f>
        <v>0</v>
      </c>
      <c r="F1994" s="898">
        <f ca="1">'BIS Doc'!F943</f>
        <v>0</v>
      </c>
      <c r="G1994" s="899">
        <f ca="1">'BIS Doc'!J943</f>
        <v>0</v>
      </c>
      <c r="H1994" s="900">
        <f ca="1">'BIS Doc'!G943</f>
        <v>0.5741145416287512</v>
      </c>
      <c r="I1994" s="901">
        <f ca="1">'BIS Doc'!H943</f>
        <v>0</v>
      </c>
      <c r="J1994" s="901">
        <f ca="1">'BIS Doc'!I943</f>
        <v>0</v>
      </c>
      <c r="K1994" s="1451" t="str">
        <f t="shared" ca="1" si="57"/>
        <v>IS 14650 CPS 10748/GR2</v>
      </c>
      <c r="L1994" s="1451"/>
      <c r="M1994" s="1451"/>
      <c r="N1994" s="1451"/>
      <c r="O1994" s="1451"/>
      <c r="P1994" s="902"/>
      <c r="Q1994" s="905"/>
      <c r="R1994" s="1451"/>
      <c r="S1994" s="1451"/>
      <c r="T1994" s="904"/>
      <c r="U1994" s="1450"/>
    </row>
    <row r="1995" spans="1:21" ht="19.5" customHeight="1">
      <c r="A1995" s="864"/>
      <c r="B1995" s="894" t="str">
        <f>IF('BIS Doc'!AC945=130, "130 × 130", IF('BIS Doc'!AC945=160, "160 × 160", IF('BIS Doc'!AC945=110, "110 × 110", "Value not 130, 160, or 110")))</f>
        <v>Value not 130, 160, or 110</v>
      </c>
      <c r="C1995" s="895">
        <f>'BIS Doc'!W945</f>
        <v>0</v>
      </c>
      <c r="D1995" s="896"/>
      <c r="E1995" s="897">
        <f>'BIS Doc'!AE945</f>
        <v>0</v>
      </c>
      <c r="F1995" s="898">
        <f ca="1">'BIS Doc'!F945</f>
        <v>0</v>
      </c>
      <c r="G1995" s="899">
        <f ca="1">'BIS Doc'!J945</f>
        <v>0</v>
      </c>
      <c r="H1995" s="900">
        <f ca="1">'BIS Doc'!G945</f>
        <v>0.56066750833254875</v>
      </c>
      <c r="I1995" s="901">
        <f ca="1">'BIS Doc'!H945</f>
        <v>0</v>
      </c>
      <c r="J1995" s="901">
        <f ca="1">'BIS Doc'!I945</f>
        <v>0</v>
      </c>
      <c r="K1995" s="1451" t="str">
        <f t="shared" ca="1" si="57"/>
        <v>IS 14650 CPS 10748/GR2</v>
      </c>
      <c r="L1995" s="1451"/>
      <c r="M1995" s="1451"/>
      <c r="N1995" s="1451"/>
      <c r="O1995" s="1451"/>
      <c r="P1995" s="902"/>
      <c r="Q1995" s="903"/>
      <c r="R1995" s="1451"/>
      <c r="S1995" s="1451"/>
      <c r="T1995" s="904"/>
      <c r="U1995" s="1450"/>
    </row>
    <row r="1996" spans="1:21" ht="19.5" customHeight="1">
      <c r="A1996" s="864"/>
      <c r="B1996" s="904"/>
      <c r="C1996" s="895"/>
      <c r="D1996" s="896"/>
      <c r="E1996" s="897"/>
      <c r="F1996" s="906"/>
      <c r="G1996" s="907"/>
      <c r="H1996" s="908"/>
      <c r="I1996" s="909"/>
      <c r="J1996" s="909"/>
      <c r="K1996" s="1451"/>
      <c r="L1996" s="1451"/>
      <c r="M1996" s="1451"/>
      <c r="N1996" s="1451"/>
      <c r="O1996" s="1451"/>
      <c r="P1996" s="902"/>
      <c r="Q1996" s="903"/>
      <c r="R1996" s="1451"/>
      <c r="S1996" s="1451"/>
      <c r="T1996" s="904"/>
      <c r="U1996" s="1450"/>
    </row>
    <row r="1997" spans="1:21" ht="19.5" customHeight="1">
      <c r="A1997" s="864"/>
      <c r="B1997" s="904"/>
      <c r="C1997" s="895"/>
      <c r="D1997" s="896"/>
      <c r="E1997" s="897"/>
      <c r="F1997" s="906"/>
      <c r="G1997" s="907"/>
      <c r="H1997" s="908"/>
      <c r="I1997" s="909"/>
      <c r="J1997" s="909"/>
      <c r="K1997" s="1451"/>
      <c r="L1997" s="1451"/>
      <c r="M1997" s="1451"/>
      <c r="N1997" s="1451"/>
      <c r="O1997" s="1451"/>
      <c r="P1997" s="902"/>
      <c r="Q1997" s="905"/>
      <c r="R1997" s="1451"/>
      <c r="S1997" s="1451"/>
      <c r="T1997" s="904"/>
      <c r="U1997" s="1450"/>
    </row>
    <row r="1998" spans="1:21" ht="19.5" customHeight="1">
      <c r="A1998" s="864"/>
      <c r="B1998" s="910"/>
      <c r="C1998" s="911"/>
      <c r="D1998" s="896"/>
      <c r="E1998" s="897"/>
      <c r="F1998" s="906"/>
      <c r="G1998" s="907"/>
      <c r="H1998" s="908"/>
      <c r="I1998" s="909"/>
      <c r="J1998" s="909"/>
      <c r="K1998" s="1451"/>
      <c r="L1998" s="1451"/>
      <c r="M1998" s="1451"/>
      <c r="N1998" s="1451"/>
      <c r="O1998" s="1451"/>
      <c r="P1998" s="912"/>
      <c r="Q1998" s="913"/>
      <c r="R1998" s="1452"/>
      <c r="S1998" s="1452"/>
      <c r="T1998" s="910"/>
      <c r="U1998" s="1450"/>
    </row>
    <row r="1999" spans="1:21" ht="19.5" customHeight="1">
      <c r="A1999" s="914"/>
      <c r="B1999" s="915"/>
      <c r="C1999" s="916"/>
      <c r="D1999" s="917"/>
      <c r="E1999" s="918">
        <f>SUM(E1990:E1995)</f>
        <v>0</v>
      </c>
      <c r="F1999" s="919"/>
      <c r="G1999" s="920"/>
      <c r="H1999" s="921"/>
      <c r="I1999" s="922"/>
      <c r="J1999" s="922"/>
      <c r="K1999" s="1453"/>
      <c r="L1999" s="1453"/>
      <c r="M1999" s="1453"/>
      <c r="N1999" s="1453"/>
      <c r="O1999" s="1453"/>
      <c r="P1999" s="923"/>
      <c r="Q1999" s="924"/>
      <c r="R1999" s="1454"/>
      <c r="S1999" s="1454"/>
      <c r="T1999" s="915"/>
      <c r="U1999" s="1450"/>
    </row>
    <row r="2000" spans="1:21" ht="15.75" customHeight="1">
      <c r="A2000" s="864"/>
      <c r="B2000" s="773"/>
      <c r="C2000" s="773"/>
      <c r="D2000" s="925"/>
      <c r="E2000" s="926"/>
      <c r="F2000" s="927"/>
      <c r="G2000" s="928"/>
      <c r="H2000" s="259"/>
      <c r="I2000" s="259"/>
      <c r="J2000" s="928"/>
      <c r="K2000" s="929"/>
      <c r="L2000" s="929"/>
      <c r="M2000" s="929"/>
      <c r="N2000" s="929"/>
      <c r="O2000" s="928"/>
      <c r="P2000" s="930"/>
      <c r="Q2000" s="931"/>
      <c r="R2000" s="931"/>
      <c r="U2000" s="932"/>
    </row>
    <row r="2001" spans="1:21" ht="18.75" customHeight="1">
      <c r="A2001" s="864"/>
      <c r="B2001" s="773"/>
      <c r="C2001" s="773"/>
      <c r="D2001" s="773"/>
      <c r="E2001" s="773"/>
      <c r="F2001" s="773"/>
      <c r="G2001" s="773"/>
      <c r="H2001" s="773"/>
      <c r="I2001" s="773"/>
      <c r="J2001" s="773"/>
      <c r="K2001" s="773"/>
      <c r="P2001" s="1446" t="s">
        <v>804</v>
      </c>
      <c r="Q2001" s="1446"/>
      <c r="R2001" s="1446"/>
      <c r="S2001" s="1446"/>
      <c r="T2001" s="1446"/>
      <c r="U2001" s="1446"/>
    </row>
    <row r="2002" spans="1:21" ht="18.75" customHeight="1">
      <c r="A2002" s="1447" t="s">
        <v>805</v>
      </c>
      <c r="B2002" s="1447"/>
      <c r="C2002" s="933"/>
      <c r="D2002" s="933"/>
      <c r="E2002" s="933"/>
      <c r="F2002" s="933"/>
      <c r="P2002" s="855"/>
      <c r="Q2002" s="855"/>
      <c r="R2002" s="855"/>
      <c r="S2002" s="855"/>
      <c r="T2002" s="855"/>
      <c r="U2002" s="934"/>
    </row>
    <row r="2003" spans="1:21" ht="18.75" customHeight="1">
      <c r="A2003" s="854"/>
      <c r="B2003" s="855"/>
      <c r="P2003" s="855"/>
      <c r="Q2003" s="855"/>
      <c r="R2003" s="855"/>
      <c r="S2003" s="855"/>
      <c r="T2003" s="855"/>
      <c r="U2003" s="934"/>
    </row>
    <row r="2004" spans="1:21" ht="18.75" customHeight="1">
      <c r="A2004" s="854" t="s">
        <v>806</v>
      </c>
      <c r="B2004" s="855"/>
      <c r="C2004" s="867"/>
      <c r="D2004" s="941"/>
      <c r="E2004" s="933"/>
      <c r="F2004" s="933"/>
      <c r="P2004" s="855"/>
      <c r="Q2004" s="855"/>
      <c r="R2004" s="855"/>
      <c r="S2004" s="855"/>
      <c r="T2004" s="855"/>
      <c r="U2004" s="934"/>
    </row>
    <row r="2005" spans="1:21" ht="18.75" customHeight="1">
      <c r="A2005" s="854"/>
      <c r="B2005" s="855"/>
      <c r="C2005" s="937"/>
      <c r="P2005" s="855"/>
      <c r="Q2005" s="855"/>
      <c r="R2005" s="855"/>
      <c r="S2005" s="855"/>
      <c r="T2005" s="855"/>
      <c r="U2005" s="934"/>
    </row>
    <row r="2006" spans="1:21" ht="19.5" customHeight="1">
      <c r="A2006" s="938"/>
      <c r="B2006" s="939"/>
      <c r="C2006" s="940"/>
      <c r="D2006" s="453"/>
      <c r="E2006" s="453"/>
      <c r="F2006" s="453"/>
      <c r="G2006" s="453"/>
      <c r="H2006" s="453"/>
      <c r="I2006" s="453"/>
      <c r="J2006" s="453"/>
      <c r="K2006" s="453"/>
      <c r="L2006" s="453"/>
      <c r="M2006" s="453"/>
      <c r="N2006" s="453"/>
      <c r="O2006" s="453"/>
      <c r="P2006" s="1448" t="s">
        <v>807</v>
      </c>
      <c r="Q2006" s="1448"/>
      <c r="R2006" s="1448"/>
      <c r="S2006" s="1448"/>
      <c r="T2006" s="1448"/>
      <c r="U2006" s="1448"/>
    </row>
    <row r="2007" spans="1:21" ht="45.75" customHeight="1">
      <c r="A2007" s="1455"/>
      <c r="B2007" s="1455"/>
      <c r="C2007" s="1455"/>
      <c r="D2007" s="847"/>
      <c r="E2007" s="1456" t="s">
        <v>774</v>
      </c>
      <c r="F2007" s="1456"/>
      <c r="G2007" s="1456"/>
      <c r="H2007" s="1456"/>
      <c r="I2007" s="1456"/>
      <c r="J2007" s="1456"/>
      <c r="K2007" s="1456"/>
      <c r="L2007" s="1456"/>
      <c r="M2007" s="1456"/>
      <c r="N2007" s="1456"/>
      <c r="O2007" s="1456"/>
      <c r="P2007" s="1456"/>
      <c r="Q2007" s="1456"/>
      <c r="R2007" s="1456"/>
      <c r="S2007" s="848"/>
      <c r="T2007" s="1457" t="s">
        <v>775</v>
      </c>
      <c r="U2007" s="1457"/>
    </row>
    <row r="2008" spans="1:21" ht="18.75" customHeight="1">
      <c r="A2008" s="849"/>
      <c r="E2008" s="1458" t="s">
        <v>776</v>
      </c>
      <c r="F2008" s="1458"/>
      <c r="G2008" s="1458"/>
      <c r="H2008" s="1458"/>
      <c r="I2008" s="1458"/>
      <c r="J2008" s="1458"/>
      <c r="K2008" s="1458"/>
      <c r="L2008" s="1458"/>
      <c r="M2008" s="1458"/>
      <c r="N2008" s="1458"/>
      <c r="O2008" s="1458"/>
      <c r="P2008" s="1458"/>
      <c r="Q2008" s="1458"/>
      <c r="R2008" s="1458"/>
      <c r="U2008" s="456"/>
    </row>
    <row r="2009" spans="1:21" ht="18.75" customHeight="1">
      <c r="A2009" s="850"/>
      <c r="F2009" s="587"/>
      <c r="G2009" s="587"/>
      <c r="H2009" s="587"/>
      <c r="I2009" s="587"/>
      <c r="J2009" s="587"/>
      <c r="K2009" s="587"/>
      <c r="L2009" s="587"/>
      <c r="M2009" s="851"/>
      <c r="N2009" s="852"/>
      <c r="O2009" s="851"/>
      <c r="P2009" s="1459" t="s">
        <v>777</v>
      </c>
      <c r="Q2009" s="1459"/>
      <c r="R2009" s="1459"/>
      <c r="S2009" s="1459"/>
      <c r="T2009" s="1459"/>
      <c r="U2009" s="1459"/>
    </row>
    <row r="2010" spans="1:21" ht="15" customHeight="1">
      <c r="A2010" s="849"/>
      <c r="E2010" s="1287" t="s">
        <v>778</v>
      </c>
      <c r="F2010" s="1287"/>
      <c r="G2010" s="1287"/>
      <c r="H2010" s="1287"/>
      <c r="I2010" s="1287"/>
      <c r="J2010" s="1287"/>
      <c r="K2010" s="1287"/>
      <c r="L2010" s="1287"/>
      <c r="M2010" s="1287"/>
      <c r="N2010" s="1287"/>
      <c r="O2010" s="1287"/>
      <c r="P2010" s="1287"/>
      <c r="Q2010" s="1287"/>
      <c r="R2010" s="1287"/>
      <c r="U2010" s="456"/>
    </row>
    <row r="2011" spans="1:21" ht="18.75" customHeight="1">
      <c r="A2011" s="849"/>
      <c r="E2011" s="1286" t="s">
        <v>779</v>
      </c>
      <c r="F2011" s="1286"/>
      <c r="G2011" s="1286"/>
      <c r="H2011" s="1286"/>
      <c r="I2011" s="1286"/>
      <c r="J2011" s="1286"/>
      <c r="K2011" s="1286"/>
      <c r="L2011" s="1286"/>
      <c r="M2011" s="1286"/>
      <c r="N2011" s="1286"/>
      <c r="O2011" s="1286"/>
      <c r="P2011" s="1286"/>
      <c r="Q2011" s="1286"/>
      <c r="R2011" s="1286"/>
      <c r="U2011" s="853"/>
    </row>
    <row r="2012" spans="1:21" ht="23.25" customHeight="1">
      <c r="A2012" s="854" t="s">
        <v>780</v>
      </c>
      <c r="B2012" s="855"/>
      <c r="C2012" s="855"/>
      <c r="D2012" s="856" t="s">
        <v>883</v>
      </c>
      <c r="E2012" s="857"/>
      <c r="F2012" s="858"/>
      <c r="G2012" s="859"/>
      <c r="H2012" s="859"/>
      <c r="I2012" s="859"/>
      <c r="J2012" s="859"/>
      <c r="K2012" s="859"/>
      <c r="L2012" s="860"/>
      <c r="M2012" s="1460"/>
      <c r="N2012" s="1460"/>
      <c r="O2012" s="1460"/>
      <c r="P2012" s="1461" t="s">
        <v>781</v>
      </c>
      <c r="Q2012" s="1461"/>
      <c r="R2012" s="1461"/>
      <c r="S2012" s="855"/>
      <c r="T2012" s="861">
        <v>46325</v>
      </c>
      <c r="U2012" s="456"/>
    </row>
    <row r="2013" spans="1:21" ht="23.25" customHeight="1">
      <c r="A2013" s="854"/>
      <c r="B2013" s="862"/>
      <c r="C2013" s="862"/>
      <c r="D2013" s="862"/>
      <c r="E2013" s="163"/>
      <c r="F2013" s="863"/>
      <c r="G2013" s="863"/>
      <c r="H2013" s="863"/>
      <c r="I2013" s="863"/>
      <c r="J2013" s="863"/>
      <c r="K2013" s="863"/>
      <c r="U2013" s="456"/>
    </row>
    <row r="2014" spans="1:21" ht="21" customHeight="1">
      <c r="A2014" s="864" t="s">
        <v>782</v>
      </c>
      <c r="B2014" s="865"/>
      <c r="C2014" s="866"/>
      <c r="D2014" s="867"/>
      <c r="E2014" s="868"/>
      <c r="F2014" s="869"/>
      <c r="G2014" s="869"/>
      <c r="H2014" s="869"/>
      <c r="I2014" s="870"/>
      <c r="J2014" s="870"/>
      <c r="P2014" s="1462"/>
      <c r="Q2014" s="1462"/>
      <c r="R2014" s="1462"/>
      <c r="S2014" s="1462"/>
      <c r="T2014" s="871"/>
      <c r="U2014" s="456"/>
    </row>
    <row r="2015" spans="1:21" ht="21" customHeight="1">
      <c r="A2015" s="872"/>
      <c r="B2015" s="873"/>
      <c r="C2015" s="869"/>
      <c r="D2015" s="869"/>
      <c r="E2015" s="869"/>
      <c r="F2015" s="869"/>
      <c r="G2015" s="869"/>
      <c r="H2015" s="869"/>
      <c r="I2015" s="870"/>
      <c r="J2015" s="870"/>
      <c r="U2015" s="456"/>
    </row>
    <row r="2016" spans="1:21" ht="15" customHeight="1">
      <c r="A2016" s="1463" t="s">
        <v>783</v>
      </c>
      <c r="B2016" s="1463"/>
      <c r="C2016" s="1463"/>
      <c r="D2016" s="1463"/>
      <c r="E2016" s="1463"/>
      <c r="F2016" s="1463"/>
      <c r="G2016" s="1463"/>
      <c r="H2016" s="1463"/>
      <c r="I2016" s="1463"/>
      <c r="J2016" s="1463"/>
      <c r="K2016" s="1463"/>
      <c r="L2016" s="1463"/>
      <c r="M2016" s="1463"/>
      <c r="N2016" s="1463"/>
      <c r="O2016" s="1463"/>
      <c r="P2016" s="1463"/>
      <c r="Q2016" s="1463"/>
      <c r="R2016" s="1463"/>
      <c r="S2016" s="1463"/>
      <c r="T2016" s="1463"/>
      <c r="U2016" s="1463"/>
    </row>
    <row r="2017" spans="1:21" ht="15" customHeight="1">
      <c r="A2017" s="1463"/>
      <c r="B2017" s="1463"/>
      <c r="C2017" s="1463"/>
      <c r="D2017" s="1463"/>
      <c r="E2017" s="1463"/>
      <c r="F2017" s="1463"/>
      <c r="G2017" s="1463"/>
      <c r="H2017" s="1463"/>
      <c r="I2017" s="1463"/>
      <c r="J2017" s="1463"/>
      <c r="K2017" s="1463"/>
      <c r="L2017" s="1463"/>
      <c r="M2017" s="1463"/>
      <c r="N2017" s="1463"/>
      <c r="O2017" s="1463"/>
      <c r="P2017" s="1463"/>
      <c r="Q2017" s="1463"/>
      <c r="R2017" s="1463"/>
      <c r="S2017" s="1463"/>
      <c r="T2017" s="1463"/>
      <c r="U2017" s="1463"/>
    </row>
    <row r="2018" spans="1:21" ht="18" customHeight="1">
      <c r="A2018" s="1464" t="s">
        <v>784</v>
      </c>
      <c r="B2018" s="1464"/>
      <c r="C2018" s="1464"/>
      <c r="D2018" s="1464"/>
      <c r="E2018" s="1464"/>
      <c r="F2018" s="1464"/>
      <c r="G2018" s="1464"/>
      <c r="H2018" s="1464"/>
      <c r="I2018" s="1464"/>
      <c r="J2018" s="1464"/>
      <c r="K2018" s="1464"/>
      <c r="L2018" s="1464"/>
      <c r="M2018" s="1464"/>
      <c r="N2018" s="1464"/>
      <c r="O2018" s="1464"/>
      <c r="P2018" s="1464"/>
      <c r="Q2018" s="1464"/>
      <c r="R2018" s="1464"/>
      <c r="S2018" s="1464"/>
      <c r="T2018" s="1464"/>
      <c r="U2018" s="1464"/>
    </row>
    <row r="2019" spans="1:21" ht="23.25" customHeight="1">
      <c r="A2019" s="1465" t="s">
        <v>785</v>
      </c>
      <c r="B2019" s="1465"/>
      <c r="C2019" s="1465"/>
      <c r="D2019" s="1465"/>
      <c r="E2019" s="1465"/>
      <c r="F2019" s="1465"/>
      <c r="G2019" s="1465"/>
      <c r="H2019" s="1465"/>
      <c r="I2019" s="1465"/>
      <c r="J2019" s="1465"/>
      <c r="K2019" s="1465"/>
      <c r="L2019" s="1465"/>
      <c r="M2019" s="1465"/>
      <c r="N2019" s="1465"/>
      <c r="O2019" s="1465"/>
      <c r="P2019" s="1465"/>
      <c r="Q2019" s="1465"/>
      <c r="R2019" s="1465"/>
      <c r="S2019" s="1465"/>
      <c r="T2019" s="1465"/>
      <c r="U2019" s="1465"/>
    </row>
    <row r="2020" spans="1:21" ht="21.75" customHeight="1">
      <c r="A2020" s="874"/>
      <c r="B2020" s="875"/>
      <c r="C2020" s="875"/>
      <c r="D2020" s="875"/>
      <c r="E2020" s="875"/>
      <c r="F2020" s="875"/>
      <c r="G2020" s="875"/>
      <c r="H2020" s="875"/>
      <c r="I2020" s="875"/>
      <c r="J2020" s="875"/>
      <c r="K2020" s="875"/>
      <c r="L2020" s="875"/>
      <c r="M2020" s="875"/>
      <c r="N2020" s="875"/>
      <c r="O2020" s="875"/>
      <c r="P2020" s="875"/>
      <c r="Q2020" s="875"/>
      <c r="R2020" s="875"/>
      <c r="S2020" s="875"/>
      <c r="T2020" s="875"/>
      <c r="U2020" s="876"/>
    </row>
    <row r="2021" spans="1:21" ht="15" customHeight="1">
      <c r="A2021" s="1466" t="s">
        <v>786</v>
      </c>
      <c r="B2021" s="1467" t="s">
        <v>787</v>
      </c>
      <c r="C2021" s="1468" t="s">
        <v>788</v>
      </c>
      <c r="D2021" s="1468" t="s">
        <v>789</v>
      </c>
      <c r="E2021" s="1469" t="s">
        <v>790</v>
      </c>
      <c r="F2021" s="1468" t="s">
        <v>791</v>
      </c>
      <c r="G2021" s="1468"/>
      <c r="H2021" s="1468"/>
      <c r="I2021" s="1468"/>
      <c r="J2021" s="1468"/>
      <c r="K2021" s="1468"/>
      <c r="L2021" s="1468"/>
      <c r="M2021" s="1468"/>
      <c r="N2021" s="1468"/>
      <c r="O2021" s="1468"/>
      <c r="P2021" s="1470"/>
      <c r="Q2021" s="1470"/>
      <c r="R2021" s="1470"/>
      <c r="S2021" s="1470"/>
      <c r="T2021" s="1470"/>
      <c r="U2021" s="1470"/>
    </row>
    <row r="2022" spans="1:21" ht="15.75" customHeight="1">
      <c r="A2022" s="1466"/>
      <c r="B2022" s="1467"/>
      <c r="C2022" s="1468"/>
      <c r="D2022" s="1468"/>
      <c r="E2022" s="1469"/>
      <c r="F2022" s="1468"/>
      <c r="G2022" s="1468"/>
      <c r="H2022" s="1468"/>
      <c r="I2022" s="1468"/>
      <c r="J2022" s="1468"/>
      <c r="K2022" s="1468"/>
      <c r="L2022" s="1468"/>
      <c r="M2022" s="1468"/>
      <c r="N2022" s="1468"/>
      <c r="O2022" s="1468"/>
      <c r="P2022" s="1470"/>
      <c r="Q2022" s="1470"/>
      <c r="R2022" s="1470"/>
      <c r="S2022" s="1470"/>
      <c r="T2022" s="1470"/>
      <c r="U2022" s="1470"/>
    </row>
    <row r="2023" spans="1:21" ht="48" customHeight="1">
      <c r="A2023" s="1466"/>
      <c r="B2023" s="1467"/>
      <c r="C2023" s="1468"/>
      <c r="D2023" s="1468"/>
      <c r="E2023" s="1469"/>
      <c r="F2023" s="878" t="s">
        <v>792</v>
      </c>
      <c r="G2023" s="877" t="s">
        <v>793</v>
      </c>
      <c r="H2023" s="878" t="s">
        <v>794</v>
      </c>
      <c r="I2023" s="879" t="s">
        <v>795</v>
      </c>
      <c r="J2023" s="880" t="s">
        <v>796</v>
      </c>
      <c r="K2023" s="1468" t="s">
        <v>797</v>
      </c>
      <c r="L2023" s="1468"/>
      <c r="M2023" s="1468"/>
      <c r="N2023" s="1468"/>
      <c r="O2023" s="1468"/>
      <c r="P2023" s="881" t="s">
        <v>798</v>
      </c>
      <c r="Q2023" s="882" t="s">
        <v>799</v>
      </c>
      <c r="R2023" s="1469" t="s">
        <v>800</v>
      </c>
      <c r="S2023" s="1469"/>
      <c r="T2023" s="877" t="s">
        <v>801</v>
      </c>
      <c r="U2023" s="879" t="s">
        <v>104</v>
      </c>
    </row>
    <row r="2024" spans="1:21" ht="19.5" customHeight="1">
      <c r="A2024" s="883"/>
      <c r="B2024" s="884" t="str">
        <f>IF('BIS Doc'!AC947=130, "130 × 130", IF('BIS Doc'!AC947=160, "160 × 160", IF('BIS Doc'!AC947=110, "110 × 110", "Value not 130, 160, or 110")))</f>
        <v>Value not 130, 160, or 110</v>
      </c>
      <c r="C2024" s="885">
        <f>'BIS Doc'!W947</f>
        <v>0</v>
      </c>
      <c r="D2024" s="886"/>
      <c r="E2024" s="887">
        <f>'BIS Doc'!AE947</f>
        <v>0</v>
      </c>
      <c r="F2024" s="888">
        <f ca="1">'BIS Doc'!F947</f>
        <v>0</v>
      </c>
      <c r="G2024" s="888">
        <f ca="1">'BIS Doc'!J947</f>
        <v>0</v>
      </c>
      <c r="H2024" s="888">
        <f ca="1">'BIS Doc'!G947</f>
        <v>0.5230919486537764</v>
      </c>
      <c r="I2024" s="889">
        <f ca="1">'BIS Doc'!H947</f>
        <v>0</v>
      </c>
      <c r="J2024" s="889">
        <f ca="1">'BIS Doc'!I947</f>
        <v>0</v>
      </c>
      <c r="K2024" s="1449" t="str">
        <f t="shared" ref="K2024:K2029" ca="1" si="58">IF(H2024&lt;0.6, "IS 14650 CPS 10748/GR2", "IS 14650 CPS 10748/GR3")</f>
        <v>IS 14650 CPS 10748/GR2</v>
      </c>
      <c r="L2024" s="1449"/>
      <c r="M2024" s="1449"/>
      <c r="N2024" s="1449"/>
      <c r="O2024" s="1449"/>
      <c r="P2024" s="890"/>
      <c r="Q2024" s="891"/>
      <c r="R2024" s="1449"/>
      <c r="S2024" s="1449"/>
      <c r="T2024" s="892"/>
      <c r="U2024" s="1450" t="s">
        <v>802</v>
      </c>
    </row>
    <row r="2025" spans="1:21" ht="19.5" customHeight="1">
      <c r="A2025" s="893"/>
      <c r="B2025" s="894" t="str">
        <f>IF('BIS Doc'!AC949=130, "130 × 130", IF('BIS Doc'!AC949=160, "160 × 160", IF('BIS Doc'!AC949=110, "110 × 110", "Value not 130, 160, or 110")))</f>
        <v>Value not 130, 160, or 110</v>
      </c>
      <c r="C2025" s="895">
        <f>'BIS Doc'!W949</f>
        <v>0</v>
      </c>
      <c r="D2025" s="896"/>
      <c r="E2025" s="897">
        <f>'BIS Doc'!AE949</f>
        <v>0</v>
      </c>
      <c r="F2025" s="898">
        <f ca="1">'BIS Doc'!F949</f>
        <v>0</v>
      </c>
      <c r="G2025" s="899">
        <f ca="1">'BIS Doc'!J949</f>
        <v>0</v>
      </c>
      <c r="H2025" s="900">
        <f ca="1">'BIS Doc'!G949</f>
        <v>0.59971560639534871</v>
      </c>
      <c r="I2025" s="901">
        <f ca="1">'BIS Doc'!H949</f>
        <v>0</v>
      </c>
      <c r="J2025" s="901">
        <f ca="1">'BIS Doc'!I949</f>
        <v>0</v>
      </c>
      <c r="K2025" s="1451" t="str">
        <f t="shared" ca="1" si="58"/>
        <v>IS 14650 CPS 10748/GR2</v>
      </c>
      <c r="L2025" s="1451"/>
      <c r="M2025" s="1451"/>
      <c r="N2025" s="1451"/>
      <c r="O2025" s="1451"/>
      <c r="P2025" s="902"/>
      <c r="Q2025" s="903"/>
      <c r="R2025" s="1451"/>
      <c r="S2025" s="1451"/>
      <c r="T2025" s="904"/>
      <c r="U2025" s="1450"/>
    </row>
    <row r="2026" spans="1:21" ht="19.5" customHeight="1">
      <c r="A2026" s="864"/>
      <c r="B2026" s="894" t="str">
        <f>IF('BIS Doc'!AC951=130, "130 × 130", IF('BIS Doc'!AC951=160, "160 × 160", IF('BIS Doc'!AC951=110, "110 × 110", "Value not 130, 160, or 110")))</f>
        <v>Value not 130, 160, or 110</v>
      </c>
      <c r="C2026" s="895">
        <f>'BIS Doc'!W951</f>
        <v>0</v>
      </c>
      <c r="D2026" s="896" t="s">
        <v>803</v>
      </c>
      <c r="E2026" s="897">
        <f>'BIS Doc'!AE951</f>
        <v>0</v>
      </c>
      <c r="F2026" s="898">
        <f ca="1">'BIS Doc'!F951</f>
        <v>0</v>
      </c>
      <c r="G2026" s="899">
        <f ca="1">'BIS Doc'!J951</f>
        <v>0</v>
      </c>
      <c r="H2026" s="900">
        <f ca="1">'BIS Doc'!G951</f>
        <v>0.50816279357712046</v>
      </c>
      <c r="I2026" s="901">
        <f ca="1">'BIS Doc'!H951</f>
        <v>0</v>
      </c>
      <c r="J2026" s="901">
        <f ca="1">'BIS Doc'!I951</f>
        <v>0</v>
      </c>
      <c r="K2026" s="1451" t="str">
        <f t="shared" ca="1" si="58"/>
        <v>IS 14650 CPS 10748/GR2</v>
      </c>
      <c r="L2026" s="1451"/>
      <c r="M2026" s="1451"/>
      <c r="N2026" s="1451"/>
      <c r="O2026" s="1451"/>
      <c r="P2026" s="902"/>
      <c r="Q2026" s="905"/>
      <c r="R2026" s="1451"/>
      <c r="S2026" s="1451"/>
      <c r="T2026" s="904"/>
      <c r="U2026" s="1450"/>
    </row>
    <row r="2027" spans="1:21" ht="19.5" customHeight="1">
      <c r="A2027" s="864"/>
      <c r="B2027" s="894" t="str">
        <f>IF('BIS Doc'!AC953=130, "130 × 130", IF('BIS Doc'!AC953=160, "160 × 160", IF('BIS Doc'!AC953=110, "110 × 110", "Value not 130, 160, or 110")))</f>
        <v>Value not 130, 160, or 110</v>
      </c>
      <c r="C2027" s="895">
        <f>'BIS Doc'!W953</f>
        <v>0</v>
      </c>
      <c r="D2027" s="896"/>
      <c r="E2027" s="897">
        <f>'BIS Doc'!AE953</f>
        <v>0</v>
      </c>
      <c r="F2027" s="898">
        <f ca="1">'BIS Doc'!F953</f>
        <v>0</v>
      </c>
      <c r="G2027" s="899">
        <f ca="1">'BIS Doc'!J953</f>
        <v>0</v>
      </c>
      <c r="H2027" s="900">
        <f ca="1">'BIS Doc'!G953</f>
        <v>0.53638964619913476</v>
      </c>
      <c r="I2027" s="901">
        <f ca="1">'BIS Doc'!H953</f>
        <v>0</v>
      </c>
      <c r="J2027" s="901">
        <f ca="1">'BIS Doc'!I953</f>
        <v>0</v>
      </c>
      <c r="K2027" s="1451" t="str">
        <f t="shared" ca="1" si="58"/>
        <v>IS 14650 CPS 10748/GR2</v>
      </c>
      <c r="L2027" s="1451"/>
      <c r="M2027" s="1451"/>
      <c r="N2027" s="1451"/>
      <c r="O2027" s="1451"/>
      <c r="P2027" s="902"/>
      <c r="Q2027" s="905"/>
      <c r="R2027" s="1451"/>
      <c r="S2027" s="1451"/>
      <c r="T2027" s="904"/>
      <c r="U2027" s="1450"/>
    </row>
    <row r="2028" spans="1:21" ht="19.5" customHeight="1">
      <c r="A2028" s="864"/>
      <c r="B2028" s="894" t="str">
        <f>IF('BIS Doc'!AC955=130, "130 × 130", IF('BIS Doc'!AC955=160, "160 × 160", IF('BIS Doc'!AC955=110, "110 × 110", "Value not 130, 160, or 110")))</f>
        <v>Value not 130, 160, or 110</v>
      </c>
      <c r="C2028" s="895">
        <f>'BIS Doc'!W955</f>
        <v>0</v>
      </c>
      <c r="D2028" s="896"/>
      <c r="E2028" s="897">
        <f>'BIS Doc'!AE955</f>
        <v>0</v>
      </c>
      <c r="F2028" s="898">
        <f ca="1">'BIS Doc'!F955</f>
        <v>0</v>
      </c>
      <c r="G2028" s="899">
        <f ca="1">'BIS Doc'!J955</f>
        <v>0</v>
      </c>
      <c r="H2028" s="900">
        <f ca="1">'BIS Doc'!G955</f>
        <v>0.54665019760961542</v>
      </c>
      <c r="I2028" s="901">
        <f ca="1">'BIS Doc'!H955</f>
        <v>0</v>
      </c>
      <c r="J2028" s="901">
        <f ca="1">'BIS Doc'!I955</f>
        <v>0</v>
      </c>
      <c r="K2028" s="1451" t="str">
        <f t="shared" ca="1" si="58"/>
        <v>IS 14650 CPS 10748/GR2</v>
      </c>
      <c r="L2028" s="1451"/>
      <c r="M2028" s="1451"/>
      <c r="N2028" s="1451"/>
      <c r="O2028" s="1451"/>
      <c r="P2028" s="902"/>
      <c r="Q2028" s="905"/>
      <c r="R2028" s="1451"/>
      <c r="S2028" s="1451"/>
      <c r="T2028" s="904"/>
      <c r="U2028" s="1450"/>
    </row>
    <row r="2029" spans="1:21" ht="19.5" customHeight="1">
      <c r="A2029" s="864"/>
      <c r="B2029" s="894" t="str">
        <f>IF('BIS Doc'!AC957=130, "130 × 130", IF('BIS Doc'!AC957=160, "160 × 160", IF('BIS Doc'!AC957=110, "110 × 110", "Value not 130, 160, or 110")))</f>
        <v>Value not 130, 160, or 110</v>
      </c>
      <c r="C2029" s="895">
        <f>'BIS Doc'!W957</f>
        <v>0</v>
      </c>
      <c r="D2029" s="896"/>
      <c r="E2029" s="897">
        <f>'BIS Doc'!AE957</f>
        <v>0</v>
      </c>
      <c r="F2029" s="898">
        <f ca="1">'BIS Doc'!F957</f>
        <v>0</v>
      </c>
      <c r="G2029" s="899">
        <f ca="1">'BIS Doc'!J957</f>
        <v>0</v>
      </c>
      <c r="H2029" s="900">
        <f ca="1">'BIS Doc'!G957</f>
        <v>0.56417666222386453</v>
      </c>
      <c r="I2029" s="901">
        <f ca="1">'BIS Doc'!H957</f>
        <v>0</v>
      </c>
      <c r="J2029" s="901">
        <f ca="1">'BIS Doc'!I957</f>
        <v>0</v>
      </c>
      <c r="K2029" s="1451" t="str">
        <f t="shared" ca="1" si="58"/>
        <v>IS 14650 CPS 10748/GR2</v>
      </c>
      <c r="L2029" s="1451"/>
      <c r="M2029" s="1451"/>
      <c r="N2029" s="1451"/>
      <c r="O2029" s="1451"/>
      <c r="P2029" s="902"/>
      <c r="Q2029" s="903"/>
      <c r="R2029" s="1451"/>
      <c r="S2029" s="1451"/>
      <c r="T2029" s="904"/>
      <c r="U2029" s="1450"/>
    </row>
    <row r="2030" spans="1:21" ht="19.5" customHeight="1">
      <c r="A2030" s="864"/>
      <c r="B2030" s="904"/>
      <c r="C2030" s="895"/>
      <c r="D2030" s="896"/>
      <c r="E2030" s="897"/>
      <c r="F2030" s="906"/>
      <c r="G2030" s="907"/>
      <c r="H2030" s="908"/>
      <c r="I2030" s="909"/>
      <c r="J2030" s="909"/>
      <c r="K2030" s="1451"/>
      <c r="L2030" s="1451"/>
      <c r="M2030" s="1451"/>
      <c r="N2030" s="1451"/>
      <c r="O2030" s="1451"/>
      <c r="P2030" s="902"/>
      <c r="Q2030" s="903"/>
      <c r="R2030" s="1451"/>
      <c r="S2030" s="1451"/>
      <c r="T2030" s="904"/>
      <c r="U2030" s="1450"/>
    </row>
    <row r="2031" spans="1:21" ht="19.5" customHeight="1">
      <c r="A2031" s="864"/>
      <c r="B2031" s="904"/>
      <c r="C2031" s="895"/>
      <c r="D2031" s="896"/>
      <c r="E2031" s="897"/>
      <c r="F2031" s="906"/>
      <c r="G2031" s="907"/>
      <c r="H2031" s="908"/>
      <c r="I2031" s="909"/>
      <c r="J2031" s="909"/>
      <c r="K2031" s="1451"/>
      <c r="L2031" s="1451"/>
      <c r="M2031" s="1451"/>
      <c r="N2031" s="1451"/>
      <c r="O2031" s="1451"/>
      <c r="P2031" s="902"/>
      <c r="Q2031" s="905"/>
      <c r="R2031" s="1451"/>
      <c r="S2031" s="1451"/>
      <c r="T2031" s="904"/>
      <c r="U2031" s="1450"/>
    </row>
    <row r="2032" spans="1:21" ht="19.5" customHeight="1">
      <c r="A2032" s="864"/>
      <c r="B2032" s="910"/>
      <c r="C2032" s="911"/>
      <c r="D2032" s="896"/>
      <c r="E2032" s="897"/>
      <c r="F2032" s="906"/>
      <c r="G2032" s="907"/>
      <c r="H2032" s="908"/>
      <c r="I2032" s="909"/>
      <c r="J2032" s="909"/>
      <c r="K2032" s="1451"/>
      <c r="L2032" s="1451"/>
      <c r="M2032" s="1451"/>
      <c r="N2032" s="1451"/>
      <c r="O2032" s="1451"/>
      <c r="P2032" s="912"/>
      <c r="Q2032" s="913"/>
      <c r="R2032" s="1452"/>
      <c r="S2032" s="1452"/>
      <c r="T2032" s="910"/>
      <c r="U2032" s="1450"/>
    </row>
    <row r="2033" spans="1:21" ht="19.5" customHeight="1">
      <c r="A2033" s="914"/>
      <c r="B2033" s="915"/>
      <c r="C2033" s="916"/>
      <c r="D2033" s="917"/>
      <c r="E2033" s="918">
        <f>SUM(E2024:E2029)</f>
        <v>0</v>
      </c>
      <c r="F2033" s="919"/>
      <c r="G2033" s="920"/>
      <c r="H2033" s="921"/>
      <c r="I2033" s="922"/>
      <c r="J2033" s="922"/>
      <c r="K2033" s="1453"/>
      <c r="L2033" s="1453"/>
      <c r="M2033" s="1453"/>
      <c r="N2033" s="1453"/>
      <c r="O2033" s="1453"/>
      <c r="P2033" s="923"/>
      <c r="Q2033" s="924"/>
      <c r="R2033" s="1454"/>
      <c r="S2033" s="1454"/>
      <c r="T2033" s="915"/>
      <c r="U2033" s="1450"/>
    </row>
    <row r="2034" spans="1:21" ht="15.75" customHeight="1">
      <c r="A2034" s="864"/>
      <c r="B2034" s="773"/>
      <c r="C2034" s="773"/>
      <c r="D2034" s="925"/>
      <c r="E2034" s="926"/>
      <c r="F2034" s="927"/>
      <c r="G2034" s="928"/>
      <c r="H2034" s="259"/>
      <c r="I2034" s="259"/>
      <c r="J2034" s="928"/>
      <c r="K2034" s="929"/>
      <c r="L2034" s="929"/>
      <c r="M2034" s="929"/>
      <c r="N2034" s="929"/>
      <c r="O2034" s="928"/>
      <c r="P2034" s="930"/>
      <c r="Q2034" s="931"/>
      <c r="R2034" s="931"/>
      <c r="U2034" s="932"/>
    </row>
    <row r="2035" spans="1:21" ht="18.75" customHeight="1">
      <c r="A2035" s="864"/>
      <c r="B2035" s="773"/>
      <c r="C2035" s="773"/>
      <c r="D2035" s="773"/>
      <c r="E2035" s="773"/>
      <c r="F2035" s="773"/>
      <c r="G2035" s="773"/>
      <c r="H2035" s="773"/>
      <c r="I2035" s="773"/>
      <c r="J2035" s="773"/>
      <c r="K2035" s="773"/>
      <c r="P2035" s="1446" t="s">
        <v>804</v>
      </c>
      <c r="Q2035" s="1446"/>
      <c r="R2035" s="1446"/>
      <c r="S2035" s="1446"/>
      <c r="T2035" s="1446"/>
      <c r="U2035" s="1446"/>
    </row>
    <row r="2036" spans="1:21" ht="18.75" customHeight="1">
      <c r="A2036" s="1447" t="s">
        <v>805</v>
      </c>
      <c r="B2036" s="1447"/>
      <c r="C2036" s="933"/>
      <c r="D2036" s="933"/>
      <c r="E2036" s="933"/>
      <c r="F2036" s="933"/>
      <c r="P2036" s="855"/>
      <c r="Q2036" s="855"/>
      <c r="R2036" s="855"/>
      <c r="S2036" s="855"/>
      <c r="T2036" s="855"/>
      <c r="U2036" s="934"/>
    </row>
    <row r="2037" spans="1:21" ht="18.75" customHeight="1">
      <c r="A2037" s="854"/>
      <c r="B2037" s="855"/>
      <c r="P2037" s="855"/>
      <c r="Q2037" s="855"/>
      <c r="R2037" s="855"/>
      <c r="S2037" s="855"/>
      <c r="T2037" s="855"/>
      <c r="U2037" s="934"/>
    </row>
    <row r="2038" spans="1:21" ht="18.75" customHeight="1">
      <c r="A2038" s="854" t="s">
        <v>806</v>
      </c>
      <c r="B2038" s="855"/>
      <c r="C2038" s="867"/>
      <c r="D2038" s="941"/>
      <c r="E2038" s="933"/>
      <c r="F2038" s="933"/>
      <c r="P2038" s="855"/>
      <c r="Q2038" s="855"/>
      <c r="R2038" s="855"/>
      <c r="S2038" s="855"/>
      <c r="T2038" s="855"/>
      <c r="U2038" s="934"/>
    </row>
    <row r="2039" spans="1:21" ht="18.75" customHeight="1">
      <c r="A2039" s="854"/>
      <c r="B2039" s="855"/>
      <c r="C2039" s="937"/>
      <c r="P2039" s="855"/>
      <c r="Q2039" s="855"/>
      <c r="R2039" s="855"/>
      <c r="S2039" s="855"/>
      <c r="T2039" s="855"/>
      <c r="U2039" s="934"/>
    </row>
    <row r="2040" spans="1:21" ht="19.5" customHeight="1">
      <c r="A2040" s="938"/>
      <c r="B2040" s="939"/>
      <c r="C2040" s="940"/>
      <c r="D2040" s="453"/>
      <c r="E2040" s="453"/>
      <c r="F2040" s="453"/>
      <c r="G2040" s="453"/>
      <c r="H2040" s="453"/>
      <c r="I2040" s="453"/>
      <c r="J2040" s="453"/>
      <c r="K2040" s="453"/>
      <c r="L2040" s="453"/>
      <c r="M2040" s="453"/>
      <c r="N2040" s="453"/>
      <c r="O2040" s="453"/>
      <c r="P2040" s="1448" t="s">
        <v>807</v>
      </c>
      <c r="Q2040" s="1448"/>
      <c r="R2040" s="1448"/>
      <c r="S2040" s="1448"/>
      <c r="T2040" s="1448"/>
      <c r="U2040" s="1448"/>
    </row>
    <row r="2041" spans="1:21" ht="45.75" customHeight="1">
      <c r="A2041" s="1455"/>
      <c r="B2041" s="1455"/>
      <c r="C2041" s="1455"/>
      <c r="D2041" s="847"/>
      <c r="E2041" s="1456" t="s">
        <v>774</v>
      </c>
      <c r="F2041" s="1456"/>
      <c r="G2041" s="1456"/>
      <c r="H2041" s="1456"/>
      <c r="I2041" s="1456"/>
      <c r="J2041" s="1456"/>
      <c r="K2041" s="1456"/>
      <c r="L2041" s="1456"/>
      <c r="M2041" s="1456"/>
      <c r="N2041" s="1456"/>
      <c r="O2041" s="1456"/>
      <c r="P2041" s="1456"/>
      <c r="Q2041" s="1456"/>
      <c r="R2041" s="1456"/>
      <c r="S2041" s="848"/>
      <c r="T2041" s="1457" t="s">
        <v>775</v>
      </c>
      <c r="U2041" s="1457"/>
    </row>
    <row r="2042" spans="1:21" ht="18.75" customHeight="1">
      <c r="A2042" s="849"/>
      <c r="E2042" s="1458" t="s">
        <v>776</v>
      </c>
      <c r="F2042" s="1458"/>
      <c r="G2042" s="1458"/>
      <c r="H2042" s="1458"/>
      <c r="I2042" s="1458"/>
      <c r="J2042" s="1458"/>
      <c r="K2042" s="1458"/>
      <c r="L2042" s="1458"/>
      <c r="M2042" s="1458"/>
      <c r="N2042" s="1458"/>
      <c r="O2042" s="1458"/>
      <c r="P2042" s="1458"/>
      <c r="Q2042" s="1458"/>
      <c r="R2042" s="1458"/>
      <c r="U2042" s="456"/>
    </row>
    <row r="2043" spans="1:21" ht="18.75" customHeight="1">
      <c r="A2043" s="850"/>
      <c r="F2043" s="587"/>
      <c r="G2043" s="587"/>
      <c r="H2043" s="587"/>
      <c r="I2043" s="587"/>
      <c r="J2043" s="587"/>
      <c r="K2043" s="587"/>
      <c r="L2043" s="587"/>
      <c r="M2043" s="851"/>
      <c r="N2043" s="852"/>
      <c r="O2043" s="851"/>
      <c r="P2043" s="1459" t="s">
        <v>777</v>
      </c>
      <c r="Q2043" s="1459"/>
      <c r="R2043" s="1459"/>
      <c r="S2043" s="1459"/>
      <c r="T2043" s="1459"/>
      <c r="U2043" s="1459"/>
    </row>
    <row r="2044" spans="1:21" ht="15" customHeight="1">
      <c r="A2044" s="849"/>
      <c r="E2044" s="1287" t="s">
        <v>778</v>
      </c>
      <c r="F2044" s="1287"/>
      <c r="G2044" s="1287"/>
      <c r="H2044" s="1287"/>
      <c r="I2044" s="1287"/>
      <c r="J2044" s="1287"/>
      <c r="K2044" s="1287"/>
      <c r="L2044" s="1287"/>
      <c r="M2044" s="1287"/>
      <c r="N2044" s="1287"/>
      <c r="O2044" s="1287"/>
      <c r="P2044" s="1287"/>
      <c r="Q2044" s="1287"/>
      <c r="R2044" s="1287"/>
      <c r="U2044" s="456"/>
    </row>
    <row r="2045" spans="1:21" ht="18.75" customHeight="1">
      <c r="A2045" s="849"/>
      <c r="E2045" s="1286" t="s">
        <v>779</v>
      </c>
      <c r="F2045" s="1286"/>
      <c r="G2045" s="1286"/>
      <c r="H2045" s="1286"/>
      <c r="I2045" s="1286"/>
      <c r="J2045" s="1286"/>
      <c r="K2045" s="1286"/>
      <c r="L2045" s="1286"/>
      <c r="M2045" s="1286"/>
      <c r="N2045" s="1286"/>
      <c r="O2045" s="1286"/>
      <c r="P2045" s="1286"/>
      <c r="Q2045" s="1286"/>
      <c r="R2045" s="1286"/>
      <c r="U2045" s="853"/>
    </row>
    <row r="2046" spans="1:21" ht="23.25" customHeight="1">
      <c r="A2046" s="854" t="s">
        <v>780</v>
      </c>
      <c r="B2046" s="855"/>
      <c r="C2046" s="855"/>
      <c r="D2046" s="856" t="s">
        <v>884</v>
      </c>
      <c r="E2046" s="857"/>
      <c r="F2046" s="858"/>
      <c r="G2046" s="859"/>
      <c r="H2046" s="859"/>
      <c r="I2046" s="859"/>
      <c r="J2046" s="859"/>
      <c r="K2046" s="859"/>
      <c r="L2046" s="860"/>
      <c r="M2046" s="1460"/>
      <c r="N2046" s="1460"/>
      <c r="O2046" s="1460"/>
      <c r="P2046" s="1461" t="s">
        <v>781</v>
      </c>
      <c r="Q2046" s="1461"/>
      <c r="R2046" s="1461"/>
      <c r="S2046" s="855"/>
      <c r="T2046" s="861">
        <v>46326</v>
      </c>
      <c r="U2046" s="456"/>
    </row>
    <row r="2047" spans="1:21" ht="23.25" customHeight="1">
      <c r="A2047" s="854"/>
      <c r="B2047" s="862"/>
      <c r="C2047" s="862"/>
      <c r="D2047" s="862"/>
      <c r="E2047" s="163"/>
      <c r="F2047" s="863"/>
      <c r="G2047" s="863"/>
      <c r="H2047" s="863"/>
      <c r="I2047" s="863"/>
      <c r="J2047" s="863"/>
      <c r="K2047" s="863"/>
      <c r="U2047" s="456"/>
    </row>
    <row r="2048" spans="1:21" ht="21" customHeight="1">
      <c r="A2048" s="864" t="s">
        <v>782</v>
      </c>
      <c r="B2048" s="865"/>
      <c r="C2048" s="866"/>
      <c r="D2048" s="867"/>
      <c r="E2048" s="868"/>
      <c r="F2048" s="869"/>
      <c r="G2048" s="869"/>
      <c r="H2048" s="869"/>
      <c r="I2048" s="870"/>
      <c r="J2048" s="870"/>
      <c r="P2048" s="1462"/>
      <c r="Q2048" s="1462"/>
      <c r="R2048" s="1462"/>
      <c r="S2048" s="1462"/>
      <c r="T2048" s="871"/>
      <c r="U2048" s="456"/>
    </row>
    <row r="2049" spans="1:21" ht="21" customHeight="1">
      <c r="A2049" s="872"/>
      <c r="B2049" s="873"/>
      <c r="C2049" s="869"/>
      <c r="D2049" s="869"/>
      <c r="E2049" s="869"/>
      <c r="F2049" s="869"/>
      <c r="G2049" s="869"/>
      <c r="H2049" s="869"/>
      <c r="I2049" s="870"/>
      <c r="J2049" s="870"/>
      <c r="U2049" s="456"/>
    </row>
    <row r="2050" spans="1:21" ht="15" customHeight="1">
      <c r="A2050" s="1463" t="s">
        <v>783</v>
      </c>
      <c r="B2050" s="1463"/>
      <c r="C2050" s="1463"/>
      <c r="D2050" s="1463"/>
      <c r="E2050" s="1463"/>
      <c r="F2050" s="1463"/>
      <c r="G2050" s="1463"/>
      <c r="H2050" s="1463"/>
      <c r="I2050" s="1463"/>
      <c r="J2050" s="1463"/>
      <c r="K2050" s="1463"/>
      <c r="L2050" s="1463"/>
      <c r="M2050" s="1463"/>
      <c r="N2050" s="1463"/>
      <c r="O2050" s="1463"/>
      <c r="P2050" s="1463"/>
      <c r="Q2050" s="1463"/>
      <c r="R2050" s="1463"/>
      <c r="S2050" s="1463"/>
      <c r="T2050" s="1463"/>
      <c r="U2050" s="1463"/>
    </row>
    <row r="2051" spans="1:21" ht="15" customHeight="1">
      <c r="A2051" s="1463"/>
      <c r="B2051" s="1463"/>
      <c r="C2051" s="1463"/>
      <c r="D2051" s="1463"/>
      <c r="E2051" s="1463"/>
      <c r="F2051" s="1463"/>
      <c r="G2051" s="1463"/>
      <c r="H2051" s="1463"/>
      <c r="I2051" s="1463"/>
      <c r="J2051" s="1463"/>
      <c r="K2051" s="1463"/>
      <c r="L2051" s="1463"/>
      <c r="M2051" s="1463"/>
      <c r="N2051" s="1463"/>
      <c r="O2051" s="1463"/>
      <c r="P2051" s="1463"/>
      <c r="Q2051" s="1463"/>
      <c r="R2051" s="1463"/>
      <c r="S2051" s="1463"/>
      <c r="T2051" s="1463"/>
      <c r="U2051" s="1463"/>
    </row>
    <row r="2052" spans="1:21" ht="18" customHeight="1">
      <c r="A2052" s="1464" t="s">
        <v>784</v>
      </c>
      <c r="B2052" s="1464"/>
      <c r="C2052" s="1464"/>
      <c r="D2052" s="1464"/>
      <c r="E2052" s="1464"/>
      <c r="F2052" s="1464"/>
      <c r="G2052" s="1464"/>
      <c r="H2052" s="1464"/>
      <c r="I2052" s="1464"/>
      <c r="J2052" s="1464"/>
      <c r="K2052" s="1464"/>
      <c r="L2052" s="1464"/>
      <c r="M2052" s="1464"/>
      <c r="N2052" s="1464"/>
      <c r="O2052" s="1464"/>
      <c r="P2052" s="1464"/>
      <c r="Q2052" s="1464"/>
      <c r="R2052" s="1464"/>
      <c r="S2052" s="1464"/>
      <c r="T2052" s="1464"/>
      <c r="U2052" s="1464"/>
    </row>
    <row r="2053" spans="1:21" ht="23.25" customHeight="1">
      <c r="A2053" s="1465" t="s">
        <v>785</v>
      </c>
      <c r="B2053" s="1465"/>
      <c r="C2053" s="1465"/>
      <c r="D2053" s="1465"/>
      <c r="E2053" s="1465"/>
      <c r="F2053" s="1465"/>
      <c r="G2053" s="1465"/>
      <c r="H2053" s="1465"/>
      <c r="I2053" s="1465"/>
      <c r="J2053" s="1465"/>
      <c r="K2053" s="1465"/>
      <c r="L2053" s="1465"/>
      <c r="M2053" s="1465"/>
      <c r="N2053" s="1465"/>
      <c r="O2053" s="1465"/>
      <c r="P2053" s="1465"/>
      <c r="Q2053" s="1465"/>
      <c r="R2053" s="1465"/>
      <c r="S2053" s="1465"/>
      <c r="T2053" s="1465"/>
      <c r="U2053" s="1465"/>
    </row>
    <row r="2054" spans="1:21" ht="21.75" customHeight="1">
      <c r="A2054" s="874"/>
      <c r="B2054" s="875"/>
      <c r="C2054" s="875"/>
      <c r="D2054" s="875"/>
      <c r="E2054" s="875"/>
      <c r="F2054" s="875"/>
      <c r="G2054" s="875"/>
      <c r="H2054" s="875"/>
      <c r="I2054" s="875"/>
      <c r="J2054" s="875"/>
      <c r="K2054" s="875"/>
      <c r="L2054" s="875"/>
      <c r="M2054" s="875"/>
      <c r="N2054" s="875"/>
      <c r="O2054" s="875"/>
      <c r="P2054" s="875"/>
      <c r="Q2054" s="875"/>
      <c r="R2054" s="875"/>
      <c r="S2054" s="875"/>
      <c r="T2054" s="875"/>
      <c r="U2054" s="876"/>
    </row>
    <row r="2055" spans="1:21" ht="15" customHeight="1">
      <c r="A2055" s="1466" t="s">
        <v>786</v>
      </c>
      <c r="B2055" s="1467" t="s">
        <v>787</v>
      </c>
      <c r="C2055" s="1468" t="s">
        <v>788</v>
      </c>
      <c r="D2055" s="1468" t="s">
        <v>789</v>
      </c>
      <c r="E2055" s="1469" t="s">
        <v>790</v>
      </c>
      <c r="F2055" s="1468" t="s">
        <v>791</v>
      </c>
      <c r="G2055" s="1468"/>
      <c r="H2055" s="1468"/>
      <c r="I2055" s="1468"/>
      <c r="J2055" s="1468"/>
      <c r="K2055" s="1468"/>
      <c r="L2055" s="1468"/>
      <c r="M2055" s="1468"/>
      <c r="N2055" s="1468"/>
      <c r="O2055" s="1468"/>
      <c r="P2055" s="1470"/>
      <c r="Q2055" s="1470"/>
      <c r="R2055" s="1470"/>
      <c r="S2055" s="1470"/>
      <c r="T2055" s="1470"/>
      <c r="U2055" s="1470"/>
    </row>
    <row r="2056" spans="1:21" ht="15.75" customHeight="1">
      <c r="A2056" s="1466"/>
      <c r="B2056" s="1467"/>
      <c r="C2056" s="1468"/>
      <c r="D2056" s="1468"/>
      <c r="E2056" s="1469"/>
      <c r="F2056" s="1468"/>
      <c r="G2056" s="1468"/>
      <c r="H2056" s="1468"/>
      <c r="I2056" s="1468"/>
      <c r="J2056" s="1468"/>
      <c r="K2056" s="1468"/>
      <c r="L2056" s="1468"/>
      <c r="M2056" s="1468"/>
      <c r="N2056" s="1468"/>
      <c r="O2056" s="1468"/>
      <c r="P2056" s="1470"/>
      <c r="Q2056" s="1470"/>
      <c r="R2056" s="1470"/>
      <c r="S2056" s="1470"/>
      <c r="T2056" s="1470"/>
      <c r="U2056" s="1470"/>
    </row>
    <row r="2057" spans="1:21" ht="48" customHeight="1">
      <c r="A2057" s="1466"/>
      <c r="B2057" s="1467"/>
      <c r="C2057" s="1468"/>
      <c r="D2057" s="1468"/>
      <c r="E2057" s="1469"/>
      <c r="F2057" s="878" t="s">
        <v>792</v>
      </c>
      <c r="G2057" s="877" t="s">
        <v>793</v>
      </c>
      <c r="H2057" s="878" t="s">
        <v>794</v>
      </c>
      <c r="I2057" s="879" t="s">
        <v>795</v>
      </c>
      <c r="J2057" s="880" t="s">
        <v>796</v>
      </c>
      <c r="K2057" s="1468" t="s">
        <v>797</v>
      </c>
      <c r="L2057" s="1468"/>
      <c r="M2057" s="1468"/>
      <c r="N2057" s="1468"/>
      <c r="O2057" s="1468"/>
      <c r="P2057" s="881" t="s">
        <v>798</v>
      </c>
      <c r="Q2057" s="882" t="s">
        <v>799</v>
      </c>
      <c r="R2057" s="1469" t="s">
        <v>800</v>
      </c>
      <c r="S2057" s="1469"/>
      <c r="T2057" s="877" t="s">
        <v>801</v>
      </c>
      <c r="U2057" s="879" t="s">
        <v>104</v>
      </c>
    </row>
    <row r="2058" spans="1:21" ht="19.5" customHeight="1">
      <c r="A2058" s="883"/>
      <c r="B2058" s="884" t="str">
        <f>IF('BIS Doc'!AC967=130, "130 × 130", IF('BIS Doc'!AC967=160, "160 × 160", IF('BIS Doc'!AC967=110, "110 × 110", "Value not 130, 160, or 110")))</f>
        <v>Value not 130, 160, or 110</v>
      </c>
      <c r="C2058" s="885">
        <f>'BIS Doc'!W967</f>
        <v>0</v>
      </c>
      <c r="D2058" s="886"/>
      <c r="E2058" s="887">
        <f>'BIS Doc'!AE967</f>
        <v>0</v>
      </c>
      <c r="F2058" s="888">
        <f ca="1">'BIS Doc'!F967</f>
        <v>0</v>
      </c>
      <c r="G2058" s="888">
        <f ca="1">'BIS Doc'!J967</f>
        <v>0</v>
      </c>
      <c r="H2058" s="888">
        <f ca="1">'BIS Doc'!G967</f>
        <v>0.52722029131663628</v>
      </c>
      <c r="I2058" s="889">
        <f ca="1">'BIS Doc'!H967</f>
        <v>0</v>
      </c>
      <c r="J2058" s="889">
        <f ca="1">'BIS Doc'!I967</f>
        <v>0</v>
      </c>
      <c r="K2058" s="1449" t="str">
        <f t="shared" ref="K2058:K2063" ca="1" si="59">IF(H2058&lt;0.6, "IS 14650 CPS 10748/GR2", "IS 14650 CPS 10748/GR3")</f>
        <v>IS 14650 CPS 10748/GR2</v>
      </c>
      <c r="L2058" s="1449"/>
      <c r="M2058" s="1449"/>
      <c r="N2058" s="1449"/>
      <c r="O2058" s="1449"/>
      <c r="P2058" s="890"/>
      <c r="Q2058" s="891"/>
      <c r="R2058" s="1449"/>
      <c r="S2058" s="1449"/>
      <c r="T2058" s="892"/>
      <c r="U2058" s="1450" t="s">
        <v>802</v>
      </c>
    </row>
    <row r="2059" spans="1:21" ht="19.5" customHeight="1">
      <c r="A2059" s="893"/>
      <c r="B2059" s="894" t="str">
        <f>IF('BIS Doc'!AC969=130, "130 × 130", IF('BIS Doc'!AC969=160, "160 × 160", IF('BIS Doc'!AC969=110, "110 × 110", "Value not 130, 160, or 110")))</f>
        <v>Value not 130, 160, or 110</v>
      </c>
      <c r="C2059" s="895">
        <f>'BIS Doc'!W969</f>
        <v>0</v>
      </c>
      <c r="D2059" s="896"/>
      <c r="E2059" s="897">
        <f>'BIS Doc'!AE969</f>
        <v>0</v>
      </c>
      <c r="F2059" s="898">
        <f ca="1">'BIS Doc'!F969</f>
        <v>0</v>
      </c>
      <c r="G2059" s="899">
        <f ca="1">'BIS Doc'!J969</f>
        <v>0</v>
      </c>
      <c r="H2059" s="900">
        <f ca="1">'BIS Doc'!G969</f>
        <v>0.56333392450066899</v>
      </c>
      <c r="I2059" s="901">
        <f ca="1">'BIS Doc'!H969</f>
        <v>0</v>
      </c>
      <c r="J2059" s="901">
        <f ca="1">'BIS Doc'!I969</f>
        <v>0</v>
      </c>
      <c r="K2059" s="1451" t="str">
        <f t="shared" ca="1" si="59"/>
        <v>IS 14650 CPS 10748/GR2</v>
      </c>
      <c r="L2059" s="1451"/>
      <c r="M2059" s="1451"/>
      <c r="N2059" s="1451"/>
      <c r="O2059" s="1451"/>
      <c r="P2059" s="902"/>
      <c r="Q2059" s="903"/>
      <c r="R2059" s="1451"/>
      <c r="S2059" s="1451"/>
      <c r="T2059" s="904"/>
      <c r="U2059" s="1450"/>
    </row>
    <row r="2060" spans="1:21" ht="19.5" customHeight="1">
      <c r="A2060" s="864"/>
      <c r="B2060" s="894" t="str">
        <f>IF('BIS Doc'!AC971=130, "130 × 130", IF('BIS Doc'!AC971=160, "160 × 160", IF('BIS Doc'!AC971=110, "110 × 110", "Value not 130, 160, or 110")))</f>
        <v>Value not 130, 160, or 110</v>
      </c>
      <c r="C2060" s="895">
        <f>'BIS Doc'!W971</f>
        <v>0</v>
      </c>
      <c r="D2060" s="896" t="s">
        <v>803</v>
      </c>
      <c r="E2060" s="897">
        <f>'BIS Doc'!AE971</f>
        <v>0</v>
      </c>
      <c r="F2060" s="898">
        <f ca="1">'BIS Doc'!F971</f>
        <v>0</v>
      </c>
      <c r="G2060" s="899">
        <f ca="1">'BIS Doc'!J971</f>
        <v>0</v>
      </c>
      <c r="H2060" s="900">
        <f ca="1">'BIS Doc'!G971</f>
        <v>0.53063523134997959</v>
      </c>
      <c r="I2060" s="901">
        <f ca="1">'BIS Doc'!H971</f>
        <v>0</v>
      </c>
      <c r="J2060" s="901">
        <f ca="1">'BIS Doc'!I971</f>
        <v>0</v>
      </c>
      <c r="K2060" s="1451" t="str">
        <f t="shared" ca="1" si="59"/>
        <v>IS 14650 CPS 10748/GR2</v>
      </c>
      <c r="L2060" s="1451"/>
      <c r="M2060" s="1451"/>
      <c r="N2060" s="1451"/>
      <c r="O2060" s="1451"/>
      <c r="P2060" s="902"/>
      <c r="Q2060" s="905"/>
      <c r="R2060" s="1451"/>
      <c r="S2060" s="1451"/>
      <c r="T2060" s="904"/>
      <c r="U2060" s="1450"/>
    </row>
    <row r="2061" spans="1:21" ht="19.5" customHeight="1">
      <c r="A2061" s="864"/>
      <c r="B2061" s="894" t="str">
        <f>IF('BIS Doc'!AC973=130, "130 × 130", IF('BIS Doc'!AC973=160, "160 × 160", IF('BIS Doc'!AC973=110, "110 × 110", "Value not 130, 160, or 110")))</f>
        <v>Value not 130, 160, or 110</v>
      </c>
      <c r="C2061" s="895">
        <f>'BIS Doc'!W973</f>
        <v>0</v>
      </c>
      <c r="D2061" s="896"/>
      <c r="E2061" s="897">
        <f>'BIS Doc'!AE973</f>
        <v>0</v>
      </c>
      <c r="F2061" s="898">
        <f ca="1">'BIS Doc'!F973</f>
        <v>0</v>
      </c>
      <c r="G2061" s="899">
        <f ca="1">'BIS Doc'!J973</f>
        <v>0</v>
      </c>
      <c r="H2061" s="900">
        <f ca="1">'BIS Doc'!G973</f>
        <v>0.59799137012356207</v>
      </c>
      <c r="I2061" s="901">
        <f ca="1">'BIS Doc'!H973</f>
        <v>0</v>
      </c>
      <c r="J2061" s="901">
        <f ca="1">'BIS Doc'!I973</f>
        <v>0</v>
      </c>
      <c r="K2061" s="1451" t="str">
        <f t="shared" ca="1" si="59"/>
        <v>IS 14650 CPS 10748/GR2</v>
      </c>
      <c r="L2061" s="1451"/>
      <c r="M2061" s="1451"/>
      <c r="N2061" s="1451"/>
      <c r="O2061" s="1451"/>
      <c r="P2061" s="902"/>
      <c r="Q2061" s="905"/>
      <c r="R2061" s="1451"/>
      <c r="S2061" s="1451"/>
      <c r="T2061" s="904"/>
      <c r="U2061" s="1450"/>
    </row>
    <row r="2062" spans="1:21" ht="19.5" customHeight="1">
      <c r="A2062" s="864"/>
      <c r="B2062" s="894" t="str">
        <f>IF('BIS Doc'!AC975=130, "130 × 130", IF('BIS Doc'!AC975=160, "160 × 160", IF('BIS Doc'!AC975=110, "110 × 110", "Value not 130, 160, or 110")))</f>
        <v>Value not 130, 160, or 110</v>
      </c>
      <c r="C2062" s="895">
        <f>'BIS Doc'!W975</f>
        <v>0</v>
      </c>
      <c r="D2062" s="896"/>
      <c r="E2062" s="897">
        <f>'BIS Doc'!AE975</f>
        <v>0</v>
      </c>
      <c r="F2062" s="898">
        <f ca="1">'BIS Doc'!F975</f>
        <v>0</v>
      </c>
      <c r="G2062" s="899">
        <f ca="1">'BIS Doc'!J975</f>
        <v>0</v>
      </c>
      <c r="H2062" s="900">
        <f ca="1">'BIS Doc'!G975</f>
        <v>0.51644962282372309</v>
      </c>
      <c r="I2062" s="901">
        <f ca="1">'BIS Doc'!H975</f>
        <v>0</v>
      </c>
      <c r="J2062" s="901">
        <f ca="1">'BIS Doc'!I975</f>
        <v>0</v>
      </c>
      <c r="K2062" s="1451" t="str">
        <f t="shared" ca="1" si="59"/>
        <v>IS 14650 CPS 10748/GR2</v>
      </c>
      <c r="L2062" s="1451"/>
      <c r="M2062" s="1451"/>
      <c r="N2062" s="1451"/>
      <c r="O2062" s="1451"/>
      <c r="P2062" s="902"/>
      <c r="Q2062" s="905"/>
      <c r="R2062" s="1451"/>
      <c r="S2062" s="1451"/>
      <c r="T2062" s="904"/>
      <c r="U2062" s="1450"/>
    </row>
    <row r="2063" spans="1:21" ht="19.5" customHeight="1">
      <c r="A2063" s="864"/>
      <c r="B2063" s="894" t="str">
        <f>IF('BIS Doc'!AC977=130, "130 × 130", IF('BIS Doc'!AC977=160, "160 × 160", IF('BIS Doc'!AC977=110, "110 × 110", "Value not 130, 160, or 110")))</f>
        <v>Value not 130, 160, or 110</v>
      </c>
      <c r="C2063" s="895">
        <f>'BIS Doc'!W977</f>
        <v>0</v>
      </c>
      <c r="D2063" s="896"/>
      <c r="E2063" s="897">
        <f>'BIS Doc'!AE977</f>
        <v>0</v>
      </c>
      <c r="F2063" s="898">
        <f ca="1">'BIS Doc'!F977</f>
        <v>0</v>
      </c>
      <c r="G2063" s="899">
        <f ca="1">'BIS Doc'!J977</f>
        <v>0</v>
      </c>
      <c r="H2063" s="900">
        <f ca="1">'BIS Doc'!G977</f>
        <v>0.54865402498077642</v>
      </c>
      <c r="I2063" s="901">
        <f ca="1">'BIS Doc'!H977</f>
        <v>0</v>
      </c>
      <c r="J2063" s="901">
        <f ca="1">'BIS Doc'!I977</f>
        <v>0</v>
      </c>
      <c r="K2063" s="1451" t="str">
        <f t="shared" ca="1" si="59"/>
        <v>IS 14650 CPS 10748/GR2</v>
      </c>
      <c r="L2063" s="1451"/>
      <c r="M2063" s="1451"/>
      <c r="N2063" s="1451"/>
      <c r="O2063" s="1451"/>
      <c r="P2063" s="902"/>
      <c r="Q2063" s="903"/>
      <c r="R2063" s="1451"/>
      <c r="S2063" s="1451"/>
      <c r="T2063" s="904"/>
      <c r="U2063" s="1450"/>
    </row>
    <row r="2064" spans="1:21" ht="19.5" customHeight="1">
      <c r="A2064" s="864"/>
      <c r="B2064" s="904"/>
      <c r="C2064" s="895"/>
      <c r="D2064" s="896"/>
      <c r="E2064" s="897"/>
      <c r="F2064" s="906"/>
      <c r="G2064" s="907"/>
      <c r="H2064" s="908"/>
      <c r="I2064" s="909"/>
      <c r="J2064" s="909"/>
      <c r="K2064" s="1451"/>
      <c r="L2064" s="1451"/>
      <c r="M2064" s="1451"/>
      <c r="N2064" s="1451"/>
      <c r="O2064" s="1451"/>
      <c r="P2064" s="902"/>
      <c r="Q2064" s="903"/>
      <c r="R2064" s="1451"/>
      <c r="S2064" s="1451"/>
      <c r="T2064" s="904"/>
      <c r="U2064" s="1450"/>
    </row>
    <row r="2065" spans="1:21" ht="19.5" customHeight="1">
      <c r="A2065" s="864"/>
      <c r="B2065" s="904"/>
      <c r="C2065" s="895"/>
      <c r="D2065" s="896"/>
      <c r="E2065" s="897"/>
      <c r="F2065" s="906"/>
      <c r="G2065" s="907"/>
      <c r="H2065" s="908"/>
      <c r="I2065" s="909"/>
      <c r="J2065" s="909"/>
      <c r="K2065" s="1451"/>
      <c r="L2065" s="1451"/>
      <c r="M2065" s="1451"/>
      <c r="N2065" s="1451"/>
      <c r="O2065" s="1451"/>
      <c r="P2065" s="902"/>
      <c r="Q2065" s="905"/>
      <c r="R2065" s="1451"/>
      <c r="S2065" s="1451"/>
      <c r="T2065" s="904"/>
      <c r="U2065" s="1450"/>
    </row>
    <row r="2066" spans="1:21" ht="19.5" customHeight="1">
      <c r="A2066" s="864"/>
      <c r="B2066" s="910"/>
      <c r="C2066" s="911"/>
      <c r="D2066" s="896"/>
      <c r="E2066" s="897"/>
      <c r="F2066" s="906"/>
      <c r="G2066" s="907"/>
      <c r="H2066" s="908"/>
      <c r="I2066" s="909"/>
      <c r="J2066" s="909"/>
      <c r="K2066" s="1451"/>
      <c r="L2066" s="1451"/>
      <c r="M2066" s="1451"/>
      <c r="N2066" s="1451"/>
      <c r="O2066" s="1451"/>
      <c r="P2066" s="912"/>
      <c r="Q2066" s="913"/>
      <c r="R2066" s="1452"/>
      <c r="S2066" s="1452"/>
      <c r="T2066" s="910"/>
      <c r="U2066" s="1450"/>
    </row>
    <row r="2067" spans="1:21" ht="19.5" customHeight="1">
      <c r="A2067" s="914"/>
      <c r="B2067" s="915"/>
      <c r="C2067" s="916"/>
      <c r="D2067" s="917"/>
      <c r="E2067" s="918">
        <f>SUM(E2058:E2063)</f>
        <v>0</v>
      </c>
      <c r="F2067" s="919"/>
      <c r="G2067" s="920"/>
      <c r="H2067" s="921"/>
      <c r="I2067" s="922"/>
      <c r="J2067" s="922"/>
      <c r="K2067" s="1453"/>
      <c r="L2067" s="1453"/>
      <c r="M2067" s="1453"/>
      <c r="N2067" s="1453"/>
      <c r="O2067" s="1453"/>
      <c r="P2067" s="923"/>
      <c r="Q2067" s="924"/>
      <c r="R2067" s="1454"/>
      <c r="S2067" s="1454"/>
      <c r="T2067" s="915"/>
      <c r="U2067" s="1450"/>
    </row>
    <row r="2068" spans="1:21" ht="15.75" customHeight="1">
      <c r="A2068" s="864"/>
      <c r="B2068" s="773"/>
      <c r="C2068" s="773"/>
      <c r="D2068" s="925"/>
      <c r="E2068" s="926"/>
      <c r="F2068" s="927"/>
      <c r="G2068" s="928"/>
      <c r="H2068" s="259"/>
      <c r="I2068" s="259"/>
      <c r="J2068" s="928"/>
      <c r="K2068" s="929"/>
      <c r="L2068" s="929"/>
      <c r="M2068" s="929"/>
      <c r="N2068" s="929"/>
      <c r="O2068" s="928"/>
      <c r="P2068" s="930"/>
      <c r="Q2068" s="931"/>
      <c r="R2068" s="931"/>
      <c r="U2068" s="932"/>
    </row>
    <row r="2069" spans="1:21" ht="18.75" customHeight="1">
      <c r="A2069" s="864"/>
      <c r="B2069" s="773"/>
      <c r="C2069" s="773"/>
      <c r="D2069" s="773"/>
      <c r="E2069" s="773"/>
      <c r="F2069" s="773"/>
      <c r="G2069" s="773"/>
      <c r="H2069" s="773"/>
      <c r="I2069" s="773"/>
      <c r="J2069" s="773"/>
      <c r="K2069" s="773"/>
      <c r="P2069" s="1446" t="s">
        <v>804</v>
      </c>
      <c r="Q2069" s="1446"/>
      <c r="R2069" s="1446"/>
      <c r="S2069" s="1446"/>
      <c r="T2069" s="1446"/>
      <c r="U2069" s="1446"/>
    </row>
    <row r="2070" spans="1:21" ht="18.75" customHeight="1">
      <c r="A2070" s="1447" t="s">
        <v>805</v>
      </c>
      <c r="B2070" s="1447"/>
      <c r="C2070" s="933"/>
      <c r="D2070" s="933"/>
      <c r="E2070" s="933"/>
      <c r="F2070" s="933"/>
      <c r="P2070" s="855"/>
      <c r="Q2070" s="855"/>
      <c r="R2070" s="855"/>
      <c r="S2070" s="855"/>
      <c r="T2070" s="855"/>
      <c r="U2070" s="934"/>
    </row>
    <row r="2071" spans="1:21" ht="18.75" customHeight="1">
      <c r="A2071" s="854"/>
      <c r="B2071" s="855"/>
      <c r="P2071" s="855"/>
      <c r="Q2071" s="855"/>
      <c r="R2071" s="855"/>
      <c r="S2071" s="855"/>
      <c r="T2071" s="855"/>
      <c r="U2071" s="934"/>
    </row>
    <row r="2072" spans="1:21" ht="18.75" customHeight="1">
      <c r="A2072" s="854" t="s">
        <v>806</v>
      </c>
      <c r="B2072" s="855"/>
      <c r="C2072" s="867"/>
      <c r="D2072" s="941"/>
      <c r="E2072" s="933"/>
      <c r="F2072" s="933"/>
      <c r="P2072" s="855"/>
      <c r="Q2072" s="855"/>
      <c r="R2072" s="855"/>
      <c r="S2072" s="855"/>
      <c r="T2072" s="855"/>
      <c r="U2072" s="934"/>
    </row>
    <row r="2073" spans="1:21" ht="18.75" customHeight="1">
      <c r="A2073" s="854"/>
      <c r="B2073" s="855"/>
      <c r="C2073" s="937"/>
      <c r="P2073" s="855"/>
      <c r="Q2073" s="855"/>
      <c r="R2073" s="855"/>
      <c r="S2073" s="855"/>
      <c r="T2073" s="855"/>
      <c r="U2073" s="934"/>
    </row>
    <row r="2074" spans="1:21" ht="19.5" customHeight="1">
      <c r="A2074" s="938"/>
      <c r="B2074" s="939"/>
      <c r="C2074" s="940"/>
      <c r="D2074" s="453"/>
      <c r="E2074" s="453"/>
      <c r="F2074" s="453"/>
      <c r="G2074" s="453"/>
      <c r="H2074" s="453"/>
      <c r="I2074" s="453"/>
      <c r="J2074" s="453"/>
      <c r="K2074" s="453"/>
      <c r="L2074" s="453"/>
      <c r="M2074" s="453"/>
      <c r="N2074" s="453"/>
      <c r="O2074" s="453"/>
      <c r="P2074" s="1448" t="s">
        <v>807</v>
      </c>
      <c r="Q2074" s="1448"/>
      <c r="R2074" s="1448"/>
      <c r="S2074" s="1448"/>
      <c r="T2074" s="1448"/>
      <c r="U2074" s="1448"/>
    </row>
    <row r="2075" spans="1:21" ht="45.75" customHeight="1">
      <c r="A2075" s="1455"/>
      <c r="B2075" s="1455"/>
      <c r="C2075" s="1455"/>
      <c r="D2075" s="847"/>
      <c r="E2075" s="1456" t="s">
        <v>774</v>
      </c>
      <c r="F2075" s="1456"/>
      <c r="G2075" s="1456"/>
      <c r="H2075" s="1456"/>
      <c r="I2075" s="1456"/>
      <c r="J2075" s="1456"/>
      <c r="K2075" s="1456"/>
      <c r="L2075" s="1456"/>
      <c r="M2075" s="1456"/>
      <c r="N2075" s="1456"/>
      <c r="O2075" s="1456"/>
      <c r="P2075" s="1456"/>
      <c r="Q2075" s="1456"/>
      <c r="R2075" s="1456"/>
      <c r="S2075" s="848"/>
      <c r="T2075" s="1457" t="s">
        <v>775</v>
      </c>
      <c r="U2075" s="1457"/>
    </row>
    <row r="2076" spans="1:21" ht="18.75" customHeight="1">
      <c r="A2076" s="849"/>
      <c r="E2076" s="1458" t="s">
        <v>776</v>
      </c>
      <c r="F2076" s="1458"/>
      <c r="G2076" s="1458"/>
      <c r="H2076" s="1458"/>
      <c r="I2076" s="1458"/>
      <c r="J2076" s="1458"/>
      <c r="K2076" s="1458"/>
      <c r="L2076" s="1458"/>
      <c r="M2076" s="1458"/>
      <c r="N2076" s="1458"/>
      <c r="O2076" s="1458"/>
      <c r="P2076" s="1458"/>
      <c r="Q2076" s="1458"/>
      <c r="R2076" s="1458"/>
      <c r="U2076" s="456"/>
    </row>
    <row r="2077" spans="1:21" ht="18.75" customHeight="1">
      <c r="A2077" s="850"/>
      <c r="F2077" s="587"/>
      <c r="G2077" s="587"/>
      <c r="H2077" s="587"/>
      <c r="I2077" s="587"/>
      <c r="J2077" s="587"/>
      <c r="K2077" s="587"/>
      <c r="L2077" s="587"/>
      <c r="M2077" s="851"/>
      <c r="N2077" s="852"/>
      <c r="O2077" s="851"/>
      <c r="P2077" s="1459" t="s">
        <v>777</v>
      </c>
      <c r="Q2077" s="1459"/>
      <c r="R2077" s="1459"/>
      <c r="S2077" s="1459"/>
      <c r="T2077" s="1459"/>
      <c r="U2077" s="1459"/>
    </row>
    <row r="2078" spans="1:21" ht="15" customHeight="1">
      <c r="A2078" s="849"/>
      <c r="E2078" s="1287" t="s">
        <v>778</v>
      </c>
      <c r="F2078" s="1287"/>
      <c r="G2078" s="1287"/>
      <c r="H2078" s="1287"/>
      <c r="I2078" s="1287"/>
      <c r="J2078" s="1287"/>
      <c r="K2078" s="1287"/>
      <c r="L2078" s="1287"/>
      <c r="M2078" s="1287"/>
      <c r="N2078" s="1287"/>
      <c r="O2078" s="1287"/>
      <c r="P2078" s="1287"/>
      <c r="Q2078" s="1287"/>
      <c r="R2078" s="1287"/>
      <c r="U2078" s="456"/>
    </row>
    <row r="2079" spans="1:21" ht="18.75" customHeight="1">
      <c r="A2079" s="849"/>
      <c r="E2079" s="1286" t="s">
        <v>779</v>
      </c>
      <c r="F2079" s="1286"/>
      <c r="G2079" s="1286"/>
      <c r="H2079" s="1286"/>
      <c r="I2079" s="1286"/>
      <c r="J2079" s="1286"/>
      <c r="K2079" s="1286"/>
      <c r="L2079" s="1286"/>
      <c r="M2079" s="1286"/>
      <c r="N2079" s="1286"/>
      <c r="O2079" s="1286"/>
      <c r="P2079" s="1286"/>
      <c r="Q2079" s="1286"/>
      <c r="R2079" s="1286"/>
      <c r="U2079" s="853"/>
    </row>
    <row r="2080" spans="1:21" ht="23.25" customHeight="1">
      <c r="A2080" s="854" t="s">
        <v>780</v>
      </c>
      <c r="B2080" s="855"/>
      <c r="C2080" s="855"/>
      <c r="D2080" s="856" t="s">
        <v>885</v>
      </c>
      <c r="E2080" s="857"/>
      <c r="F2080" s="858"/>
      <c r="G2080" s="859"/>
      <c r="H2080" s="859"/>
      <c r="I2080" s="859"/>
      <c r="J2080" s="859"/>
      <c r="K2080" s="859"/>
      <c r="L2080" s="860"/>
      <c r="M2080" s="1460"/>
      <c r="N2080" s="1460"/>
      <c r="O2080" s="1460"/>
      <c r="P2080" s="1461" t="s">
        <v>781</v>
      </c>
      <c r="Q2080" s="1461"/>
      <c r="R2080" s="1461"/>
      <c r="S2080" s="855"/>
      <c r="T2080" s="861">
        <v>46326</v>
      </c>
      <c r="U2080" s="456"/>
    </row>
    <row r="2081" spans="1:21" ht="23.25" customHeight="1">
      <c r="A2081" s="854"/>
      <c r="B2081" s="862"/>
      <c r="C2081" s="862"/>
      <c r="D2081" s="862"/>
      <c r="E2081" s="163"/>
      <c r="F2081" s="863"/>
      <c r="G2081" s="863"/>
      <c r="H2081" s="863"/>
      <c r="I2081" s="863"/>
      <c r="J2081" s="863"/>
      <c r="K2081" s="863"/>
      <c r="U2081" s="456"/>
    </row>
    <row r="2082" spans="1:21" ht="21" customHeight="1">
      <c r="A2082" s="864" t="s">
        <v>782</v>
      </c>
      <c r="B2082" s="865"/>
      <c r="C2082" s="866"/>
      <c r="D2082" s="867"/>
      <c r="E2082" s="868"/>
      <c r="F2082" s="869"/>
      <c r="G2082" s="869"/>
      <c r="H2082" s="869"/>
      <c r="I2082" s="870"/>
      <c r="J2082" s="870"/>
      <c r="P2082" s="1462"/>
      <c r="Q2082" s="1462"/>
      <c r="R2082" s="1462"/>
      <c r="S2082" s="1462"/>
      <c r="T2082" s="871"/>
      <c r="U2082" s="456"/>
    </row>
    <row r="2083" spans="1:21" ht="21" customHeight="1">
      <c r="A2083" s="872"/>
      <c r="B2083" s="873"/>
      <c r="C2083" s="869"/>
      <c r="D2083" s="869"/>
      <c r="E2083" s="869"/>
      <c r="F2083" s="869"/>
      <c r="G2083" s="869"/>
      <c r="H2083" s="869"/>
      <c r="I2083" s="870"/>
      <c r="J2083" s="870"/>
      <c r="U2083" s="456"/>
    </row>
    <row r="2084" spans="1:21" ht="15" customHeight="1">
      <c r="A2084" s="1463" t="s">
        <v>783</v>
      </c>
      <c r="B2084" s="1463"/>
      <c r="C2084" s="1463"/>
      <c r="D2084" s="1463"/>
      <c r="E2084" s="1463"/>
      <c r="F2084" s="1463"/>
      <c r="G2084" s="1463"/>
      <c r="H2084" s="1463"/>
      <c r="I2084" s="1463"/>
      <c r="J2084" s="1463"/>
      <c r="K2084" s="1463"/>
      <c r="L2084" s="1463"/>
      <c r="M2084" s="1463"/>
      <c r="N2084" s="1463"/>
      <c r="O2084" s="1463"/>
      <c r="P2084" s="1463"/>
      <c r="Q2084" s="1463"/>
      <c r="R2084" s="1463"/>
      <c r="S2084" s="1463"/>
      <c r="T2084" s="1463"/>
      <c r="U2084" s="1463"/>
    </row>
    <row r="2085" spans="1:21" ht="15" customHeight="1">
      <c r="A2085" s="1463"/>
      <c r="B2085" s="1463"/>
      <c r="C2085" s="1463"/>
      <c r="D2085" s="1463"/>
      <c r="E2085" s="1463"/>
      <c r="F2085" s="1463"/>
      <c r="G2085" s="1463"/>
      <c r="H2085" s="1463"/>
      <c r="I2085" s="1463"/>
      <c r="J2085" s="1463"/>
      <c r="K2085" s="1463"/>
      <c r="L2085" s="1463"/>
      <c r="M2085" s="1463"/>
      <c r="N2085" s="1463"/>
      <c r="O2085" s="1463"/>
      <c r="P2085" s="1463"/>
      <c r="Q2085" s="1463"/>
      <c r="R2085" s="1463"/>
      <c r="S2085" s="1463"/>
      <c r="T2085" s="1463"/>
      <c r="U2085" s="1463"/>
    </row>
    <row r="2086" spans="1:21" ht="18" customHeight="1">
      <c r="A2086" s="1464" t="s">
        <v>784</v>
      </c>
      <c r="B2086" s="1464"/>
      <c r="C2086" s="1464"/>
      <c r="D2086" s="1464"/>
      <c r="E2086" s="1464"/>
      <c r="F2086" s="1464"/>
      <c r="G2086" s="1464"/>
      <c r="H2086" s="1464"/>
      <c r="I2086" s="1464"/>
      <c r="J2086" s="1464"/>
      <c r="K2086" s="1464"/>
      <c r="L2086" s="1464"/>
      <c r="M2086" s="1464"/>
      <c r="N2086" s="1464"/>
      <c r="O2086" s="1464"/>
      <c r="P2086" s="1464"/>
      <c r="Q2086" s="1464"/>
      <c r="R2086" s="1464"/>
      <c r="S2086" s="1464"/>
      <c r="T2086" s="1464"/>
      <c r="U2086" s="1464"/>
    </row>
    <row r="2087" spans="1:21" ht="23.25" customHeight="1">
      <c r="A2087" s="1465" t="s">
        <v>785</v>
      </c>
      <c r="B2087" s="1465"/>
      <c r="C2087" s="1465"/>
      <c r="D2087" s="1465"/>
      <c r="E2087" s="1465"/>
      <c r="F2087" s="1465"/>
      <c r="G2087" s="1465"/>
      <c r="H2087" s="1465"/>
      <c r="I2087" s="1465"/>
      <c r="J2087" s="1465"/>
      <c r="K2087" s="1465"/>
      <c r="L2087" s="1465"/>
      <c r="M2087" s="1465"/>
      <c r="N2087" s="1465"/>
      <c r="O2087" s="1465"/>
      <c r="P2087" s="1465"/>
      <c r="Q2087" s="1465"/>
      <c r="R2087" s="1465"/>
      <c r="S2087" s="1465"/>
      <c r="T2087" s="1465"/>
      <c r="U2087" s="1465"/>
    </row>
    <row r="2088" spans="1:21" ht="21.75" customHeight="1">
      <c r="A2088" s="874"/>
      <c r="B2088" s="875"/>
      <c r="C2088" s="875"/>
      <c r="D2088" s="875"/>
      <c r="E2088" s="875"/>
      <c r="F2088" s="875"/>
      <c r="G2088" s="875"/>
      <c r="H2088" s="875"/>
      <c r="I2088" s="875"/>
      <c r="J2088" s="875"/>
      <c r="K2088" s="875"/>
      <c r="L2088" s="875"/>
      <c r="M2088" s="875"/>
      <c r="N2088" s="875"/>
      <c r="O2088" s="875"/>
      <c r="P2088" s="875"/>
      <c r="Q2088" s="875"/>
      <c r="R2088" s="875"/>
      <c r="S2088" s="875"/>
      <c r="T2088" s="875"/>
      <c r="U2088" s="876"/>
    </row>
    <row r="2089" spans="1:21" ht="15" customHeight="1">
      <c r="A2089" s="1466" t="s">
        <v>786</v>
      </c>
      <c r="B2089" s="1467" t="s">
        <v>787</v>
      </c>
      <c r="C2089" s="1468" t="s">
        <v>788</v>
      </c>
      <c r="D2089" s="1468" t="s">
        <v>789</v>
      </c>
      <c r="E2089" s="1469" t="s">
        <v>790</v>
      </c>
      <c r="F2089" s="1468" t="s">
        <v>791</v>
      </c>
      <c r="G2089" s="1468"/>
      <c r="H2089" s="1468"/>
      <c r="I2089" s="1468"/>
      <c r="J2089" s="1468"/>
      <c r="K2089" s="1468"/>
      <c r="L2089" s="1468"/>
      <c r="M2089" s="1468"/>
      <c r="N2089" s="1468"/>
      <c r="O2089" s="1468"/>
      <c r="P2089" s="1470"/>
      <c r="Q2089" s="1470"/>
      <c r="R2089" s="1470"/>
      <c r="S2089" s="1470"/>
      <c r="T2089" s="1470"/>
      <c r="U2089" s="1470"/>
    </row>
    <row r="2090" spans="1:21" ht="15.75" customHeight="1">
      <c r="A2090" s="1466"/>
      <c r="B2090" s="1467"/>
      <c r="C2090" s="1468"/>
      <c r="D2090" s="1468"/>
      <c r="E2090" s="1469"/>
      <c r="F2090" s="1468"/>
      <c r="G2090" s="1468"/>
      <c r="H2090" s="1468"/>
      <c r="I2090" s="1468"/>
      <c r="J2090" s="1468"/>
      <c r="K2090" s="1468"/>
      <c r="L2090" s="1468"/>
      <c r="M2090" s="1468"/>
      <c r="N2090" s="1468"/>
      <c r="O2090" s="1468"/>
      <c r="P2090" s="1470"/>
      <c r="Q2090" s="1470"/>
      <c r="R2090" s="1470"/>
      <c r="S2090" s="1470"/>
      <c r="T2090" s="1470"/>
      <c r="U2090" s="1470"/>
    </row>
    <row r="2091" spans="1:21" ht="48" customHeight="1">
      <c r="A2091" s="1466"/>
      <c r="B2091" s="1467"/>
      <c r="C2091" s="1468"/>
      <c r="D2091" s="1468"/>
      <c r="E2091" s="1469"/>
      <c r="F2091" s="878" t="s">
        <v>792</v>
      </c>
      <c r="G2091" s="877" t="s">
        <v>793</v>
      </c>
      <c r="H2091" s="878" t="s">
        <v>794</v>
      </c>
      <c r="I2091" s="879" t="s">
        <v>795</v>
      </c>
      <c r="J2091" s="880" t="s">
        <v>796</v>
      </c>
      <c r="K2091" s="1468" t="s">
        <v>797</v>
      </c>
      <c r="L2091" s="1468"/>
      <c r="M2091" s="1468"/>
      <c r="N2091" s="1468"/>
      <c r="O2091" s="1468"/>
      <c r="P2091" s="881" t="s">
        <v>798</v>
      </c>
      <c r="Q2091" s="882" t="s">
        <v>799</v>
      </c>
      <c r="R2091" s="1469" t="s">
        <v>800</v>
      </c>
      <c r="S2091" s="1469"/>
      <c r="T2091" s="877" t="s">
        <v>801</v>
      </c>
      <c r="U2091" s="879" t="s">
        <v>104</v>
      </c>
    </row>
    <row r="2092" spans="1:21" ht="19.5" customHeight="1">
      <c r="A2092" s="883"/>
      <c r="B2092" s="884" t="str">
        <f>IF('BIS Doc'!AC979=130, "130 × 130", IF('BIS Doc'!AC979=160, "160 × 160", IF('BIS Doc'!AC979=110, "110 × 110", "Value not 130, 160, or 110")))</f>
        <v>Value not 130, 160, or 110</v>
      </c>
      <c r="C2092" s="885">
        <f>'BIS Doc'!W979</f>
        <v>0</v>
      </c>
      <c r="D2092" s="886"/>
      <c r="E2092" s="887">
        <f>'BIS Doc'!AE979</f>
        <v>0</v>
      </c>
      <c r="F2092" s="888">
        <f ca="1">'BIS Doc'!F979</f>
        <v>0</v>
      </c>
      <c r="G2092" s="888">
        <f ca="1">'BIS Doc'!J979</f>
        <v>0</v>
      </c>
      <c r="H2092" s="888">
        <f ca="1">'BIS Doc'!G979</f>
        <v>0.59024704744199097</v>
      </c>
      <c r="I2092" s="889">
        <f ca="1">'BIS Doc'!H979</f>
        <v>0</v>
      </c>
      <c r="J2092" s="889">
        <f ca="1">'BIS Doc'!I979</f>
        <v>0</v>
      </c>
      <c r="K2092" s="1449" t="str">
        <f t="shared" ref="K2092:K2097" ca="1" si="60">IF(H2092&lt;0.6, "IS 14650 CPS 10748/GR2", "IS 14650 CPS 10748/GR3")</f>
        <v>IS 14650 CPS 10748/GR2</v>
      </c>
      <c r="L2092" s="1449"/>
      <c r="M2092" s="1449"/>
      <c r="N2092" s="1449"/>
      <c r="O2092" s="1449"/>
      <c r="P2092" s="890"/>
      <c r="Q2092" s="891"/>
      <c r="R2092" s="1449"/>
      <c r="S2092" s="1449"/>
      <c r="T2092" s="892"/>
      <c r="U2092" s="1450" t="s">
        <v>802</v>
      </c>
    </row>
    <row r="2093" spans="1:21" ht="19.5" customHeight="1">
      <c r="A2093" s="893"/>
      <c r="B2093" s="894" t="str">
        <f>IF('BIS Doc'!AC981=130, "130 × 130", IF('BIS Doc'!AC981=160, "160 × 160", IF('BIS Doc'!AC981=110, "110 × 110", "Value not 130, 160, or 110")))</f>
        <v>Value not 130, 160, or 110</v>
      </c>
      <c r="C2093" s="895">
        <f>'BIS Doc'!W981</f>
        <v>0</v>
      </c>
      <c r="D2093" s="896"/>
      <c r="E2093" s="897">
        <f>'BIS Doc'!AE981</f>
        <v>0</v>
      </c>
      <c r="F2093" s="898">
        <f ca="1">'BIS Doc'!F981</f>
        <v>0</v>
      </c>
      <c r="G2093" s="899">
        <f ca="1">'BIS Doc'!J981</f>
        <v>0</v>
      </c>
      <c r="H2093" s="900">
        <f ca="1">'BIS Doc'!G981</f>
        <v>0.59966240115522806</v>
      </c>
      <c r="I2093" s="901">
        <f ca="1">'BIS Doc'!H981</f>
        <v>0</v>
      </c>
      <c r="J2093" s="901">
        <f ca="1">'BIS Doc'!I981</f>
        <v>0</v>
      </c>
      <c r="K2093" s="1451" t="str">
        <f t="shared" ca="1" si="60"/>
        <v>IS 14650 CPS 10748/GR2</v>
      </c>
      <c r="L2093" s="1451"/>
      <c r="M2093" s="1451"/>
      <c r="N2093" s="1451"/>
      <c r="O2093" s="1451"/>
      <c r="P2093" s="902"/>
      <c r="Q2093" s="903"/>
      <c r="R2093" s="1451"/>
      <c r="S2093" s="1451"/>
      <c r="T2093" s="904"/>
      <c r="U2093" s="1450"/>
    </row>
    <row r="2094" spans="1:21" ht="19.5" customHeight="1">
      <c r="A2094" s="864"/>
      <c r="B2094" s="894" t="str">
        <f>IF('BIS Doc'!AC983=130, "130 × 130", IF('BIS Doc'!AC983=160, "160 × 160", IF('BIS Doc'!AC983=110, "110 × 110", "Value not 130, 160, or 110")))</f>
        <v>Value not 130, 160, or 110</v>
      </c>
      <c r="C2094" s="895">
        <f>'BIS Doc'!W983</f>
        <v>0</v>
      </c>
      <c r="D2094" s="896" t="s">
        <v>803</v>
      </c>
      <c r="E2094" s="897">
        <f>'BIS Doc'!AE983</f>
        <v>0</v>
      </c>
      <c r="F2094" s="898">
        <f ca="1">'BIS Doc'!F983</f>
        <v>0</v>
      </c>
      <c r="G2094" s="899">
        <f ca="1">'BIS Doc'!J983</f>
        <v>0</v>
      </c>
      <c r="H2094" s="900">
        <f ca="1">'BIS Doc'!G983</f>
        <v>0.5626692688750774</v>
      </c>
      <c r="I2094" s="901">
        <f ca="1">'BIS Doc'!H983</f>
        <v>0</v>
      </c>
      <c r="J2094" s="901">
        <f ca="1">'BIS Doc'!I983</f>
        <v>0</v>
      </c>
      <c r="K2094" s="1451" t="str">
        <f t="shared" ca="1" si="60"/>
        <v>IS 14650 CPS 10748/GR2</v>
      </c>
      <c r="L2094" s="1451"/>
      <c r="M2094" s="1451"/>
      <c r="N2094" s="1451"/>
      <c r="O2094" s="1451"/>
      <c r="P2094" s="902"/>
      <c r="Q2094" s="905"/>
      <c r="R2094" s="1451"/>
      <c r="S2094" s="1451"/>
      <c r="T2094" s="904"/>
      <c r="U2094" s="1450"/>
    </row>
    <row r="2095" spans="1:21" ht="19.5" customHeight="1">
      <c r="A2095" s="864"/>
      <c r="B2095" s="894" t="str">
        <f>IF('BIS Doc'!AC985=130, "130 × 130", IF('BIS Doc'!AC985=160, "160 × 160", IF('BIS Doc'!AC985=110, "110 × 110", "Value not 130, 160, or 110")))</f>
        <v>Value not 130, 160, or 110</v>
      </c>
      <c r="C2095" s="895">
        <f>'BIS Doc'!W985</f>
        <v>0</v>
      </c>
      <c r="D2095" s="896"/>
      <c r="E2095" s="897">
        <f>'BIS Doc'!AE985</f>
        <v>0</v>
      </c>
      <c r="F2095" s="898">
        <f ca="1">'BIS Doc'!F985</f>
        <v>0</v>
      </c>
      <c r="G2095" s="899">
        <f ca="1">'BIS Doc'!J985</f>
        <v>0</v>
      </c>
      <c r="H2095" s="900">
        <f ca="1">'BIS Doc'!G985</f>
        <v>0.5368817025860364</v>
      </c>
      <c r="I2095" s="901">
        <f ca="1">'BIS Doc'!H985</f>
        <v>0</v>
      </c>
      <c r="J2095" s="901">
        <f ca="1">'BIS Doc'!I985</f>
        <v>0</v>
      </c>
      <c r="K2095" s="1451" t="str">
        <f t="shared" ca="1" si="60"/>
        <v>IS 14650 CPS 10748/GR2</v>
      </c>
      <c r="L2095" s="1451"/>
      <c r="M2095" s="1451"/>
      <c r="N2095" s="1451"/>
      <c r="O2095" s="1451"/>
      <c r="P2095" s="902"/>
      <c r="Q2095" s="905"/>
      <c r="R2095" s="1451"/>
      <c r="S2095" s="1451"/>
      <c r="T2095" s="904"/>
      <c r="U2095" s="1450"/>
    </row>
    <row r="2096" spans="1:21" ht="19.5" customHeight="1">
      <c r="A2096" s="864"/>
      <c r="B2096" s="894" t="str">
        <f>IF('BIS Doc'!AC987=130, "130 × 130", IF('BIS Doc'!AC987=160, "160 × 160", IF('BIS Doc'!AC987=110, "110 × 110", "Value not 130, 160, or 110")))</f>
        <v>Value not 130, 160, or 110</v>
      </c>
      <c r="C2096" s="895">
        <f>'BIS Doc'!W987</f>
        <v>0</v>
      </c>
      <c r="D2096" s="896"/>
      <c r="E2096" s="897">
        <f>'BIS Doc'!AE987</f>
        <v>0</v>
      </c>
      <c r="F2096" s="898">
        <f ca="1">'BIS Doc'!F987</f>
        <v>0</v>
      </c>
      <c r="G2096" s="899">
        <f ca="1">'BIS Doc'!J987</f>
        <v>0</v>
      </c>
      <c r="H2096" s="900">
        <f ca="1">'BIS Doc'!G987</f>
        <v>0.55650116187569387</v>
      </c>
      <c r="I2096" s="901">
        <f ca="1">'BIS Doc'!H987</f>
        <v>0</v>
      </c>
      <c r="J2096" s="901">
        <f ca="1">'BIS Doc'!I987</f>
        <v>0</v>
      </c>
      <c r="K2096" s="1451" t="str">
        <f t="shared" ca="1" si="60"/>
        <v>IS 14650 CPS 10748/GR2</v>
      </c>
      <c r="L2096" s="1451"/>
      <c r="M2096" s="1451"/>
      <c r="N2096" s="1451"/>
      <c r="O2096" s="1451"/>
      <c r="P2096" s="902"/>
      <c r="Q2096" s="905"/>
      <c r="R2096" s="1451"/>
      <c r="S2096" s="1451"/>
      <c r="T2096" s="904"/>
      <c r="U2096" s="1450"/>
    </row>
    <row r="2097" spans="1:21" ht="19.5" customHeight="1">
      <c r="A2097" s="864"/>
      <c r="B2097" s="894" t="str">
        <f>IF('BIS Doc'!AC989=130, "130 × 130", IF('BIS Doc'!AC989=160, "160 × 160", IF('BIS Doc'!AC989=110, "110 × 110", "Value not 130, 160, or 110")))</f>
        <v>Value not 130, 160, or 110</v>
      </c>
      <c r="C2097" s="895">
        <f>'BIS Doc'!W989</f>
        <v>0</v>
      </c>
      <c r="D2097" s="896"/>
      <c r="E2097" s="897">
        <f>'BIS Doc'!AE989</f>
        <v>0</v>
      </c>
      <c r="F2097" s="898">
        <f ca="1">'BIS Doc'!F989</f>
        <v>0</v>
      </c>
      <c r="G2097" s="899">
        <f ca="1">'BIS Doc'!J989</f>
        <v>0</v>
      </c>
      <c r="H2097" s="900">
        <f ca="1">'BIS Doc'!G989</f>
        <v>0.56190244834782221</v>
      </c>
      <c r="I2097" s="901">
        <f ca="1">'BIS Doc'!H989</f>
        <v>0</v>
      </c>
      <c r="J2097" s="901">
        <f ca="1">'BIS Doc'!I989</f>
        <v>0</v>
      </c>
      <c r="K2097" s="1451" t="str">
        <f t="shared" ca="1" si="60"/>
        <v>IS 14650 CPS 10748/GR2</v>
      </c>
      <c r="L2097" s="1451"/>
      <c r="M2097" s="1451"/>
      <c r="N2097" s="1451"/>
      <c r="O2097" s="1451"/>
      <c r="P2097" s="902"/>
      <c r="Q2097" s="903"/>
      <c r="R2097" s="1451"/>
      <c r="S2097" s="1451"/>
      <c r="T2097" s="904"/>
      <c r="U2097" s="1450"/>
    </row>
    <row r="2098" spans="1:21" ht="19.5" customHeight="1">
      <c r="A2098" s="864"/>
      <c r="B2098" s="904"/>
      <c r="C2098" s="895"/>
      <c r="D2098" s="896"/>
      <c r="E2098" s="897"/>
      <c r="F2098" s="906"/>
      <c r="G2098" s="907"/>
      <c r="H2098" s="908"/>
      <c r="I2098" s="909"/>
      <c r="J2098" s="909"/>
      <c r="K2098" s="1451"/>
      <c r="L2098" s="1451"/>
      <c r="M2098" s="1451"/>
      <c r="N2098" s="1451"/>
      <c r="O2098" s="1451"/>
      <c r="P2098" s="902"/>
      <c r="Q2098" s="903"/>
      <c r="R2098" s="1451"/>
      <c r="S2098" s="1451"/>
      <c r="T2098" s="904"/>
      <c r="U2098" s="1450"/>
    </row>
    <row r="2099" spans="1:21" ht="19.5" customHeight="1">
      <c r="A2099" s="864"/>
      <c r="B2099" s="904"/>
      <c r="C2099" s="895"/>
      <c r="D2099" s="896"/>
      <c r="E2099" s="897"/>
      <c r="F2099" s="906"/>
      <c r="G2099" s="907"/>
      <c r="H2099" s="908"/>
      <c r="I2099" s="909"/>
      <c r="J2099" s="909"/>
      <c r="K2099" s="1451"/>
      <c r="L2099" s="1451"/>
      <c r="M2099" s="1451"/>
      <c r="N2099" s="1451"/>
      <c r="O2099" s="1451"/>
      <c r="P2099" s="902"/>
      <c r="Q2099" s="905"/>
      <c r="R2099" s="1451"/>
      <c r="S2099" s="1451"/>
      <c r="T2099" s="904"/>
      <c r="U2099" s="1450"/>
    </row>
    <row r="2100" spans="1:21" ht="19.5" customHeight="1">
      <c r="A2100" s="864"/>
      <c r="B2100" s="910"/>
      <c r="C2100" s="911"/>
      <c r="D2100" s="896"/>
      <c r="E2100" s="897"/>
      <c r="F2100" s="906"/>
      <c r="G2100" s="907"/>
      <c r="H2100" s="908"/>
      <c r="I2100" s="909"/>
      <c r="J2100" s="909"/>
      <c r="K2100" s="1451"/>
      <c r="L2100" s="1451"/>
      <c r="M2100" s="1451"/>
      <c r="N2100" s="1451"/>
      <c r="O2100" s="1451"/>
      <c r="P2100" s="912"/>
      <c r="Q2100" s="913"/>
      <c r="R2100" s="1452"/>
      <c r="S2100" s="1452"/>
      <c r="T2100" s="910"/>
      <c r="U2100" s="1450"/>
    </row>
    <row r="2101" spans="1:21" ht="19.5" customHeight="1">
      <c r="A2101" s="914"/>
      <c r="B2101" s="915"/>
      <c r="C2101" s="916"/>
      <c r="D2101" s="917"/>
      <c r="E2101" s="918">
        <f>SUM(E2092:E2097)</f>
        <v>0</v>
      </c>
      <c r="F2101" s="919"/>
      <c r="G2101" s="920"/>
      <c r="H2101" s="921"/>
      <c r="I2101" s="922"/>
      <c r="J2101" s="922"/>
      <c r="K2101" s="1453"/>
      <c r="L2101" s="1453"/>
      <c r="M2101" s="1453"/>
      <c r="N2101" s="1453"/>
      <c r="O2101" s="1453"/>
      <c r="P2101" s="923"/>
      <c r="Q2101" s="924"/>
      <c r="R2101" s="1454"/>
      <c r="S2101" s="1454"/>
      <c r="T2101" s="915"/>
      <c r="U2101" s="1450"/>
    </row>
    <row r="2102" spans="1:21" ht="15.75" customHeight="1">
      <c r="A2102" s="864"/>
      <c r="B2102" s="773"/>
      <c r="C2102" s="773"/>
      <c r="D2102" s="925"/>
      <c r="E2102" s="926"/>
      <c r="F2102" s="927"/>
      <c r="G2102" s="928"/>
      <c r="H2102" s="259"/>
      <c r="I2102" s="259"/>
      <c r="J2102" s="928"/>
      <c r="K2102" s="929"/>
      <c r="L2102" s="929"/>
      <c r="M2102" s="929"/>
      <c r="N2102" s="929"/>
      <c r="O2102" s="928"/>
      <c r="P2102" s="930"/>
      <c r="Q2102" s="931"/>
      <c r="R2102" s="931"/>
      <c r="U2102" s="932"/>
    </row>
    <row r="2103" spans="1:21" ht="18.75" customHeight="1">
      <c r="A2103" s="864"/>
      <c r="B2103" s="773"/>
      <c r="C2103" s="773"/>
      <c r="D2103" s="773"/>
      <c r="E2103" s="773"/>
      <c r="F2103" s="773"/>
      <c r="G2103" s="773"/>
      <c r="H2103" s="773"/>
      <c r="I2103" s="773"/>
      <c r="J2103" s="773"/>
      <c r="K2103" s="773"/>
      <c r="P2103" s="1446" t="s">
        <v>804</v>
      </c>
      <c r="Q2103" s="1446"/>
      <c r="R2103" s="1446"/>
      <c r="S2103" s="1446"/>
      <c r="T2103" s="1446"/>
      <c r="U2103" s="1446"/>
    </row>
    <row r="2104" spans="1:21" ht="18.75" customHeight="1">
      <c r="A2104" s="1447" t="s">
        <v>805</v>
      </c>
      <c r="B2104" s="1447"/>
      <c r="C2104" s="933"/>
      <c r="D2104" s="933"/>
      <c r="E2104" s="933"/>
      <c r="F2104" s="933"/>
      <c r="P2104" s="855"/>
      <c r="Q2104" s="855"/>
      <c r="R2104" s="855"/>
      <c r="S2104" s="855"/>
      <c r="T2104" s="855"/>
      <c r="U2104" s="934"/>
    </row>
    <row r="2105" spans="1:21" ht="18.75" customHeight="1">
      <c r="A2105" s="854"/>
      <c r="B2105" s="855"/>
      <c r="P2105" s="855"/>
      <c r="Q2105" s="855"/>
      <c r="R2105" s="855"/>
      <c r="S2105" s="855"/>
      <c r="T2105" s="855"/>
      <c r="U2105" s="934"/>
    </row>
    <row r="2106" spans="1:21" ht="18.75" customHeight="1">
      <c r="A2106" s="854" t="s">
        <v>806</v>
      </c>
      <c r="B2106" s="855"/>
      <c r="C2106" s="867"/>
      <c r="D2106" s="941"/>
      <c r="E2106" s="933"/>
      <c r="F2106" s="933"/>
      <c r="P2106" s="855"/>
      <c r="Q2106" s="855"/>
      <c r="R2106" s="855"/>
      <c r="S2106" s="855"/>
      <c r="T2106" s="855"/>
      <c r="U2106" s="934"/>
    </row>
    <row r="2107" spans="1:21" ht="18.75" customHeight="1">
      <c r="A2107" s="854"/>
      <c r="B2107" s="855"/>
      <c r="C2107" s="937"/>
      <c r="P2107" s="855"/>
      <c r="Q2107" s="855"/>
      <c r="R2107" s="855"/>
      <c r="S2107" s="855"/>
      <c r="T2107" s="855"/>
      <c r="U2107" s="934"/>
    </row>
    <row r="2108" spans="1:21" ht="19.5" customHeight="1">
      <c r="A2108" s="938"/>
      <c r="B2108" s="939"/>
      <c r="C2108" s="940"/>
      <c r="D2108" s="453"/>
      <c r="E2108" s="453"/>
      <c r="F2108" s="453"/>
      <c r="G2108" s="453"/>
      <c r="H2108" s="453"/>
      <c r="I2108" s="453"/>
      <c r="J2108" s="453"/>
      <c r="K2108" s="453"/>
      <c r="L2108" s="453"/>
      <c r="M2108" s="453"/>
      <c r="N2108" s="453"/>
      <c r="O2108" s="453"/>
      <c r="P2108" s="1448" t="s">
        <v>807</v>
      </c>
      <c r="Q2108" s="1448"/>
      <c r="R2108" s="1448"/>
      <c r="S2108" s="1448"/>
      <c r="T2108" s="1448"/>
      <c r="U2108" s="1448"/>
    </row>
  </sheetData>
  <mergeCells count="2852">
    <mergeCell ref="A1:C1"/>
    <mergeCell ref="E1:R1"/>
    <mergeCell ref="T1:U1"/>
    <mergeCell ref="E2:R2"/>
    <mergeCell ref="P3:U3"/>
    <mergeCell ref="E4:R4"/>
    <mergeCell ref="E5:R5"/>
    <mergeCell ref="M6:O6"/>
    <mergeCell ref="P6:R6"/>
    <mergeCell ref="P8:S8"/>
    <mergeCell ref="A10:U11"/>
    <mergeCell ref="A12:U12"/>
    <mergeCell ref="A13:U13"/>
    <mergeCell ref="A15:A17"/>
    <mergeCell ref="B15:B17"/>
    <mergeCell ref="C15:C17"/>
    <mergeCell ref="D15:D17"/>
    <mergeCell ref="E15:E17"/>
    <mergeCell ref="F15:O16"/>
    <mergeCell ref="P15:U16"/>
    <mergeCell ref="K17:O17"/>
    <mergeCell ref="R17:S17"/>
    <mergeCell ref="K18:O18"/>
    <mergeCell ref="R18:S18"/>
    <mergeCell ref="U18:U27"/>
    <mergeCell ref="K19:O19"/>
    <mergeCell ref="R19:S19"/>
    <mergeCell ref="K20:O20"/>
    <mergeCell ref="R20:S20"/>
    <mergeCell ref="K21:O21"/>
    <mergeCell ref="R21:S21"/>
    <mergeCell ref="K22:O22"/>
    <mergeCell ref="R22:S22"/>
    <mergeCell ref="K23:O23"/>
    <mergeCell ref="R23:S23"/>
    <mergeCell ref="K24:O24"/>
    <mergeCell ref="R24:S24"/>
    <mergeCell ref="K25:O25"/>
    <mergeCell ref="R25:S25"/>
    <mergeCell ref="K26:O26"/>
    <mergeCell ref="R26:S26"/>
    <mergeCell ref="K27:O27"/>
    <mergeCell ref="R27:S27"/>
    <mergeCell ref="P29:U29"/>
    <mergeCell ref="A30:B30"/>
    <mergeCell ref="P34:U34"/>
    <mergeCell ref="A35:C35"/>
    <mergeCell ref="E35:R35"/>
    <mergeCell ref="T35:U35"/>
    <mergeCell ref="E36:R36"/>
    <mergeCell ref="P37:U37"/>
    <mergeCell ref="E38:R38"/>
    <mergeCell ref="E39:R39"/>
    <mergeCell ref="M40:O40"/>
    <mergeCell ref="P40:R40"/>
    <mergeCell ref="P42:S42"/>
    <mergeCell ref="A44:U45"/>
    <mergeCell ref="A46:U46"/>
    <mergeCell ref="A47:U47"/>
    <mergeCell ref="A49:A51"/>
    <mergeCell ref="B49:B51"/>
    <mergeCell ref="C49:C51"/>
    <mergeCell ref="D49:D51"/>
    <mergeCell ref="E49:E51"/>
    <mergeCell ref="F49:O50"/>
    <mergeCell ref="P49:U50"/>
    <mergeCell ref="K51:O51"/>
    <mergeCell ref="R51:S51"/>
    <mergeCell ref="K52:O52"/>
    <mergeCell ref="R52:S52"/>
    <mergeCell ref="U52:U61"/>
    <mergeCell ref="K53:O53"/>
    <mergeCell ref="R53:S53"/>
    <mergeCell ref="K54:O54"/>
    <mergeCell ref="R54:S54"/>
    <mergeCell ref="K55:O55"/>
    <mergeCell ref="R55:S55"/>
    <mergeCell ref="K56:O56"/>
    <mergeCell ref="R56:S56"/>
    <mergeCell ref="K57:O57"/>
    <mergeCell ref="R57:S57"/>
    <mergeCell ref="K58:O58"/>
    <mergeCell ref="R58:S58"/>
    <mergeCell ref="K59:O59"/>
    <mergeCell ref="R59:S59"/>
    <mergeCell ref="K60:O60"/>
    <mergeCell ref="R60:S60"/>
    <mergeCell ref="K61:O61"/>
    <mergeCell ref="R61:S61"/>
    <mergeCell ref="P63:U63"/>
    <mergeCell ref="A64:B64"/>
    <mergeCell ref="P68:U68"/>
    <mergeCell ref="A69:C69"/>
    <mergeCell ref="E69:R69"/>
    <mergeCell ref="T69:U69"/>
    <mergeCell ref="E70:R70"/>
    <mergeCell ref="P71:U71"/>
    <mergeCell ref="E72:R72"/>
    <mergeCell ref="E73:R73"/>
    <mergeCell ref="M74:O74"/>
    <mergeCell ref="P74:R74"/>
    <mergeCell ref="P76:S76"/>
    <mergeCell ref="A78:U79"/>
    <mergeCell ref="A80:U80"/>
    <mergeCell ref="A81:U81"/>
    <mergeCell ref="A83:A85"/>
    <mergeCell ref="B83:B85"/>
    <mergeCell ref="C83:C85"/>
    <mergeCell ref="D83:D85"/>
    <mergeCell ref="E83:E85"/>
    <mergeCell ref="F83:O84"/>
    <mergeCell ref="P83:U84"/>
    <mergeCell ref="K85:O85"/>
    <mergeCell ref="R85:S85"/>
    <mergeCell ref="K86:O86"/>
    <mergeCell ref="R86:S86"/>
    <mergeCell ref="U86:U95"/>
    <mergeCell ref="K87:O87"/>
    <mergeCell ref="R87:S87"/>
    <mergeCell ref="K88:O88"/>
    <mergeCell ref="R88:S88"/>
    <mergeCell ref="K89:O89"/>
    <mergeCell ref="R89:S89"/>
    <mergeCell ref="K90:O90"/>
    <mergeCell ref="R90:S90"/>
    <mergeCell ref="K91:O91"/>
    <mergeCell ref="R91:S91"/>
    <mergeCell ref="K92:O92"/>
    <mergeCell ref="R92:S92"/>
    <mergeCell ref="K93:O93"/>
    <mergeCell ref="R93:S93"/>
    <mergeCell ref="K94:O94"/>
    <mergeCell ref="R94:S94"/>
    <mergeCell ref="K95:O95"/>
    <mergeCell ref="R95:S95"/>
    <mergeCell ref="P97:U97"/>
    <mergeCell ref="A98:B98"/>
    <mergeCell ref="P102:U102"/>
    <mergeCell ref="A103:C103"/>
    <mergeCell ref="E103:R103"/>
    <mergeCell ref="T103:U103"/>
    <mergeCell ref="E104:R104"/>
    <mergeCell ref="P105:U105"/>
    <mergeCell ref="E106:R106"/>
    <mergeCell ref="E107:R107"/>
    <mergeCell ref="M108:O108"/>
    <mergeCell ref="P108:R108"/>
    <mergeCell ref="P110:S110"/>
    <mergeCell ref="A112:U113"/>
    <mergeCell ref="A114:U114"/>
    <mergeCell ref="A115:U115"/>
    <mergeCell ref="A117:A119"/>
    <mergeCell ref="B117:B119"/>
    <mergeCell ref="C117:C119"/>
    <mergeCell ref="D117:D119"/>
    <mergeCell ref="E117:E119"/>
    <mergeCell ref="F117:O118"/>
    <mergeCell ref="P117:U118"/>
    <mergeCell ref="K119:O119"/>
    <mergeCell ref="R119:S119"/>
    <mergeCell ref="K120:O120"/>
    <mergeCell ref="R120:S120"/>
    <mergeCell ref="U120:U129"/>
    <mergeCell ref="K121:O121"/>
    <mergeCell ref="R121:S121"/>
    <mergeCell ref="K122:O122"/>
    <mergeCell ref="R122:S122"/>
    <mergeCell ref="K123:O123"/>
    <mergeCell ref="R123:S123"/>
    <mergeCell ref="K124:O124"/>
    <mergeCell ref="R124:S124"/>
    <mergeCell ref="K125:O125"/>
    <mergeCell ref="R125:S125"/>
    <mergeCell ref="K126:O126"/>
    <mergeCell ref="R126:S126"/>
    <mergeCell ref="K127:O127"/>
    <mergeCell ref="R127:S127"/>
    <mergeCell ref="K128:O128"/>
    <mergeCell ref="R128:S128"/>
    <mergeCell ref="K129:O129"/>
    <mergeCell ref="R129:S129"/>
    <mergeCell ref="P131:U131"/>
    <mergeCell ref="A132:B132"/>
    <mergeCell ref="P136:U136"/>
    <mergeCell ref="A137:C137"/>
    <mergeCell ref="E137:R137"/>
    <mergeCell ref="T137:U137"/>
    <mergeCell ref="E138:R138"/>
    <mergeCell ref="P139:U139"/>
    <mergeCell ref="E140:R140"/>
    <mergeCell ref="E141:R141"/>
    <mergeCell ref="M142:O142"/>
    <mergeCell ref="P142:R142"/>
    <mergeCell ref="P144:S144"/>
    <mergeCell ref="A146:U147"/>
    <mergeCell ref="A148:U148"/>
    <mergeCell ref="A149:U149"/>
    <mergeCell ref="A151:A153"/>
    <mergeCell ref="B151:B153"/>
    <mergeCell ref="C151:C153"/>
    <mergeCell ref="D151:D153"/>
    <mergeCell ref="E151:E153"/>
    <mergeCell ref="F151:O152"/>
    <mergeCell ref="P151:U152"/>
    <mergeCell ref="K153:O153"/>
    <mergeCell ref="R153:S153"/>
    <mergeCell ref="K154:O154"/>
    <mergeCell ref="R154:S154"/>
    <mergeCell ref="U154:U163"/>
    <mergeCell ref="K155:O155"/>
    <mergeCell ref="R155:S155"/>
    <mergeCell ref="K156:O156"/>
    <mergeCell ref="R156:S156"/>
    <mergeCell ref="K157:O157"/>
    <mergeCell ref="R157:S157"/>
    <mergeCell ref="K158:O158"/>
    <mergeCell ref="R158:S158"/>
    <mergeCell ref="K159:O159"/>
    <mergeCell ref="R159:S159"/>
    <mergeCell ref="K160:O160"/>
    <mergeCell ref="R160:S160"/>
    <mergeCell ref="K161:O161"/>
    <mergeCell ref="R161:S161"/>
    <mergeCell ref="K162:O162"/>
    <mergeCell ref="R162:S162"/>
    <mergeCell ref="K163:O163"/>
    <mergeCell ref="R163:S163"/>
    <mergeCell ref="P165:U165"/>
    <mergeCell ref="A166:B166"/>
    <mergeCell ref="P170:U170"/>
    <mergeCell ref="A171:C171"/>
    <mergeCell ref="E171:R171"/>
    <mergeCell ref="T171:U171"/>
    <mergeCell ref="E172:R172"/>
    <mergeCell ref="P173:U173"/>
    <mergeCell ref="E174:R174"/>
    <mergeCell ref="E175:R175"/>
    <mergeCell ref="M176:O176"/>
    <mergeCell ref="P176:R176"/>
    <mergeCell ref="P178:S178"/>
    <mergeCell ref="A180:U181"/>
    <mergeCell ref="A182:U182"/>
    <mergeCell ref="A183:U183"/>
    <mergeCell ref="A185:A187"/>
    <mergeCell ref="B185:B187"/>
    <mergeCell ref="C185:C187"/>
    <mergeCell ref="D185:D187"/>
    <mergeCell ref="E185:E187"/>
    <mergeCell ref="F185:O186"/>
    <mergeCell ref="P185:U186"/>
    <mergeCell ref="K187:O187"/>
    <mergeCell ref="R187:S187"/>
    <mergeCell ref="K188:O188"/>
    <mergeCell ref="R188:S188"/>
    <mergeCell ref="U188:U197"/>
    <mergeCell ref="K189:O189"/>
    <mergeCell ref="R189:S189"/>
    <mergeCell ref="K190:O190"/>
    <mergeCell ref="R190:S190"/>
    <mergeCell ref="K191:O191"/>
    <mergeCell ref="R191:S191"/>
    <mergeCell ref="K192:O192"/>
    <mergeCell ref="R192:S192"/>
    <mergeCell ref="K193:O193"/>
    <mergeCell ref="R193:S193"/>
    <mergeCell ref="K194:O194"/>
    <mergeCell ref="R194:S194"/>
    <mergeCell ref="K195:O195"/>
    <mergeCell ref="R195:S195"/>
    <mergeCell ref="K196:O196"/>
    <mergeCell ref="R196:S196"/>
    <mergeCell ref="K197:O197"/>
    <mergeCell ref="R197:S197"/>
    <mergeCell ref="P199:U199"/>
    <mergeCell ref="A200:B200"/>
    <mergeCell ref="P204:U204"/>
    <mergeCell ref="A205:C205"/>
    <mergeCell ref="E205:R205"/>
    <mergeCell ref="T205:U205"/>
    <mergeCell ref="E206:R206"/>
    <mergeCell ref="P207:U207"/>
    <mergeCell ref="E208:R208"/>
    <mergeCell ref="E209:R209"/>
    <mergeCell ref="M210:O210"/>
    <mergeCell ref="P210:R210"/>
    <mergeCell ref="P212:S212"/>
    <mergeCell ref="A214:U215"/>
    <mergeCell ref="A216:U216"/>
    <mergeCell ref="A217:U217"/>
    <mergeCell ref="A219:A221"/>
    <mergeCell ref="B219:B221"/>
    <mergeCell ref="C219:C221"/>
    <mergeCell ref="D219:D221"/>
    <mergeCell ref="E219:E221"/>
    <mergeCell ref="F219:O220"/>
    <mergeCell ref="P219:U220"/>
    <mergeCell ref="K221:O221"/>
    <mergeCell ref="R221:S221"/>
    <mergeCell ref="K222:O222"/>
    <mergeCell ref="R222:S222"/>
    <mergeCell ref="U222:U231"/>
    <mergeCell ref="K223:O223"/>
    <mergeCell ref="R223:S223"/>
    <mergeCell ref="K224:O224"/>
    <mergeCell ref="R224:S224"/>
    <mergeCell ref="K225:O225"/>
    <mergeCell ref="R225:S225"/>
    <mergeCell ref="K226:O226"/>
    <mergeCell ref="R226:S226"/>
    <mergeCell ref="K227:O227"/>
    <mergeCell ref="R227:S227"/>
    <mergeCell ref="K228:O228"/>
    <mergeCell ref="R228:S228"/>
    <mergeCell ref="K229:O229"/>
    <mergeCell ref="R229:S229"/>
    <mergeCell ref="K230:O230"/>
    <mergeCell ref="R230:S230"/>
    <mergeCell ref="K231:O231"/>
    <mergeCell ref="R231:S231"/>
    <mergeCell ref="P233:U233"/>
    <mergeCell ref="A234:B234"/>
    <mergeCell ref="P238:U238"/>
    <mergeCell ref="A239:C239"/>
    <mergeCell ref="E239:R239"/>
    <mergeCell ref="T239:U239"/>
    <mergeCell ref="E240:R240"/>
    <mergeCell ref="P241:U241"/>
    <mergeCell ref="E242:R242"/>
    <mergeCell ref="E243:R243"/>
    <mergeCell ref="M244:O244"/>
    <mergeCell ref="P244:R244"/>
    <mergeCell ref="P246:S246"/>
    <mergeCell ref="A248:U249"/>
    <mergeCell ref="A250:U250"/>
    <mergeCell ref="A251:U251"/>
    <mergeCell ref="A253:A255"/>
    <mergeCell ref="B253:B255"/>
    <mergeCell ref="C253:C255"/>
    <mergeCell ref="D253:D255"/>
    <mergeCell ref="E253:E255"/>
    <mergeCell ref="F253:O254"/>
    <mergeCell ref="P253:U254"/>
    <mergeCell ref="K255:O255"/>
    <mergeCell ref="R255:S255"/>
    <mergeCell ref="K256:O256"/>
    <mergeCell ref="R256:S256"/>
    <mergeCell ref="U256:U265"/>
    <mergeCell ref="K257:O257"/>
    <mergeCell ref="R257:S257"/>
    <mergeCell ref="K258:O258"/>
    <mergeCell ref="R258:S258"/>
    <mergeCell ref="K259:O259"/>
    <mergeCell ref="R259:S259"/>
    <mergeCell ref="K260:O260"/>
    <mergeCell ref="R260:S260"/>
    <mergeCell ref="K261:O261"/>
    <mergeCell ref="R261:S261"/>
    <mergeCell ref="K262:O262"/>
    <mergeCell ref="R262:S262"/>
    <mergeCell ref="K263:O263"/>
    <mergeCell ref="R263:S263"/>
    <mergeCell ref="K264:O264"/>
    <mergeCell ref="R264:S264"/>
    <mergeCell ref="K265:O265"/>
    <mergeCell ref="R265:S265"/>
    <mergeCell ref="P267:U267"/>
    <mergeCell ref="A268:B268"/>
    <mergeCell ref="P272:U272"/>
    <mergeCell ref="A273:C273"/>
    <mergeCell ref="E273:R273"/>
    <mergeCell ref="T273:U273"/>
    <mergeCell ref="E274:R274"/>
    <mergeCell ref="P275:U275"/>
    <mergeCell ref="E276:R276"/>
    <mergeCell ref="E277:R277"/>
    <mergeCell ref="M278:O278"/>
    <mergeCell ref="P278:R278"/>
    <mergeCell ref="P280:S280"/>
    <mergeCell ref="A282:U283"/>
    <mergeCell ref="A284:U284"/>
    <mergeCell ref="A285:U285"/>
    <mergeCell ref="A287:A289"/>
    <mergeCell ref="B287:B289"/>
    <mergeCell ref="C287:C289"/>
    <mergeCell ref="D287:D289"/>
    <mergeCell ref="E287:E289"/>
    <mergeCell ref="F287:O288"/>
    <mergeCell ref="P287:U288"/>
    <mergeCell ref="K289:O289"/>
    <mergeCell ref="R289:S289"/>
    <mergeCell ref="K290:O290"/>
    <mergeCell ref="R290:S290"/>
    <mergeCell ref="U290:U299"/>
    <mergeCell ref="K291:O291"/>
    <mergeCell ref="R291:S291"/>
    <mergeCell ref="K292:O292"/>
    <mergeCell ref="R292:S292"/>
    <mergeCell ref="K293:O293"/>
    <mergeCell ref="R293:S293"/>
    <mergeCell ref="K294:O294"/>
    <mergeCell ref="R294:S294"/>
    <mergeCell ref="K295:O295"/>
    <mergeCell ref="R295:S295"/>
    <mergeCell ref="K296:O296"/>
    <mergeCell ref="R296:S296"/>
    <mergeCell ref="K297:O297"/>
    <mergeCell ref="R297:S297"/>
    <mergeCell ref="K298:O298"/>
    <mergeCell ref="R298:S298"/>
    <mergeCell ref="K299:O299"/>
    <mergeCell ref="R299:S299"/>
    <mergeCell ref="P301:U301"/>
    <mergeCell ref="A302:B302"/>
    <mergeCell ref="P306:U306"/>
    <mergeCell ref="A307:C307"/>
    <mergeCell ref="E307:R307"/>
    <mergeCell ref="T307:U307"/>
    <mergeCell ref="E308:R308"/>
    <mergeCell ref="P309:U309"/>
    <mergeCell ref="E310:R310"/>
    <mergeCell ref="E311:R311"/>
    <mergeCell ref="M312:O312"/>
    <mergeCell ref="P312:R312"/>
    <mergeCell ref="P314:S314"/>
    <mergeCell ref="A316:U317"/>
    <mergeCell ref="A318:U318"/>
    <mergeCell ref="A319:U319"/>
    <mergeCell ref="A321:A323"/>
    <mergeCell ref="B321:B323"/>
    <mergeCell ref="C321:C323"/>
    <mergeCell ref="D321:D323"/>
    <mergeCell ref="E321:E323"/>
    <mergeCell ref="F321:O322"/>
    <mergeCell ref="P321:U322"/>
    <mergeCell ref="K323:O323"/>
    <mergeCell ref="R323:S323"/>
    <mergeCell ref="K324:O324"/>
    <mergeCell ref="R324:S324"/>
    <mergeCell ref="U324:U333"/>
    <mergeCell ref="K325:O325"/>
    <mergeCell ref="R325:S325"/>
    <mergeCell ref="K326:O326"/>
    <mergeCell ref="R326:S326"/>
    <mergeCell ref="K327:O327"/>
    <mergeCell ref="R327:S327"/>
    <mergeCell ref="K328:O328"/>
    <mergeCell ref="R328:S328"/>
    <mergeCell ref="K329:O329"/>
    <mergeCell ref="R329:S329"/>
    <mergeCell ref="K330:O330"/>
    <mergeCell ref="R330:S330"/>
    <mergeCell ref="K331:O331"/>
    <mergeCell ref="R331:S331"/>
    <mergeCell ref="K332:O332"/>
    <mergeCell ref="R332:S332"/>
    <mergeCell ref="K333:O333"/>
    <mergeCell ref="R333:S333"/>
    <mergeCell ref="P335:U335"/>
    <mergeCell ref="A336:B336"/>
    <mergeCell ref="P340:U340"/>
    <mergeCell ref="A341:C341"/>
    <mergeCell ref="E341:R341"/>
    <mergeCell ref="T341:U341"/>
    <mergeCell ref="E342:R342"/>
    <mergeCell ref="P343:U343"/>
    <mergeCell ref="E344:R344"/>
    <mergeCell ref="E345:R345"/>
    <mergeCell ref="M346:O346"/>
    <mergeCell ref="P346:R346"/>
    <mergeCell ref="P348:S348"/>
    <mergeCell ref="A350:U351"/>
    <mergeCell ref="A352:U352"/>
    <mergeCell ref="A353:U353"/>
    <mergeCell ref="A355:A357"/>
    <mergeCell ref="B355:B357"/>
    <mergeCell ref="C355:C357"/>
    <mergeCell ref="D355:D357"/>
    <mergeCell ref="E355:E357"/>
    <mergeCell ref="F355:O356"/>
    <mergeCell ref="P355:U356"/>
    <mergeCell ref="K357:O357"/>
    <mergeCell ref="R357:S357"/>
    <mergeCell ref="K358:O358"/>
    <mergeCell ref="R358:S358"/>
    <mergeCell ref="U358:U367"/>
    <mergeCell ref="K359:O359"/>
    <mergeCell ref="R359:S359"/>
    <mergeCell ref="K360:O360"/>
    <mergeCell ref="R360:S360"/>
    <mergeCell ref="K361:O361"/>
    <mergeCell ref="R361:S361"/>
    <mergeCell ref="K362:O362"/>
    <mergeCell ref="R362:S362"/>
    <mergeCell ref="K363:O363"/>
    <mergeCell ref="R363:S363"/>
    <mergeCell ref="K364:O364"/>
    <mergeCell ref="R364:S364"/>
    <mergeCell ref="K365:O365"/>
    <mergeCell ref="R365:S365"/>
    <mergeCell ref="K366:O366"/>
    <mergeCell ref="R366:S366"/>
    <mergeCell ref="K367:O367"/>
    <mergeCell ref="R367:S367"/>
    <mergeCell ref="P369:U369"/>
    <mergeCell ref="A370:B370"/>
    <mergeCell ref="P374:U374"/>
    <mergeCell ref="A375:C375"/>
    <mergeCell ref="E375:R375"/>
    <mergeCell ref="T375:U375"/>
    <mergeCell ref="E376:R376"/>
    <mergeCell ref="P377:U377"/>
    <mergeCell ref="E378:R378"/>
    <mergeCell ref="E379:R379"/>
    <mergeCell ref="M380:O380"/>
    <mergeCell ref="P380:R380"/>
    <mergeCell ref="P382:S382"/>
    <mergeCell ref="A384:U385"/>
    <mergeCell ref="A386:U386"/>
    <mergeCell ref="A387:U387"/>
    <mergeCell ref="A389:A391"/>
    <mergeCell ref="B389:B391"/>
    <mergeCell ref="C389:C391"/>
    <mergeCell ref="D389:D391"/>
    <mergeCell ref="E389:E391"/>
    <mergeCell ref="F389:O390"/>
    <mergeCell ref="P389:U390"/>
    <mergeCell ref="K391:O391"/>
    <mergeCell ref="R391:S391"/>
    <mergeCell ref="K392:O392"/>
    <mergeCell ref="R392:S392"/>
    <mergeCell ref="U392:U401"/>
    <mergeCell ref="K393:O393"/>
    <mergeCell ref="R393:S393"/>
    <mergeCell ref="K394:O394"/>
    <mergeCell ref="R394:S394"/>
    <mergeCell ref="K395:O395"/>
    <mergeCell ref="R395:S395"/>
    <mergeCell ref="K396:O396"/>
    <mergeCell ref="R396:S396"/>
    <mergeCell ref="K397:O397"/>
    <mergeCell ref="R397:S397"/>
    <mergeCell ref="K398:O398"/>
    <mergeCell ref="R398:S398"/>
    <mergeCell ref="K399:O399"/>
    <mergeCell ref="R399:S399"/>
    <mergeCell ref="K400:O400"/>
    <mergeCell ref="R400:S400"/>
    <mergeCell ref="K401:O401"/>
    <mergeCell ref="R401:S401"/>
    <mergeCell ref="P403:U403"/>
    <mergeCell ref="A404:B404"/>
    <mergeCell ref="P408:U408"/>
    <mergeCell ref="A409:C409"/>
    <mergeCell ref="E409:R409"/>
    <mergeCell ref="T409:U409"/>
    <mergeCell ref="E410:R410"/>
    <mergeCell ref="P411:U411"/>
    <mergeCell ref="E412:R412"/>
    <mergeCell ref="E413:R413"/>
    <mergeCell ref="M414:O414"/>
    <mergeCell ref="P414:R414"/>
    <mergeCell ref="P416:S416"/>
    <mergeCell ref="A418:U419"/>
    <mergeCell ref="A420:U420"/>
    <mergeCell ref="A421:U421"/>
    <mergeCell ref="A423:A425"/>
    <mergeCell ref="B423:B425"/>
    <mergeCell ref="C423:C425"/>
    <mergeCell ref="D423:D425"/>
    <mergeCell ref="E423:E425"/>
    <mergeCell ref="F423:O424"/>
    <mergeCell ref="P423:U424"/>
    <mergeCell ref="K425:O425"/>
    <mergeCell ref="R425:S425"/>
    <mergeCell ref="K426:O426"/>
    <mergeCell ref="R426:S426"/>
    <mergeCell ref="U426:U435"/>
    <mergeCell ref="K427:O427"/>
    <mergeCell ref="R427:S427"/>
    <mergeCell ref="K428:O428"/>
    <mergeCell ref="R428:S428"/>
    <mergeCell ref="K429:O429"/>
    <mergeCell ref="R429:S429"/>
    <mergeCell ref="K430:O430"/>
    <mergeCell ref="R430:S430"/>
    <mergeCell ref="K431:O431"/>
    <mergeCell ref="R431:S431"/>
    <mergeCell ref="K432:O432"/>
    <mergeCell ref="R432:S432"/>
    <mergeCell ref="K433:O433"/>
    <mergeCell ref="R433:S433"/>
    <mergeCell ref="K434:O434"/>
    <mergeCell ref="R434:S434"/>
    <mergeCell ref="K435:O435"/>
    <mergeCell ref="R435:S435"/>
    <mergeCell ref="P437:U437"/>
    <mergeCell ref="A438:B438"/>
    <mergeCell ref="P442:U442"/>
    <mergeCell ref="A443:C443"/>
    <mergeCell ref="E443:R443"/>
    <mergeCell ref="T443:U443"/>
    <mergeCell ref="E444:R444"/>
    <mergeCell ref="P445:U445"/>
    <mergeCell ref="E446:R446"/>
    <mergeCell ref="E447:R447"/>
    <mergeCell ref="M448:O448"/>
    <mergeCell ref="P448:R448"/>
    <mergeCell ref="P450:S450"/>
    <mergeCell ref="A452:U453"/>
    <mergeCell ref="A454:U454"/>
    <mergeCell ref="A455:U455"/>
    <mergeCell ref="A457:A459"/>
    <mergeCell ref="B457:B459"/>
    <mergeCell ref="C457:C459"/>
    <mergeCell ref="D457:D459"/>
    <mergeCell ref="E457:E459"/>
    <mergeCell ref="F457:O458"/>
    <mergeCell ref="P457:U458"/>
    <mergeCell ref="K459:O459"/>
    <mergeCell ref="R459:S459"/>
    <mergeCell ref="K460:O460"/>
    <mergeCell ref="R460:S460"/>
    <mergeCell ref="U460:U469"/>
    <mergeCell ref="K461:O461"/>
    <mergeCell ref="R461:S461"/>
    <mergeCell ref="K462:O462"/>
    <mergeCell ref="R462:S462"/>
    <mergeCell ref="K463:O463"/>
    <mergeCell ref="R463:S463"/>
    <mergeCell ref="K464:O464"/>
    <mergeCell ref="R464:S464"/>
    <mergeCell ref="K465:O465"/>
    <mergeCell ref="R465:S465"/>
    <mergeCell ref="K466:O466"/>
    <mergeCell ref="R466:S466"/>
    <mergeCell ref="K467:O467"/>
    <mergeCell ref="R467:S467"/>
    <mergeCell ref="K468:O468"/>
    <mergeCell ref="R468:S468"/>
    <mergeCell ref="K469:O469"/>
    <mergeCell ref="R469:S469"/>
    <mergeCell ref="P471:U471"/>
    <mergeCell ref="A472:B472"/>
    <mergeCell ref="P476:U476"/>
    <mergeCell ref="A477:C477"/>
    <mergeCell ref="E477:R477"/>
    <mergeCell ref="T477:U477"/>
    <mergeCell ref="E478:R478"/>
    <mergeCell ref="P479:U479"/>
    <mergeCell ref="E480:R480"/>
    <mergeCell ref="E481:R481"/>
    <mergeCell ref="M482:O482"/>
    <mergeCell ref="P482:R482"/>
    <mergeCell ref="P484:S484"/>
    <mergeCell ref="A486:U487"/>
    <mergeCell ref="A488:U488"/>
    <mergeCell ref="A489:U489"/>
    <mergeCell ref="A491:A493"/>
    <mergeCell ref="B491:B493"/>
    <mergeCell ref="C491:C493"/>
    <mergeCell ref="D491:D493"/>
    <mergeCell ref="E491:E493"/>
    <mergeCell ref="F491:O492"/>
    <mergeCell ref="P491:U492"/>
    <mergeCell ref="K493:O493"/>
    <mergeCell ref="R493:S493"/>
    <mergeCell ref="K494:O494"/>
    <mergeCell ref="R494:S494"/>
    <mergeCell ref="U494:U503"/>
    <mergeCell ref="K495:O495"/>
    <mergeCell ref="R495:S495"/>
    <mergeCell ref="K496:O496"/>
    <mergeCell ref="R496:S496"/>
    <mergeCell ref="K497:O497"/>
    <mergeCell ref="R497:S497"/>
    <mergeCell ref="K498:O498"/>
    <mergeCell ref="R498:S498"/>
    <mergeCell ref="K499:O499"/>
    <mergeCell ref="R499:S499"/>
    <mergeCell ref="K500:O500"/>
    <mergeCell ref="R500:S500"/>
    <mergeCell ref="K501:O501"/>
    <mergeCell ref="R501:S501"/>
    <mergeCell ref="K502:O502"/>
    <mergeCell ref="R502:S502"/>
    <mergeCell ref="K503:O503"/>
    <mergeCell ref="R503:S503"/>
    <mergeCell ref="P505:U505"/>
    <mergeCell ref="A506:B506"/>
    <mergeCell ref="P510:U510"/>
    <mergeCell ref="A511:C511"/>
    <mergeCell ref="E511:R511"/>
    <mergeCell ref="T511:U511"/>
    <mergeCell ref="E512:R512"/>
    <mergeCell ref="P513:U513"/>
    <mergeCell ref="E514:R514"/>
    <mergeCell ref="E515:R515"/>
    <mergeCell ref="M516:O516"/>
    <mergeCell ref="P516:R516"/>
    <mergeCell ref="P518:S518"/>
    <mergeCell ref="A520:U521"/>
    <mergeCell ref="A522:U522"/>
    <mergeCell ref="A523:U523"/>
    <mergeCell ref="A525:A527"/>
    <mergeCell ref="B525:B527"/>
    <mergeCell ref="C525:C527"/>
    <mergeCell ref="D525:D527"/>
    <mergeCell ref="E525:E527"/>
    <mergeCell ref="F525:O526"/>
    <mergeCell ref="P525:U526"/>
    <mergeCell ref="K527:O527"/>
    <mergeCell ref="R527:S527"/>
    <mergeCell ref="K528:O528"/>
    <mergeCell ref="R528:S528"/>
    <mergeCell ref="U528:U537"/>
    <mergeCell ref="K529:O529"/>
    <mergeCell ref="R529:S529"/>
    <mergeCell ref="K530:O530"/>
    <mergeCell ref="R530:S530"/>
    <mergeCell ref="K531:O531"/>
    <mergeCell ref="R531:S531"/>
    <mergeCell ref="K532:O532"/>
    <mergeCell ref="R532:S532"/>
    <mergeCell ref="K533:O533"/>
    <mergeCell ref="R533:S533"/>
    <mergeCell ref="K534:O534"/>
    <mergeCell ref="R534:S534"/>
    <mergeCell ref="K535:O535"/>
    <mergeCell ref="R535:S535"/>
    <mergeCell ref="K536:O536"/>
    <mergeCell ref="R536:S536"/>
    <mergeCell ref="K537:O537"/>
    <mergeCell ref="R537:S537"/>
    <mergeCell ref="P539:U539"/>
    <mergeCell ref="A540:B540"/>
    <mergeCell ref="P544:U544"/>
    <mergeCell ref="A545:C545"/>
    <mergeCell ref="E545:R545"/>
    <mergeCell ref="T545:U545"/>
    <mergeCell ref="E546:R546"/>
    <mergeCell ref="P547:U547"/>
    <mergeCell ref="E548:R548"/>
    <mergeCell ref="E549:R549"/>
    <mergeCell ref="M550:O550"/>
    <mergeCell ref="P550:R550"/>
    <mergeCell ref="P552:S552"/>
    <mergeCell ref="A554:U555"/>
    <mergeCell ref="A556:U556"/>
    <mergeCell ref="A557:U557"/>
    <mergeCell ref="A559:A561"/>
    <mergeCell ref="B559:B561"/>
    <mergeCell ref="C559:C561"/>
    <mergeCell ref="D559:D561"/>
    <mergeCell ref="E559:E561"/>
    <mergeCell ref="F559:O560"/>
    <mergeCell ref="P559:U560"/>
    <mergeCell ref="K561:O561"/>
    <mergeCell ref="R561:S561"/>
    <mergeCell ref="K562:O562"/>
    <mergeCell ref="R562:S562"/>
    <mergeCell ref="U562:U571"/>
    <mergeCell ref="K563:O563"/>
    <mergeCell ref="R563:S563"/>
    <mergeCell ref="K564:O564"/>
    <mergeCell ref="R564:S564"/>
    <mergeCell ref="K565:O565"/>
    <mergeCell ref="R565:S565"/>
    <mergeCell ref="K566:O566"/>
    <mergeCell ref="R566:S566"/>
    <mergeCell ref="K567:O567"/>
    <mergeCell ref="R567:S567"/>
    <mergeCell ref="K568:O568"/>
    <mergeCell ref="R568:S568"/>
    <mergeCell ref="K569:O569"/>
    <mergeCell ref="R569:S569"/>
    <mergeCell ref="K570:O570"/>
    <mergeCell ref="R570:S570"/>
    <mergeCell ref="K571:O571"/>
    <mergeCell ref="R571:S571"/>
    <mergeCell ref="P573:U573"/>
    <mergeCell ref="A574:B574"/>
    <mergeCell ref="P578:U578"/>
    <mergeCell ref="A579:C579"/>
    <mergeCell ref="E579:R579"/>
    <mergeCell ref="T579:U579"/>
    <mergeCell ref="E580:R580"/>
    <mergeCell ref="P581:U581"/>
    <mergeCell ref="E582:R582"/>
    <mergeCell ref="E583:R583"/>
    <mergeCell ref="M584:O584"/>
    <mergeCell ref="P584:R584"/>
    <mergeCell ref="P586:S586"/>
    <mergeCell ref="A588:U589"/>
    <mergeCell ref="A590:U590"/>
    <mergeCell ref="A591:U591"/>
    <mergeCell ref="A593:A595"/>
    <mergeCell ref="B593:B595"/>
    <mergeCell ref="C593:C595"/>
    <mergeCell ref="D593:D595"/>
    <mergeCell ref="E593:E595"/>
    <mergeCell ref="F593:O594"/>
    <mergeCell ref="P593:U594"/>
    <mergeCell ref="K595:O595"/>
    <mergeCell ref="R595:S595"/>
    <mergeCell ref="K596:O596"/>
    <mergeCell ref="R596:S596"/>
    <mergeCell ref="U596:U605"/>
    <mergeCell ref="K597:O597"/>
    <mergeCell ref="R597:S597"/>
    <mergeCell ref="K598:O598"/>
    <mergeCell ref="R598:S598"/>
    <mergeCell ref="K599:O599"/>
    <mergeCell ref="R599:S599"/>
    <mergeCell ref="K600:O600"/>
    <mergeCell ref="R600:S600"/>
    <mergeCell ref="K601:O601"/>
    <mergeCell ref="R601:S601"/>
    <mergeCell ref="K602:O602"/>
    <mergeCell ref="R602:S602"/>
    <mergeCell ref="K603:O603"/>
    <mergeCell ref="R603:S603"/>
    <mergeCell ref="K604:O604"/>
    <mergeCell ref="R604:S604"/>
    <mergeCell ref="K605:O605"/>
    <mergeCell ref="R605:S605"/>
    <mergeCell ref="P607:U607"/>
    <mergeCell ref="A608:B608"/>
    <mergeCell ref="P612:U612"/>
    <mergeCell ref="A613:C613"/>
    <mergeCell ref="E613:R613"/>
    <mergeCell ref="T613:U613"/>
    <mergeCell ref="E614:R614"/>
    <mergeCell ref="P615:U615"/>
    <mergeCell ref="E616:R616"/>
    <mergeCell ref="E617:R617"/>
    <mergeCell ref="M618:O618"/>
    <mergeCell ref="P618:R618"/>
    <mergeCell ref="P620:S620"/>
    <mergeCell ref="A622:U623"/>
    <mergeCell ref="A624:U624"/>
    <mergeCell ref="A625:U625"/>
    <mergeCell ref="A627:A629"/>
    <mergeCell ref="B627:B629"/>
    <mergeCell ref="C627:C629"/>
    <mergeCell ref="D627:D629"/>
    <mergeCell ref="E627:E629"/>
    <mergeCell ref="F627:O628"/>
    <mergeCell ref="P627:U628"/>
    <mergeCell ref="K629:O629"/>
    <mergeCell ref="R629:S629"/>
    <mergeCell ref="K630:O630"/>
    <mergeCell ref="R630:S630"/>
    <mergeCell ref="U630:U639"/>
    <mergeCell ref="K631:O631"/>
    <mergeCell ref="R631:S631"/>
    <mergeCell ref="K632:O632"/>
    <mergeCell ref="R632:S632"/>
    <mergeCell ref="K633:O633"/>
    <mergeCell ref="R633:S633"/>
    <mergeCell ref="K634:O634"/>
    <mergeCell ref="R634:S634"/>
    <mergeCell ref="K635:O635"/>
    <mergeCell ref="R635:S635"/>
    <mergeCell ref="K636:O636"/>
    <mergeCell ref="R636:S636"/>
    <mergeCell ref="K637:O637"/>
    <mergeCell ref="R637:S637"/>
    <mergeCell ref="K638:O638"/>
    <mergeCell ref="R638:S638"/>
    <mergeCell ref="K639:O639"/>
    <mergeCell ref="R639:S639"/>
    <mergeCell ref="P641:U641"/>
    <mergeCell ref="A642:B642"/>
    <mergeCell ref="P646:U646"/>
    <mergeCell ref="A647:C647"/>
    <mergeCell ref="E647:R647"/>
    <mergeCell ref="T647:U647"/>
    <mergeCell ref="E648:R648"/>
    <mergeCell ref="P649:U649"/>
    <mergeCell ref="E650:R650"/>
    <mergeCell ref="E651:R651"/>
    <mergeCell ref="M652:O652"/>
    <mergeCell ref="P652:R652"/>
    <mergeCell ref="P654:S654"/>
    <mergeCell ref="A656:U657"/>
    <mergeCell ref="A658:U658"/>
    <mergeCell ref="A659:U659"/>
    <mergeCell ref="A661:A663"/>
    <mergeCell ref="B661:B663"/>
    <mergeCell ref="C661:C663"/>
    <mergeCell ref="D661:D663"/>
    <mergeCell ref="E661:E663"/>
    <mergeCell ref="F661:O662"/>
    <mergeCell ref="P661:U662"/>
    <mergeCell ref="K663:O663"/>
    <mergeCell ref="R663:S663"/>
    <mergeCell ref="K664:O664"/>
    <mergeCell ref="R664:S664"/>
    <mergeCell ref="U664:U673"/>
    <mergeCell ref="K665:O665"/>
    <mergeCell ref="R665:S665"/>
    <mergeCell ref="K666:O666"/>
    <mergeCell ref="R666:S666"/>
    <mergeCell ref="K667:O667"/>
    <mergeCell ref="R667:S667"/>
    <mergeCell ref="K668:O668"/>
    <mergeCell ref="R668:S668"/>
    <mergeCell ref="K669:O669"/>
    <mergeCell ref="R669:S669"/>
    <mergeCell ref="K670:O670"/>
    <mergeCell ref="R670:S670"/>
    <mergeCell ref="K671:O671"/>
    <mergeCell ref="R671:S671"/>
    <mergeCell ref="K672:O672"/>
    <mergeCell ref="R672:S672"/>
    <mergeCell ref="K673:O673"/>
    <mergeCell ref="R673:S673"/>
    <mergeCell ref="P675:U675"/>
    <mergeCell ref="A676:B676"/>
    <mergeCell ref="P680:U680"/>
    <mergeCell ref="A681:C681"/>
    <mergeCell ref="E681:R681"/>
    <mergeCell ref="T681:U681"/>
    <mergeCell ref="E682:R682"/>
    <mergeCell ref="P683:U683"/>
    <mergeCell ref="E684:R684"/>
    <mergeCell ref="E685:R685"/>
    <mergeCell ref="M686:O686"/>
    <mergeCell ref="P686:R686"/>
    <mergeCell ref="P688:S688"/>
    <mergeCell ref="A690:U691"/>
    <mergeCell ref="A692:U692"/>
    <mergeCell ref="A693:U693"/>
    <mergeCell ref="A695:A697"/>
    <mergeCell ref="B695:B697"/>
    <mergeCell ref="C695:C697"/>
    <mergeCell ref="D695:D697"/>
    <mergeCell ref="E695:E697"/>
    <mergeCell ref="F695:O696"/>
    <mergeCell ref="P695:U696"/>
    <mergeCell ref="K697:O697"/>
    <mergeCell ref="R697:S697"/>
    <mergeCell ref="K698:O698"/>
    <mergeCell ref="R698:S698"/>
    <mergeCell ref="U698:U707"/>
    <mergeCell ref="K699:O699"/>
    <mergeCell ref="R699:S699"/>
    <mergeCell ref="K700:O700"/>
    <mergeCell ref="R700:S700"/>
    <mergeCell ref="K701:O701"/>
    <mergeCell ref="R701:S701"/>
    <mergeCell ref="K702:O702"/>
    <mergeCell ref="R702:S702"/>
    <mergeCell ref="K703:O703"/>
    <mergeCell ref="R703:S703"/>
    <mergeCell ref="K704:O704"/>
    <mergeCell ref="R704:S704"/>
    <mergeCell ref="K705:O705"/>
    <mergeCell ref="R705:S705"/>
    <mergeCell ref="K706:O706"/>
    <mergeCell ref="R706:S706"/>
    <mergeCell ref="K707:O707"/>
    <mergeCell ref="R707:S707"/>
    <mergeCell ref="P709:U709"/>
    <mergeCell ref="A710:B710"/>
    <mergeCell ref="P714:U714"/>
    <mergeCell ref="A715:C715"/>
    <mergeCell ref="E715:R715"/>
    <mergeCell ref="T715:U715"/>
    <mergeCell ref="E716:R716"/>
    <mergeCell ref="P717:U717"/>
    <mergeCell ref="E718:R718"/>
    <mergeCell ref="E719:R719"/>
    <mergeCell ref="M720:O720"/>
    <mergeCell ref="P720:R720"/>
    <mergeCell ref="P722:S722"/>
    <mergeCell ref="A724:U725"/>
    <mergeCell ref="A726:U726"/>
    <mergeCell ref="A727:U727"/>
    <mergeCell ref="A729:A731"/>
    <mergeCell ref="B729:B731"/>
    <mergeCell ref="C729:C731"/>
    <mergeCell ref="D729:D731"/>
    <mergeCell ref="E729:E731"/>
    <mergeCell ref="F729:O730"/>
    <mergeCell ref="P729:U730"/>
    <mergeCell ref="K731:O731"/>
    <mergeCell ref="R731:S731"/>
    <mergeCell ref="K732:O732"/>
    <mergeCell ref="R732:S732"/>
    <mergeCell ref="U732:U741"/>
    <mergeCell ref="K733:O733"/>
    <mergeCell ref="R733:S733"/>
    <mergeCell ref="K734:O734"/>
    <mergeCell ref="R734:S734"/>
    <mergeCell ref="K735:O735"/>
    <mergeCell ref="R735:S735"/>
    <mergeCell ref="K736:O736"/>
    <mergeCell ref="R736:S736"/>
    <mergeCell ref="K737:O737"/>
    <mergeCell ref="R737:S737"/>
    <mergeCell ref="K738:O738"/>
    <mergeCell ref="R738:S738"/>
    <mergeCell ref="K739:O739"/>
    <mergeCell ref="R739:S739"/>
    <mergeCell ref="K740:O740"/>
    <mergeCell ref="R740:S740"/>
    <mergeCell ref="K741:O741"/>
    <mergeCell ref="R741:S741"/>
    <mergeCell ref="P743:U743"/>
    <mergeCell ref="A744:B744"/>
    <mergeCell ref="P748:U748"/>
    <mergeCell ref="A749:C749"/>
    <mergeCell ref="E749:R749"/>
    <mergeCell ref="T749:U749"/>
    <mergeCell ref="E750:R750"/>
    <mergeCell ref="P751:U751"/>
    <mergeCell ref="E752:R752"/>
    <mergeCell ref="E753:R753"/>
    <mergeCell ref="M754:O754"/>
    <mergeCell ref="P754:R754"/>
    <mergeCell ref="P756:S756"/>
    <mergeCell ref="A758:U759"/>
    <mergeCell ref="A760:U760"/>
    <mergeCell ref="A761:U761"/>
    <mergeCell ref="A763:A765"/>
    <mergeCell ref="B763:B765"/>
    <mergeCell ref="C763:C765"/>
    <mergeCell ref="D763:D765"/>
    <mergeCell ref="E763:E765"/>
    <mergeCell ref="F763:O764"/>
    <mergeCell ref="P763:U764"/>
    <mergeCell ref="K765:O765"/>
    <mergeCell ref="R765:S765"/>
    <mergeCell ref="K766:O766"/>
    <mergeCell ref="R766:S766"/>
    <mergeCell ref="U766:U775"/>
    <mergeCell ref="K767:O767"/>
    <mergeCell ref="R767:S767"/>
    <mergeCell ref="K768:O768"/>
    <mergeCell ref="R768:S768"/>
    <mergeCell ref="K769:O769"/>
    <mergeCell ref="R769:S769"/>
    <mergeCell ref="K770:O770"/>
    <mergeCell ref="R770:S770"/>
    <mergeCell ref="K771:O771"/>
    <mergeCell ref="R771:S771"/>
    <mergeCell ref="K772:O772"/>
    <mergeCell ref="R772:S772"/>
    <mergeCell ref="K773:O773"/>
    <mergeCell ref="R773:S773"/>
    <mergeCell ref="K774:O774"/>
    <mergeCell ref="R774:S774"/>
    <mergeCell ref="K775:O775"/>
    <mergeCell ref="R775:S775"/>
    <mergeCell ref="P777:U777"/>
    <mergeCell ref="A778:B778"/>
    <mergeCell ref="P782:U782"/>
    <mergeCell ref="A783:C783"/>
    <mergeCell ref="E783:R783"/>
    <mergeCell ref="T783:U783"/>
    <mergeCell ref="E784:R784"/>
    <mergeCell ref="P785:U785"/>
    <mergeCell ref="E786:R786"/>
    <mergeCell ref="E787:R787"/>
    <mergeCell ref="M788:O788"/>
    <mergeCell ref="P788:R788"/>
    <mergeCell ref="P790:S790"/>
    <mergeCell ref="A792:U793"/>
    <mergeCell ref="A794:U794"/>
    <mergeCell ref="A795:U795"/>
    <mergeCell ref="A797:A799"/>
    <mergeCell ref="B797:B799"/>
    <mergeCell ref="C797:C799"/>
    <mergeCell ref="D797:D799"/>
    <mergeCell ref="E797:E799"/>
    <mergeCell ref="F797:O798"/>
    <mergeCell ref="P797:U798"/>
    <mergeCell ref="K799:O799"/>
    <mergeCell ref="R799:S799"/>
    <mergeCell ref="K800:O800"/>
    <mergeCell ref="R800:S800"/>
    <mergeCell ref="U800:U809"/>
    <mergeCell ref="K801:O801"/>
    <mergeCell ref="R801:S801"/>
    <mergeCell ref="K802:O802"/>
    <mergeCell ref="R802:S802"/>
    <mergeCell ref="K803:O803"/>
    <mergeCell ref="R803:S803"/>
    <mergeCell ref="K804:O804"/>
    <mergeCell ref="R804:S804"/>
    <mergeCell ref="K805:O805"/>
    <mergeCell ref="R805:S805"/>
    <mergeCell ref="K806:O806"/>
    <mergeCell ref="R806:S806"/>
    <mergeCell ref="K807:O807"/>
    <mergeCell ref="R807:S807"/>
    <mergeCell ref="K808:O808"/>
    <mergeCell ref="R808:S808"/>
    <mergeCell ref="K809:O809"/>
    <mergeCell ref="R809:S809"/>
    <mergeCell ref="P811:U811"/>
    <mergeCell ref="A812:B812"/>
    <mergeCell ref="P816:U816"/>
    <mergeCell ref="A817:C817"/>
    <mergeCell ref="E817:R817"/>
    <mergeCell ref="T817:U817"/>
    <mergeCell ref="E818:R818"/>
    <mergeCell ref="P819:U819"/>
    <mergeCell ref="E820:R820"/>
    <mergeCell ref="E821:R821"/>
    <mergeCell ref="M822:O822"/>
    <mergeCell ref="P822:R822"/>
    <mergeCell ref="P824:S824"/>
    <mergeCell ref="A826:U827"/>
    <mergeCell ref="A828:U828"/>
    <mergeCell ref="A829:U829"/>
    <mergeCell ref="A831:A833"/>
    <mergeCell ref="B831:B833"/>
    <mergeCell ref="C831:C833"/>
    <mergeCell ref="D831:D833"/>
    <mergeCell ref="E831:E833"/>
    <mergeCell ref="F831:O832"/>
    <mergeCell ref="P831:U832"/>
    <mergeCell ref="K833:O833"/>
    <mergeCell ref="R833:S833"/>
    <mergeCell ref="K834:O834"/>
    <mergeCell ref="R834:S834"/>
    <mergeCell ref="U834:U843"/>
    <mergeCell ref="K835:O835"/>
    <mergeCell ref="R835:S835"/>
    <mergeCell ref="K836:O836"/>
    <mergeCell ref="R836:S836"/>
    <mergeCell ref="K837:O837"/>
    <mergeCell ref="R837:S837"/>
    <mergeCell ref="K838:O838"/>
    <mergeCell ref="R838:S838"/>
    <mergeCell ref="K839:O839"/>
    <mergeCell ref="R839:S839"/>
    <mergeCell ref="K840:O840"/>
    <mergeCell ref="R840:S840"/>
    <mergeCell ref="K841:O841"/>
    <mergeCell ref="R841:S841"/>
    <mergeCell ref="K842:O842"/>
    <mergeCell ref="R842:S842"/>
    <mergeCell ref="K843:O843"/>
    <mergeCell ref="R843:S843"/>
    <mergeCell ref="P845:U845"/>
    <mergeCell ref="A846:B846"/>
    <mergeCell ref="P850:U850"/>
    <mergeCell ref="A851:C851"/>
    <mergeCell ref="E851:R851"/>
    <mergeCell ref="T851:U851"/>
    <mergeCell ref="E852:R852"/>
    <mergeCell ref="P853:U853"/>
    <mergeCell ref="E854:R854"/>
    <mergeCell ref="E855:R855"/>
    <mergeCell ref="M856:O856"/>
    <mergeCell ref="P856:R856"/>
    <mergeCell ref="P858:S858"/>
    <mergeCell ref="A860:U861"/>
    <mergeCell ref="A862:U862"/>
    <mergeCell ref="A863:U863"/>
    <mergeCell ref="A865:A867"/>
    <mergeCell ref="B865:B867"/>
    <mergeCell ref="C865:C867"/>
    <mergeCell ref="D865:D867"/>
    <mergeCell ref="E865:E867"/>
    <mergeCell ref="F865:O866"/>
    <mergeCell ref="P865:U866"/>
    <mergeCell ref="K867:O867"/>
    <mergeCell ref="R867:S867"/>
    <mergeCell ref="K868:O868"/>
    <mergeCell ref="R868:S868"/>
    <mergeCell ref="U868:U877"/>
    <mergeCell ref="K869:O869"/>
    <mergeCell ref="R869:S869"/>
    <mergeCell ref="K870:O870"/>
    <mergeCell ref="R870:S870"/>
    <mergeCell ref="K871:O871"/>
    <mergeCell ref="R871:S871"/>
    <mergeCell ref="K872:O872"/>
    <mergeCell ref="R872:S872"/>
    <mergeCell ref="K873:O873"/>
    <mergeCell ref="R873:S873"/>
    <mergeCell ref="K874:O874"/>
    <mergeCell ref="R874:S874"/>
    <mergeCell ref="K875:O875"/>
    <mergeCell ref="R875:S875"/>
    <mergeCell ref="K876:O876"/>
    <mergeCell ref="R876:S876"/>
    <mergeCell ref="K877:O877"/>
    <mergeCell ref="R877:S877"/>
    <mergeCell ref="P879:U879"/>
    <mergeCell ref="A880:B880"/>
    <mergeCell ref="P884:U884"/>
    <mergeCell ref="A885:C885"/>
    <mergeCell ref="E885:R885"/>
    <mergeCell ref="T885:U885"/>
    <mergeCell ref="E886:R886"/>
    <mergeCell ref="P887:U887"/>
    <mergeCell ref="E888:R888"/>
    <mergeCell ref="E889:R889"/>
    <mergeCell ref="M890:O890"/>
    <mergeCell ref="P890:R890"/>
    <mergeCell ref="P892:S892"/>
    <mergeCell ref="A894:U895"/>
    <mergeCell ref="A896:U896"/>
    <mergeCell ref="A897:U897"/>
    <mergeCell ref="A899:A901"/>
    <mergeCell ref="B899:B901"/>
    <mergeCell ref="C899:C901"/>
    <mergeCell ref="D899:D901"/>
    <mergeCell ref="E899:E901"/>
    <mergeCell ref="F899:O900"/>
    <mergeCell ref="P899:U900"/>
    <mergeCell ref="K901:O901"/>
    <mergeCell ref="R901:S901"/>
    <mergeCell ref="K902:O902"/>
    <mergeCell ref="R902:S902"/>
    <mergeCell ref="U902:U911"/>
    <mergeCell ref="K903:O903"/>
    <mergeCell ref="R903:S903"/>
    <mergeCell ref="K904:O904"/>
    <mergeCell ref="R904:S904"/>
    <mergeCell ref="K905:O905"/>
    <mergeCell ref="R905:S905"/>
    <mergeCell ref="K906:O906"/>
    <mergeCell ref="R906:S906"/>
    <mergeCell ref="K907:O907"/>
    <mergeCell ref="R907:S907"/>
    <mergeCell ref="K908:O908"/>
    <mergeCell ref="R908:S908"/>
    <mergeCell ref="K909:O909"/>
    <mergeCell ref="R909:S909"/>
    <mergeCell ref="K910:O910"/>
    <mergeCell ref="R910:S910"/>
    <mergeCell ref="K911:O911"/>
    <mergeCell ref="R911:S911"/>
    <mergeCell ref="P913:U913"/>
    <mergeCell ref="A914:B914"/>
    <mergeCell ref="P918:U918"/>
    <mergeCell ref="A919:C919"/>
    <mergeCell ref="E919:R919"/>
    <mergeCell ref="T919:U919"/>
    <mergeCell ref="E920:R920"/>
    <mergeCell ref="P921:U921"/>
    <mergeCell ref="E922:R922"/>
    <mergeCell ref="E923:R923"/>
    <mergeCell ref="M924:O924"/>
    <mergeCell ref="P924:R924"/>
    <mergeCell ref="P926:S926"/>
    <mergeCell ref="A928:U929"/>
    <mergeCell ref="A930:U930"/>
    <mergeCell ref="A931:U931"/>
    <mergeCell ref="A933:A935"/>
    <mergeCell ref="B933:B935"/>
    <mergeCell ref="C933:C935"/>
    <mergeCell ref="D933:D935"/>
    <mergeCell ref="E933:E935"/>
    <mergeCell ref="F933:O934"/>
    <mergeCell ref="P933:U934"/>
    <mergeCell ref="K935:O935"/>
    <mergeCell ref="R935:S935"/>
    <mergeCell ref="K936:O936"/>
    <mergeCell ref="R936:S936"/>
    <mergeCell ref="U936:U945"/>
    <mergeCell ref="K937:O937"/>
    <mergeCell ref="R937:S937"/>
    <mergeCell ref="K938:O938"/>
    <mergeCell ref="R938:S938"/>
    <mergeCell ref="K939:O939"/>
    <mergeCell ref="R939:S939"/>
    <mergeCell ref="K940:O940"/>
    <mergeCell ref="R940:S940"/>
    <mergeCell ref="K941:O941"/>
    <mergeCell ref="R941:S941"/>
    <mergeCell ref="K942:O942"/>
    <mergeCell ref="R942:S942"/>
    <mergeCell ref="K943:O943"/>
    <mergeCell ref="R943:S943"/>
    <mergeCell ref="K944:O944"/>
    <mergeCell ref="R944:S944"/>
    <mergeCell ref="K945:O945"/>
    <mergeCell ref="R945:S945"/>
    <mergeCell ref="P947:U947"/>
    <mergeCell ref="A948:B948"/>
    <mergeCell ref="P952:U952"/>
    <mergeCell ref="A953:C953"/>
    <mergeCell ref="E953:R953"/>
    <mergeCell ref="T953:U953"/>
    <mergeCell ref="E954:R954"/>
    <mergeCell ref="P955:U955"/>
    <mergeCell ref="E956:R956"/>
    <mergeCell ref="E957:R957"/>
    <mergeCell ref="M958:O958"/>
    <mergeCell ref="P958:R958"/>
    <mergeCell ref="P960:S960"/>
    <mergeCell ref="A962:U963"/>
    <mergeCell ref="A964:U964"/>
    <mergeCell ref="A965:U965"/>
    <mergeCell ref="A967:A969"/>
    <mergeCell ref="B967:B969"/>
    <mergeCell ref="C967:C969"/>
    <mergeCell ref="D967:D969"/>
    <mergeCell ref="E967:E969"/>
    <mergeCell ref="F967:O968"/>
    <mergeCell ref="P967:U968"/>
    <mergeCell ref="K969:O969"/>
    <mergeCell ref="R969:S969"/>
    <mergeCell ref="K970:O970"/>
    <mergeCell ref="R970:S970"/>
    <mergeCell ref="U970:U979"/>
    <mergeCell ref="K971:O971"/>
    <mergeCell ref="R971:S971"/>
    <mergeCell ref="K972:O972"/>
    <mergeCell ref="R972:S972"/>
    <mergeCell ref="K973:O973"/>
    <mergeCell ref="R973:S973"/>
    <mergeCell ref="K974:O974"/>
    <mergeCell ref="R974:S974"/>
    <mergeCell ref="K975:O975"/>
    <mergeCell ref="R975:S975"/>
    <mergeCell ref="K976:O976"/>
    <mergeCell ref="R976:S976"/>
    <mergeCell ref="K977:O977"/>
    <mergeCell ref="R977:S977"/>
    <mergeCell ref="K978:O978"/>
    <mergeCell ref="R978:S978"/>
    <mergeCell ref="K979:O979"/>
    <mergeCell ref="R979:S979"/>
    <mergeCell ref="P981:U981"/>
    <mergeCell ref="A982:B982"/>
    <mergeCell ref="P986:U986"/>
    <mergeCell ref="A987:C987"/>
    <mergeCell ref="E987:R987"/>
    <mergeCell ref="T987:U987"/>
    <mergeCell ref="E988:R988"/>
    <mergeCell ref="P989:U989"/>
    <mergeCell ref="E990:R990"/>
    <mergeCell ref="E991:R991"/>
    <mergeCell ref="M992:O992"/>
    <mergeCell ref="P992:R992"/>
    <mergeCell ref="P994:S994"/>
    <mergeCell ref="A996:U997"/>
    <mergeCell ref="A998:U998"/>
    <mergeCell ref="A999:U999"/>
    <mergeCell ref="A1001:A1003"/>
    <mergeCell ref="B1001:B1003"/>
    <mergeCell ref="C1001:C1003"/>
    <mergeCell ref="D1001:D1003"/>
    <mergeCell ref="E1001:E1003"/>
    <mergeCell ref="F1001:O1002"/>
    <mergeCell ref="P1001:U1002"/>
    <mergeCell ref="K1003:O1003"/>
    <mergeCell ref="R1003:S1003"/>
    <mergeCell ref="K1004:O1004"/>
    <mergeCell ref="R1004:S1004"/>
    <mergeCell ref="U1004:U1013"/>
    <mergeCell ref="K1005:O1005"/>
    <mergeCell ref="R1005:S1005"/>
    <mergeCell ref="K1006:O1006"/>
    <mergeCell ref="R1006:S1006"/>
    <mergeCell ref="K1007:O1007"/>
    <mergeCell ref="R1007:S1007"/>
    <mergeCell ref="K1008:O1008"/>
    <mergeCell ref="R1008:S1008"/>
    <mergeCell ref="K1009:O1009"/>
    <mergeCell ref="R1009:S1009"/>
    <mergeCell ref="K1010:O1010"/>
    <mergeCell ref="R1010:S1010"/>
    <mergeCell ref="K1011:O1011"/>
    <mergeCell ref="R1011:S1011"/>
    <mergeCell ref="K1012:O1012"/>
    <mergeCell ref="R1012:S1012"/>
    <mergeCell ref="K1013:O1013"/>
    <mergeCell ref="R1013:S1013"/>
    <mergeCell ref="P1015:U1015"/>
    <mergeCell ref="A1016:B1016"/>
    <mergeCell ref="P1020:U1020"/>
    <mergeCell ref="A1021:C1021"/>
    <mergeCell ref="E1021:R1021"/>
    <mergeCell ref="T1021:U1021"/>
    <mergeCell ref="E1022:R1022"/>
    <mergeCell ref="P1023:U1023"/>
    <mergeCell ref="E1024:R1024"/>
    <mergeCell ref="E1025:R1025"/>
    <mergeCell ref="M1026:O1026"/>
    <mergeCell ref="P1026:R1026"/>
    <mergeCell ref="P1028:S1028"/>
    <mergeCell ref="A1030:U1031"/>
    <mergeCell ref="A1032:U1032"/>
    <mergeCell ref="A1033:U1033"/>
    <mergeCell ref="A1035:A1037"/>
    <mergeCell ref="B1035:B1037"/>
    <mergeCell ref="C1035:C1037"/>
    <mergeCell ref="D1035:D1037"/>
    <mergeCell ref="E1035:E1037"/>
    <mergeCell ref="F1035:O1036"/>
    <mergeCell ref="P1035:U1036"/>
    <mergeCell ref="K1037:O1037"/>
    <mergeCell ref="R1037:S1037"/>
    <mergeCell ref="K1038:O1038"/>
    <mergeCell ref="R1038:S1038"/>
    <mergeCell ref="U1038:U1047"/>
    <mergeCell ref="K1039:O1039"/>
    <mergeCell ref="R1039:S1039"/>
    <mergeCell ref="K1040:O1040"/>
    <mergeCell ref="R1040:S1040"/>
    <mergeCell ref="K1041:O1041"/>
    <mergeCell ref="R1041:S1041"/>
    <mergeCell ref="K1042:O1042"/>
    <mergeCell ref="R1042:S1042"/>
    <mergeCell ref="K1043:O1043"/>
    <mergeCell ref="R1043:S1043"/>
    <mergeCell ref="K1044:O1044"/>
    <mergeCell ref="R1044:S1044"/>
    <mergeCell ref="K1045:O1045"/>
    <mergeCell ref="R1045:S1045"/>
    <mergeCell ref="K1046:O1046"/>
    <mergeCell ref="R1046:S1046"/>
    <mergeCell ref="K1047:O1047"/>
    <mergeCell ref="R1047:S1047"/>
    <mergeCell ref="P1049:U1049"/>
    <mergeCell ref="A1050:B1050"/>
    <mergeCell ref="P1054:U1054"/>
    <mergeCell ref="A1055:C1055"/>
    <mergeCell ref="E1055:R1055"/>
    <mergeCell ref="T1055:U1055"/>
    <mergeCell ref="E1056:R1056"/>
    <mergeCell ref="P1057:U1057"/>
    <mergeCell ref="E1058:R1058"/>
    <mergeCell ref="E1059:R1059"/>
    <mergeCell ref="M1060:O1060"/>
    <mergeCell ref="P1060:R1060"/>
    <mergeCell ref="P1062:S1062"/>
    <mergeCell ref="A1064:U1065"/>
    <mergeCell ref="A1066:U1066"/>
    <mergeCell ref="A1067:U1067"/>
    <mergeCell ref="A1069:A1071"/>
    <mergeCell ref="B1069:B1071"/>
    <mergeCell ref="C1069:C1071"/>
    <mergeCell ref="D1069:D1071"/>
    <mergeCell ref="E1069:E1071"/>
    <mergeCell ref="F1069:O1070"/>
    <mergeCell ref="P1069:U1070"/>
    <mergeCell ref="K1071:O1071"/>
    <mergeCell ref="R1071:S1071"/>
    <mergeCell ref="K1072:O1072"/>
    <mergeCell ref="R1072:S1072"/>
    <mergeCell ref="U1072:U1081"/>
    <mergeCell ref="K1073:O1073"/>
    <mergeCell ref="R1073:S1073"/>
    <mergeCell ref="K1074:O1074"/>
    <mergeCell ref="R1074:S1074"/>
    <mergeCell ref="K1075:O1075"/>
    <mergeCell ref="R1075:S1075"/>
    <mergeCell ref="K1076:O1076"/>
    <mergeCell ref="R1076:S1076"/>
    <mergeCell ref="K1077:O1077"/>
    <mergeCell ref="R1077:S1077"/>
    <mergeCell ref="K1078:O1078"/>
    <mergeCell ref="R1078:S1078"/>
    <mergeCell ref="K1079:O1079"/>
    <mergeCell ref="R1079:S1079"/>
    <mergeCell ref="K1080:O1080"/>
    <mergeCell ref="R1080:S1080"/>
    <mergeCell ref="K1081:O1081"/>
    <mergeCell ref="R1081:S1081"/>
    <mergeCell ref="P1083:U1083"/>
    <mergeCell ref="A1084:B1084"/>
    <mergeCell ref="P1088:U1088"/>
    <mergeCell ref="A1089:C1089"/>
    <mergeCell ref="E1089:R1089"/>
    <mergeCell ref="T1089:U1089"/>
    <mergeCell ref="E1090:R1090"/>
    <mergeCell ref="P1091:U1091"/>
    <mergeCell ref="E1092:R1092"/>
    <mergeCell ref="E1093:R1093"/>
    <mergeCell ref="M1094:O1094"/>
    <mergeCell ref="P1094:R1094"/>
    <mergeCell ref="P1096:S1096"/>
    <mergeCell ref="A1098:U1099"/>
    <mergeCell ref="A1100:U1100"/>
    <mergeCell ref="A1101:U1101"/>
    <mergeCell ref="A1103:A1105"/>
    <mergeCell ref="B1103:B1105"/>
    <mergeCell ref="C1103:C1105"/>
    <mergeCell ref="D1103:D1105"/>
    <mergeCell ref="E1103:E1105"/>
    <mergeCell ref="F1103:O1104"/>
    <mergeCell ref="P1103:U1104"/>
    <mergeCell ref="K1105:O1105"/>
    <mergeCell ref="R1105:S1105"/>
    <mergeCell ref="K1106:O1106"/>
    <mergeCell ref="R1106:S1106"/>
    <mergeCell ref="U1106:U1115"/>
    <mergeCell ref="K1107:O1107"/>
    <mergeCell ref="R1107:S1107"/>
    <mergeCell ref="K1108:O1108"/>
    <mergeCell ref="R1108:S1108"/>
    <mergeCell ref="K1109:O1109"/>
    <mergeCell ref="R1109:S1109"/>
    <mergeCell ref="K1110:O1110"/>
    <mergeCell ref="R1110:S1110"/>
    <mergeCell ref="K1111:O1111"/>
    <mergeCell ref="R1111:S1111"/>
    <mergeCell ref="K1112:O1112"/>
    <mergeCell ref="R1112:S1112"/>
    <mergeCell ref="K1113:O1113"/>
    <mergeCell ref="R1113:S1113"/>
    <mergeCell ref="K1114:O1114"/>
    <mergeCell ref="R1114:S1114"/>
    <mergeCell ref="K1115:O1115"/>
    <mergeCell ref="R1115:S1115"/>
    <mergeCell ref="P1117:U1117"/>
    <mergeCell ref="A1118:B1118"/>
    <mergeCell ref="P1122:U1122"/>
    <mergeCell ref="A1123:C1123"/>
    <mergeCell ref="E1123:R1123"/>
    <mergeCell ref="T1123:U1123"/>
    <mergeCell ref="E1124:R1124"/>
    <mergeCell ref="P1125:U1125"/>
    <mergeCell ref="E1126:R1126"/>
    <mergeCell ref="E1127:R1127"/>
    <mergeCell ref="M1128:O1128"/>
    <mergeCell ref="P1128:R1128"/>
    <mergeCell ref="P1130:S1130"/>
    <mergeCell ref="A1132:U1133"/>
    <mergeCell ref="A1134:U1134"/>
    <mergeCell ref="A1135:U1135"/>
    <mergeCell ref="A1137:A1139"/>
    <mergeCell ref="B1137:B1139"/>
    <mergeCell ref="C1137:C1139"/>
    <mergeCell ref="D1137:D1139"/>
    <mergeCell ref="E1137:E1139"/>
    <mergeCell ref="F1137:O1138"/>
    <mergeCell ref="P1137:U1138"/>
    <mergeCell ref="K1139:O1139"/>
    <mergeCell ref="R1139:S1139"/>
    <mergeCell ref="K1140:O1140"/>
    <mergeCell ref="R1140:S1140"/>
    <mergeCell ref="U1140:U1149"/>
    <mergeCell ref="K1141:O1141"/>
    <mergeCell ref="R1141:S1141"/>
    <mergeCell ref="K1142:O1142"/>
    <mergeCell ref="R1142:S1142"/>
    <mergeCell ref="K1143:O1143"/>
    <mergeCell ref="R1143:S1143"/>
    <mergeCell ref="K1144:O1144"/>
    <mergeCell ref="R1144:S1144"/>
    <mergeCell ref="K1145:O1145"/>
    <mergeCell ref="R1145:S1145"/>
    <mergeCell ref="K1146:O1146"/>
    <mergeCell ref="R1146:S1146"/>
    <mergeCell ref="K1147:O1147"/>
    <mergeCell ref="R1147:S1147"/>
    <mergeCell ref="K1148:O1148"/>
    <mergeCell ref="R1148:S1148"/>
    <mergeCell ref="K1149:O1149"/>
    <mergeCell ref="R1149:S1149"/>
    <mergeCell ref="P1151:U1151"/>
    <mergeCell ref="A1152:B1152"/>
    <mergeCell ref="P1156:U1156"/>
    <mergeCell ref="A1157:C1157"/>
    <mergeCell ref="E1157:R1157"/>
    <mergeCell ref="T1157:U1157"/>
    <mergeCell ref="E1158:R1158"/>
    <mergeCell ref="P1159:U1159"/>
    <mergeCell ref="E1160:R1160"/>
    <mergeCell ref="E1161:R1161"/>
    <mergeCell ref="M1162:O1162"/>
    <mergeCell ref="P1162:R1162"/>
    <mergeCell ref="P1164:S1164"/>
    <mergeCell ref="A1166:U1167"/>
    <mergeCell ref="A1168:U1168"/>
    <mergeCell ref="A1169:U1169"/>
    <mergeCell ref="A1171:A1173"/>
    <mergeCell ref="B1171:B1173"/>
    <mergeCell ref="C1171:C1173"/>
    <mergeCell ref="D1171:D1173"/>
    <mergeCell ref="E1171:E1173"/>
    <mergeCell ref="F1171:O1172"/>
    <mergeCell ref="P1171:U1172"/>
    <mergeCell ref="K1173:O1173"/>
    <mergeCell ref="R1173:S1173"/>
    <mergeCell ref="K1174:O1174"/>
    <mergeCell ref="R1174:S1174"/>
    <mergeCell ref="U1174:U1183"/>
    <mergeCell ref="K1175:O1175"/>
    <mergeCell ref="R1175:S1175"/>
    <mergeCell ref="K1176:O1176"/>
    <mergeCell ref="R1176:S1176"/>
    <mergeCell ref="K1177:O1177"/>
    <mergeCell ref="R1177:S1177"/>
    <mergeCell ref="K1178:O1178"/>
    <mergeCell ref="R1178:S1178"/>
    <mergeCell ref="K1179:O1179"/>
    <mergeCell ref="R1179:S1179"/>
    <mergeCell ref="K1180:O1180"/>
    <mergeCell ref="R1180:S1180"/>
    <mergeCell ref="K1181:O1181"/>
    <mergeCell ref="R1181:S1181"/>
    <mergeCell ref="K1182:O1182"/>
    <mergeCell ref="R1182:S1182"/>
    <mergeCell ref="K1183:O1183"/>
    <mergeCell ref="R1183:S1183"/>
    <mergeCell ref="P1185:U1185"/>
    <mergeCell ref="A1186:B1186"/>
    <mergeCell ref="P1190:U1190"/>
    <mergeCell ref="A1191:C1191"/>
    <mergeCell ref="E1191:R1191"/>
    <mergeCell ref="T1191:U1191"/>
    <mergeCell ref="E1192:R1192"/>
    <mergeCell ref="P1193:U1193"/>
    <mergeCell ref="E1194:R1194"/>
    <mergeCell ref="E1195:R1195"/>
    <mergeCell ref="M1196:O1196"/>
    <mergeCell ref="P1196:R1196"/>
    <mergeCell ref="P1198:S1198"/>
    <mergeCell ref="A1200:U1201"/>
    <mergeCell ref="A1202:U1202"/>
    <mergeCell ref="A1203:U1203"/>
    <mergeCell ref="A1205:A1207"/>
    <mergeCell ref="B1205:B1207"/>
    <mergeCell ref="C1205:C1207"/>
    <mergeCell ref="D1205:D1207"/>
    <mergeCell ref="E1205:E1207"/>
    <mergeCell ref="F1205:O1206"/>
    <mergeCell ref="P1205:U1206"/>
    <mergeCell ref="K1207:O1207"/>
    <mergeCell ref="R1207:S1207"/>
    <mergeCell ref="K1208:O1208"/>
    <mergeCell ref="R1208:S1208"/>
    <mergeCell ref="U1208:U1217"/>
    <mergeCell ref="K1209:O1209"/>
    <mergeCell ref="R1209:S1209"/>
    <mergeCell ref="K1210:O1210"/>
    <mergeCell ref="R1210:S1210"/>
    <mergeCell ref="K1211:O1211"/>
    <mergeCell ref="R1211:S1211"/>
    <mergeCell ref="K1212:O1212"/>
    <mergeCell ref="R1212:S1212"/>
    <mergeCell ref="K1213:O1213"/>
    <mergeCell ref="R1213:S1213"/>
    <mergeCell ref="K1214:O1214"/>
    <mergeCell ref="R1214:S1214"/>
    <mergeCell ref="K1215:O1215"/>
    <mergeCell ref="R1215:S1215"/>
    <mergeCell ref="K1216:O1216"/>
    <mergeCell ref="R1216:S1216"/>
    <mergeCell ref="K1217:O1217"/>
    <mergeCell ref="R1217:S1217"/>
    <mergeCell ref="P1219:U1219"/>
    <mergeCell ref="A1220:B1220"/>
    <mergeCell ref="P1224:U1224"/>
    <mergeCell ref="A1225:C1225"/>
    <mergeCell ref="E1225:R1225"/>
    <mergeCell ref="T1225:U1225"/>
    <mergeCell ref="E1226:R1226"/>
    <mergeCell ref="P1227:U1227"/>
    <mergeCell ref="E1228:R1228"/>
    <mergeCell ref="E1229:R1229"/>
    <mergeCell ref="M1230:O1230"/>
    <mergeCell ref="P1230:R1230"/>
    <mergeCell ref="P1232:S1232"/>
    <mergeCell ref="A1234:U1235"/>
    <mergeCell ref="A1236:U1236"/>
    <mergeCell ref="A1237:U1237"/>
    <mergeCell ref="A1239:A1241"/>
    <mergeCell ref="B1239:B1241"/>
    <mergeCell ref="C1239:C1241"/>
    <mergeCell ref="D1239:D1241"/>
    <mergeCell ref="E1239:E1241"/>
    <mergeCell ref="F1239:O1240"/>
    <mergeCell ref="P1239:U1240"/>
    <mergeCell ref="K1241:O1241"/>
    <mergeCell ref="R1241:S1241"/>
    <mergeCell ref="K1242:O1242"/>
    <mergeCell ref="R1242:S1242"/>
    <mergeCell ref="U1242:U1251"/>
    <mergeCell ref="K1243:O1243"/>
    <mergeCell ref="R1243:S1243"/>
    <mergeCell ref="K1244:O1244"/>
    <mergeCell ref="R1244:S1244"/>
    <mergeCell ref="K1245:O1245"/>
    <mergeCell ref="R1245:S1245"/>
    <mergeCell ref="K1246:O1246"/>
    <mergeCell ref="R1246:S1246"/>
    <mergeCell ref="K1247:O1247"/>
    <mergeCell ref="R1247:S1247"/>
    <mergeCell ref="K1248:O1248"/>
    <mergeCell ref="R1248:S1248"/>
    <mergeCell ref="K1249:O1249"/>
    <mergeCell ref="R1249:S1249"/>
    <mergeCell ref="K1250:O1250"/>
    <mergeCell ref="R1250:S1250"/>
    <mergeCell ref="K1251:O1251"/>
    <mergeCell ref="R1251:S1251"/>
    <mergeCell ref="P1253:U1253"/>
    <mergeCell ref="A1254:B1254"/>
    <mergeCell ref="P1258:U1258"/>
    <mergeCell ref="A1259:C1259"/>
    <mergeCell ref="E1259:R1259"/>
    <mergeCell ref="T1259:U1259"/>
    <mergeCell ref="E1260:R1260"/>
    <mergeCell ref="P1261:U1261"/>
    <mergeCell ref="E1262:R1262"/>
    <mergeCell ref="E1263:R1263"/>
    <mergeCell ref="M1264:O1264"/>
    <mergeCell ref="P1264:R1264"/>
    <mergeCell ref="P1266:S1266"/>
    <mergeCell ref="A1268:U1269"/>
    <mergeCell ref="A1270:U1270"/>
    <mergeCell ref="A1271:U1271"/>
    <mergeCell ref="A1273:A1275"/>
    <mergeCell ref="B1273:B1275"/>
    <mergeCell ref="C1273:C1275"/>
    <mergeCell ref="D1273:D1275"/>
    <mergeCell ref="E1273:E1275"/>
    <mergeCell ref="F1273:O1274"/>
    <mergeCell ref="P1273:U1274"/>
    <mergeCell ref="K1275:O1275"/>
    <mergeCell ref="R1275:S1275"/>
    <mergeCell ref="K1276:O1276"/>
    <mergeCell ref="R1276:S1276"/>
    <mergeCell ref="U1276:U1285"/>
    <mergeCell ref="K1277:O1277"/>
    <mergeCell ref="R1277:S1277"/>
    <mergeCell ref="K1278:O1278"/>
    <mergeCell ref="R1278:S1278"/>
    <mergeCell ref="K1279:O1279"/>
    <mergeCell ref="R1279:S1279"/>
    <mergeCell ref="K1280:O1280"/>
    <mergeCell ref="R1280:S1280"/>
    <mergeCell ref="K1281:O1281"/>
    <mergeCell ref="R1281:S1281"/>
    <mergeCell ref="K1282:O1282"/>
    <mergeCell ref="R1282:S1282"/>
    <mergeCell ref="K1283:O1283"/>
    <mergeCell ref="R1283:S1283"/>
    <mergeCell ref="K1284:O1284"/>
    <mergeCell ref="R1284:S1284"/>
    <mergeCell ref="K1285:O1285"/>
    <mergeCell ref="R1285:S1285"/>
    <mergeCell ref="P1287:U1287"/>
    <mergeCell ref="A1288:B1288"/>
    <mergeCell ref="P1292:U1292"/>
    <mergeCell ref="A1293:C1293"/>
    <mergeCell ref="E1293:R1293"/>
    <mergeCell ref="T1293:U1293"/>
    <mergeCell ref="E1294:R1294"/>
    <mergeCell ref="P1295:U1295"/>
    <mergeCell ref="E1296:R1296"/>
    <mergeCell ref="E1297:R1297"/>
    <mergeCell ref="M1298:O1298"/>
    <mergeCell ref="P1298:R1298"/>
    <mergeCell ref="P1300:S1300"/>
    <mergeCell ref="A1302:U1303"/>
    <mergeCell ref="A1304:U1304"/>
    <mergeCell ref="A1305:U1305"/>
    <mergeCell ref="A1307:A1309"/>
    <mergeCell ref="B1307:B1309"/>
    <mergeCell ref="C1307:C1309"/>
    <mergeCell ref="D1307:D1309"/>
    <mergeCell ref="E1307:E1309"/>
    <mergeCell ref="F1307:O1308"/>
    <mergeCell ref="P1307:U1308"/>
    <mergeCell ref="K1309:O1309"/>
    <mergeCell ref="R1309:S1309"/>
    <mergeCell ref="K1310:O1310"/>
    <mergeCell ref="R1310:S1310"/>
    <mergeCell ref="U1310:U1319"/>
    <mergeCell ref="K1311:O1311"/>
    <mergeCell ref="R1311:S1311"/>
    <mergeCell ref="K1312:O1312"/>
    <mergeCell ref="R1312:S1312"/>
    <mergeCell ref="K1313:O1313"/>
    <mergeCell ref="R1313:S1313"/>
    <mergeCell ref="K1314:O1314"/>
    <mergeCell ref="R1314:S1314"/>
    <mergeCell ref="K1315:O1315"/>
    <mergeCell ref="R1315:S1315"/>
    <mergeCell ref="K1316:O1316"/>
    <mergeCell ref="R1316:S1316"/>
    <mergeCell ref="K1317:O1317"/>
    <mergeCell ref="R1317:S1317"/>
    <mergeCell ref="K1318:O1318"/>
    <mergeCell ref="R1318:S1318"/>
    <mergeCell ref="K1319:O1319"/>
    <mergeCell ref="R1319:S1319"/>
    <mergeCell ref="P1321:U1321"/>
    <mergeCell ref="A1322:B1322"/>
    <mergeCell ref="P1326:U1326"/>
    <mergeCell ref="A1327:C1327"/>
    <mergeCell ref="E1327:R1327"/>
    <mergeCell ref="T1327:U1327"/>
    <mergeCell ref="E1328:R1328"/>
    <mergeCell ref="P1329:U1329"/>
    <mergeCell ref="E1330:R1330"/>
    <mergeCell ref="E1331:R1331"/>
    <mergeCell ref="M1332:O1332"/>
    <mergeCell ref="P1332:R1332"/>
    <mergeCell ref="P1334:S1334"/>
    <mergeCell ref="A1336:U1337"/>
    <mergeCell ref="A1338:U1338"/>
    <mergeCell ref="A1339:U1339"/>
    <mergeCell ref="A1341:A1343"/>
    <mergeCell ref="B1341:B1343"/>
    <mergeCell ref="C1341:C1343"/>
    <mergeCell ref="D1341:D1343"/>
    <mergeCell ref="E1341:E1343"/>
    <mergeCell ref="F1341:O1342"/>
    <mergeCell ref="P1341:U1342"/>
    <mergeCell ref="K1343:O1343"/>
    <mergeCell ref="R1343:S1343"/>
    <mergeCell ref="K1344:O1344"/>
    <mergeCell ref="R1344:S1344"/>
    <mergeCell ref="U1344:U1353"/>
    <mergeCell ref="K1345:O1345"/>
    <mergeCell ref="R1345:S1345"/>
    <mergeCell ref="K1346:O1346"/>
    <mergeCell ref="R1346:S1346"/>
    <mergeCell ref="K1347:O1347"/>
    <mergeCell ref="R1347:S1347"/>
    <mergeCell ref="K1348:O1348"/>
    <mergeCell ref="R1348:S1348"/>
    <mergeCell ref="K1349:O1349"/>
    <mergeCell ref="R1349:S1349"/>
    <mergeCell ref="K1350:O1350"/>
    <mergeCell ref="R1350:S1350"/>
    <mergeCell ref="K1351:O1351"/>
    <mergeCell ref="R1351:S1351"/>
    <mergeCell ref="K1352:O1352"/>
    <mergeCell ref="R1352:S1352"/>
    <mergeCell ref="K1353:O1353"/>
    <mergeCell ref="R1353:S1353"/>
    <mergeCell ref="P1355:U1355"/>
    <mergeCell ref="A1356:B1356"/>
    <mergeCell ref="P1360:U1360"/>
    <mergeCell ref="A1361:C1361"/>
    <mergeCell ref="E1361:R1361"/>
    <mergeCell ref="T1361:U1361"/>
    <mergeCell ref="E1362:R1362"/>
    <mergeCell ref="P1363:U1363"/>
    <mergeCell ref="E1364:R1364"/>
    <mergeCell ref="E1365:R1365"/>
    <mergeCell ref="M1366:O1366"/>
    <mergeCell ref="P1366:R1366"/>
    <mergeCell ref="P1368:S1368"/>
    <mergeCell ref="A1370:U1371"/>
    <mergeCell ref="A1372:U1372"/>
    <mergeCell ref="A1373:U1373"/>
    <mergeCell ref="A1375:A1377"/>
    <mergeCell ref="B1375:B1377"/>
    <mergeCell ref="C1375:C1377"/>
    <mergeCell ref="D1375:D1377"/>
    <mergeCell ref="E1375:E1377"/>
    <mergeCell ref="F1375:O1376"/>
    <mergeCell ref="P1375:U1376"/>
    <mergeCell ref="K1377:O1377"/>
    <mergeCell ref="R1377:S1377"/>
    <mergeCell ref="K1378:O1378"/>
    <mergeCell ref="R1378:S1378"/>
    <mergeCell ref="U1378:U1387"/>
    <mergeCell ref="K1379:O1379"/>
    <mergeCell ref="R1379:S1379"/>
    <mergeCell ref="K1380:O1380"/>
    <mergeCell ref="R1380:S1380"/>
    <mergeCell ref="K1381:O1381"/>
    <mergeCell ref="R1381:S1381"/>
    <mergeCell ref="K1382:O1382"/>
    <mergeCell ref="R1382:S1382"/>
    <mergeCell ref="K1383:O1383"/>
    <mergeCell ref="R1383:S1383"/>
    <mergeCell ref="K1384:O1384"/>
    <mergeCell ref="R1384:S1384"/>
    <mergeCell ref="K1385:O1385"/>
    <mergeCell ref="R1385:S1385"/>
    <mergeCell ref="K1386:O1386"/>
    <mergeCell ref="R1386:S1386"/>
    <mergeCell ref="K1387:O1387"/>
    <mergeCell ref="R1387:S1387"/>
    <mergeCell ref="P1389:U1389"/>
    <mergeCell ref="A1390:B1390"/>
    <mergeCell ref="P1394:U1394"/>
    <mergeCell ref="A1395:C1395"/>
    <mergeCell ref="E1395:R1395"/>
    <mergeCell ref="T1395:U1395"/>
    <mergeCell ref="E1396:R1396"/>
    <mergeCell ref="P1397:U1397"/>
    <mergeCell ref="E1398:R1398"/>
    <mergeCell ref="E1399:R1399"/>
    <mergeCell ref="M1400:O1400"/>
    <mergeCell ref="P1400:R1400"/>
    <mergeCell ref="P1402:S1402"/>
    <mergeCell ref="A1404:U1405"/>
    <mergeCell ref="A1406:U1406"/>
    <mergeCell ref="A1407:U1407"/>
    <mergeCell ref="A1409:A1411"/>
    <mergeCell ref="B1409:B1411"/>
    <mergeCell ref="C1409:C1411"/>
    <mergeCell ref="D1409:D1411"/>
    <mergeCell ref="E1409:E1411"/>
    <mergeCell ref="F1409:O1410"/>
    <mergeCell ref="P1409:U1410"/>
    <mergeCell ref="K1411:O1411"/>
    <mergeCell ref="R1411:S1411"/>
    <mergeCell ref="K1412:O1412"/>
    <mergeCell ref="R1412:S1412"/>
    <mergeCell ref="U1412:U1421"/>
    <mergeCell ref="K1413:O1413"/>
    <mergeCell ref="R1413:S1413"/>
    <mergeCell ref="K1414:O1414"/>
    <mergeCell ref="R1414:S1414"/>
    <mergeCell ref="K1415:O1415"/>
    <mergeCell ref="R1415:S1415"/>
    <mergeCell ref="K1416:O1416"/>
    <mergeCell ref="R1416:S1416"/>
    <mergeCell ref="K1417:O1417"/>
    <mergeCell ref="R1417:S1417"/>
    <mergeCell ref="K1418:O1418"/>
    <mergeCell ref="R1418:S1418"/>
    <mergeCell ref="K1419:O1419"/>
    <mergeCell ref="R1419:S1419"/>
    <mergeCell ref="K1420:O1420"/>
    <mergeCell ref="R1420:S1420"/>
    <mergeCell ref="K1421:O1421"/>
    <mergeCell ref="R1421:S1421"/>
    <mergeCell ref="P1423:U1423"/>
    <mergeCell ref="A1424:B1424"/>
    <mergeCell ref="P1428:U1428"/>
    <mergeCell ref="A1429:C1429"/>
    <mergeCell ref="E1429:R1429"/>
    <mergeCell ref="T1429:U1429"/>
    <mergeCell ref="E1430:R1430"/>
    <mergeCell ref="P1431:U1431"/>
    <mergeCell ref="E1432:R1432"/>
    <mergeCell ref="E1433:R1433"/>
    <mergeCell ref="M1434:O1434"/>
    <mergeCell ref="P1434:R1434"/>
    <mergeCell ref="P1436:S1436"/>
    <mergeCell ref="A1438:U1439"/>
    <mergeCell ref="A1440:U1440"/>
    <mergeCell ref="A1441:U1441"/>
    <mergeCell ref="A1443:A1445"/>
    <mergeCell ref="B1443:B1445"/>
    <mergeCell ref="C1443:C1445"/>
    <mergeCell ref="D1443:D1445"/>
    <mergeCell ref="E1443:E1445"/>
    <mergeCell ref="F1443:O1444"/>
    <mergeCell ref="P1443:U1444"/>
    <mergeCell ref="K1445:O1445"/>
    <mergeCell ref="R1445:S1445"/>
    <mergeCell ref="K1446:O1446"/>
    <mergeCell ref="R1446:S1446"/>
    <mergeCell ref="U1446:U1455"/>
    <mergeCell ref="K1447:O1447"/>
    <mergeCell ref="R1447:S1447"/>
    <mergeCell ref="K1448:O1448"/>
    <mergeCell ref="R1448:S1448"/>
    <mergeCell ref="K1449:O1449"/>
    <mergeCell ref="R1449:S1449"/>
    <mergeCell ref="K1450:O1450"/>
    <mergeCell ref="R1450:S1450"/>
    <mergeCell ref="K1451:O1451"/>
    <mergeCell ref="R1451:S1451"/>
    <mergeCell ref="K1452:O1452"/>
    <mergeCell ref="R1452:S1452"/>
    <mergeCell ref="K1453:O1453"/>
    <mergeCell ref="R1453:S1453"/>
    <mergeCell ref="K1454:O1454"/>
    <mergeCell ref="R1454:S1454"/>
    <mergeCell ref="K1455:O1455"/>
    <mergeCell ref="R1455:S1455"/>
    <mergeCell ref="P1457:U1457"/>
    <mergeCell ref="A1458:B1458"/>
    <mergeCell ref="P1462:U1462"/>
    <mergeCell ref="A1463:C1463"/>
    <mergeCell ref="E1463:R1463"/>
    <mergeCell ref="T1463:U1463"/>
    <mergeCell ref="E1464:R1464"/>
    <mergeCell ref="P1465:U1465"/>
    <mergeCell ref="E1466:R1466"/>
    <mergeCell ref="E1467:R1467"/>
    <mergeCell ref="M1468:O1468"/>
    <mergeCell ref="P1468:R1468"/>
    <mergeCell ref="P1470:S1470"/>
    <mergeCell ref="A1472:U1473"/>
    <mergeCell ref="A1474:U1474"/>
    <mergeCell ref="A1475:U1475"/>
    <mergeCell ref="A1477:A1479"/>
    <mergeCell ref="B1477:B1479"/>
    <mergeCell ref="C1477:C1479"/>
    <mergeCell ref="D1477:D1479"/>
    <mergeCell ref="E1477:E1479"/>
    <mergeCell ref="F1477:O1478"/>
    <mergeCell ref="P1477:U1478"/>
    <mergeCell ref="K1479:O1479"/>
    <mergeCell ref="R1479:S1479"/>
    <mergeCell ref="K1480:O1480"/>
    <mergeCell ref="R1480:S1480"/>
    <mergeCell ref="U1480:U1489"/>
    <mergeCell ref="K1481:O1481"/>
    <mergeCell ref="R1481:S1481"/>
    <mergeCell ref="K1482:O1482"/>
    <mergeCell ref="R1482:S1482"/>
    <mergeCell ref="K1483:O1483"/>
    <mergeCell ref="R1483:S1483"/>
    <mergeCell ref="K1484:O1484"/>
    <mergeCell ref="R1484:S1484"/>
    <mergeCell ref="K1485:O1485"/>
    <mergeCell ref="R1485:S1485"/>
    <mergeCell ref="K1486:O1486"/>
    <mergeCell ref="R1486:S1486"/>
    <mergeCell ref="K1487:O1487"/>
    <mergeCell ref="R1487:S1487"/>
    <mergeCell ref="K1488:O1488"/>
    <mergeCell ref="R1488:S1488"/>
    <mergeCell ref="K1489:O1489"/>
    <mergeCell ref="R1489:S1489"/>
    <mergeCell ref="P1491:U1491"/>
    <mergeCell ref="A1492:B1492"/>
    <mergeCell ref="P1496:U1496"/>
    <mergeCell ref="A1497:C1497"/>
    <mergeCell ref="E1497:R1497"/>
    <mergeCell ref="T1497:U1497"/>
    <mergeCell ref="E1498:R1498"/>
    <mergeCell ref="P1499:U1499"/>
    <mergeCell ref="E1500:R1500"/>
    <mergeCell ref="E1501:R1501"/>
    <mergeCell ref="M1502:O1502"/>
    <mergeCell ref="P1502:R1502"/>
    <mergeCell ref="P1504:S1504"/>
    <mergeCell ref="A1506:U1507"/>
    <mergeCell ref="A1508:U1508"/>
    <mergeCell ref="A1509:U1509"/>
    <mergeCell ref="A1511:A1513"/>
    <mergeCell ref="B1511:B1513"/>
    <mergeCell ref="C1511:C1513"/>
    <mergeCell ref="D1511:D1513"/>
    <mergeCell ref="E1511:E1513"/>
    <mergeCell ref="F1511:O1512"/>
    <mergeCell ref="P1511:U1512"/>
    <mergeCell ref="K1513:O1513"/>
    <mergeCell ref="R1513:S1513"/>
    <mergeCell ref="K1514:O1514"/>
    <mergeCell ref="R1514:S1514"/>
    <mergeCell ref="U1514:U1523"/>
    <mergeCell ref="K1515:O1515"/>
    <mergeCell ref="R1515:S1515"/>
    <mergeCell ref="K1516:O1516"/>
    <mergeCell ref="R1516:S1516"/>
    <mergeCell ref="K1517:O1517"/>
    <mergeCell ref="R1517:S1517"/>
    <mergeCell ref="K1518:O1518"/>
    <mergeCell ref="R1518:S1518"/>
    <mergeCell ref="K1519:O1519"/>
    <mergeCell ref="R1519:S1519"/>
    <mergeCell ref="K1520:O1520"/>
    <mergeCell ref="R1520:S1520"/>
    <mergeCell ref="K1521:O1521"/>
    <mergeCell ref="R1521:S1521"/>
    <mergeCell ref="K1522:O1522"/>
    <mergeCell ref="R1522:S1522"/>
    <mergeCell ref="K1523:O1523"/>
    <mergeCell ref="R1523:S1523"/>
    <mergeCell ref="P1525:U1525"/>
    <mergeCell ref="A1526:B1526"/>
    <mergeCell ref="P1530:U1530"/>
    <mergeCell ref="A1531:C1531"/>
    <mergeCell ref="E1531:R1531"/>
    <mergeCell ref="T1531:U1531"/>
    <mergeCell ref="E1532:R1532"/>
    <mergeCell ref="P1533:U1533"/>
    <mergeCell ref="E1534:R1534"/>
    <mergeCell ref="E1535:R1535"/>
    <mergeCell ref="M1536:O1536"/>
    <mergeCell ref="P1536:R1536"/>
    <mergeCell ref="P1538:S1538"/>
    <mergeCell ref="A1540:U1541"/>
    <mergeCell ref="A1542:U1542"/>
    <mergeCell ref="A1543:U1543"/>
    <mergeCell ref="A1545:A1547"/>
    <mergeCell ref="B1545:B1547"/>
    <mergeCell ref="C1545:C1547"/>
    <mergeCell ref="D1545:D1547"/>
    <mergeCell ref="E1545:E1547"/>
    <mergeCell ref="F1545:O1546"/>
    <mergeCell ref="P1545:U1546"/>
    <mergeCell ref="K1547:O1547"/>
    <mergeCell ref="R1547:S1547"/>
    <mergeCell ref="K1548:O1548"/>
    <mergeCell ref="R1548:S1548"/>
    <mergeCell ref="U1548:U1557"/>
    <mergeCell ref="K1549:O1549"/>
    <mergeCell ref="R1549:S1549"/>
    <mergeCell ref="K1550:O1550"/>
    <mergeCell ref="R1550:S1550"/>
    <mergeCell ref="K1551:O1551"/>
    <mergeCell ref="R1551:S1551"/>
    <mergeCell ref="K1552:O1552"/>
    <mergeCell ref="R1552:S1552"/>
    <mergeCell ref="K1553:O1553"/>
    <mergeCell ref="R1553:S1553"/>
    <mergeCell ref="K1554:O1554"/>
    <mergeCell ref="R1554:S1554"/>
    <mergeCell ref="K1555:O1555"/>
    <mergeCell ref="R1555:S1555"/>
    <mergeCell ref="K1556:O1556"/>
    <mergeCell ref="R1556:S1556"/>
    <mergeCell ref="K1557:O1557"/>
    <mergeCell ref="R1557:S1557"/>
    <mergeCell ref="P1559:U1559"/>
    <mergeCell ref="A1560:B1560"/>
    <mergeCell ref="P1564:U1564"/>
    <mergeCell ref="A1565:C1565"/>
    <mergeCell ref="E1565:R1565"/>
    <mergeCell ref="T1565:U1565"/>
    <mergeCell ref="E1566:R1566"/>
    <mergeCell ref="P1567:U1567"/>
    <mergeCell ref="E1568:R1568"/>
    <mergeCell ref="E1569:R1569"/>
    <mergeCell ref="M1570:O1570"/>
    <mergeCell ref="P1570:R1570"/>
    <mergeCell ref="P1572:S1572"/>
    <mergeCell ref="A1574:U1575"/>
    <mergeCell ref="A1576:U1576"/>
    <mergeCell ref="A1577:U1577"/>
    <mergeCell ref="A1579:A1581"/>
    <mergeCell ref="B1579:B1581"/>
    <mergeCell ref="C1579:C1581"/>
    <mergeCell ref="D1579:D1581"/>
    <mergeCell ref="E1579:E1581"/>
    <mergeCell ref="F1579:O1580"/>
    <mergeCell ref="P1579:U1580"/>
    <mergeCell ref="K1581:O1581"/>
    <mergeCell ref="R1581:S1581"/>
    <mergeCell ref="K1582:O1582"/>
    <mergeCell ref="R1582:S1582"/>
    <mergeCell ref="U1582:U1591"/>
    <mergeCell ref="K1583:O1583"/>
    <mergeCell ref="R1583:S1583"/>
    <mergeCell ref="K1584:O1584"/>
    <mergeCell ref="R1584:S1584"/>
    <mergeCell ref="K1585:O1585"/>
    <mergeCell ref="R1585:S1585"/>
    <mergeCell ref="K1586:O1586"/>
    <mergeCell ref="R1586:S1586"/>
    <mergeCell ref="K1587:O1587"/>
    <mergeCell ref="R1587:S1587"/>
    <mergeCell ref="K1588:O1588"/>
    <mergeCell ref="R1588:S1588"/>
    <mergeCell ref="K1589:O1589"/>
    <mergeCell ref="R1589:S1589"/>
    <mergeCell ref="K1590:O1590"/>
    <mergeCell ref="R1590:S1590"/>
    <mergeCell ref="K1591:O1591"/>
    <mergeCell ref="R1591:S1591"/>
    <mergeCell ref="P1593:U1593"/>
    <mergeCell ref="A1594:B1594"/>
    <mergeCell ref="P1598:U1598"/>
    <mergeCell ref="A1599:C1599"/>
    <mergeCell ref="E1599:R1599"/>
    <mergeCell ref="T1599:U1599"/>
    <mergeCell ref="E1600:R1600"/>
    <mergeCell ref="P1601:U1601"/>
    <mergeCell ref="E1602:R1602"/>
    <mergeCell ref="E1603:R1603"/>
    <mergeCell ref="M1604:O1604"/>
    <mergeCell ref="P1604:R1604"/>
    <mergeCell ref="P1606:S1606"/>
    <mergeCell ref="A1608:U1609"/>
    <mergeCell ref="A1610:U1610"/>
    <mergeCell ref="A1611:U1611"/>
    <mergeCell ref="A1613:A1615"/>
    <mergeCell ref="B1613:B1615"/>
    <mergeCell ref="C1613:C1615"/>
    <mergeCell ref="D1613:D1615"/>
    <mergeCell ref="E1613:E1615"/>
    <mergeCell ref="F1613:O1614"/>
    <mergeCell ref="P1613:U1614"/>
    <mergeCell ref="K1615:O1615"/>
    <mergeCell ref="R1615:S1615"/>
    <mergeCell ref="K1616:O1616"/>
    <mergeCell ref="R1616:S1616"/>
    <mergeCell ref="U1616:U1625"/>
    <mergeCell ref="K1617:O1617"/>
    <mergeCell ref="R1617:S1617"/>
    <mergeCell ref="K1618:O1618"/>
    <mergeCell ref="R1618:S1618"/>
    <mergeCell ref="K1619:O1619"/>
    <mergeCell ref="R1619:S1619"/>
    <mergeCell ref="K1620:O1620"/>
    <mergeCell ref="R1620:S1620"/>
    <mergeCell ref="K1621:O1621"/>
    <mergeCell ref="R1621:S1621"/>
    <mergeCell ref="K1622:O1622"/>
    <mergeCell ref="R1622:S1622"/>
    <mergeCell ref="K1623:O1623"/>
    <mergeCell ref="R1623:S1623"/>
    <mergeCell ref="K1624:O1624"/>
    <mergeCell ref="R1624:S1624"/>
    <mergeCell ref="K1625:O1625"/>
    <mergeCell ref="R1625:S1625"/>
    <mergeCell ref="P1627:U1627"/>
    <mergeCell ref="A1628:B1628"/>
    <mergeCell ref="P1632:U1632"/>
    <mergeCell ref="A1633:C1633"/>
    <mergeCell ref="E1633:R1633"/>
    <mergeCell ref="T1633:U1633"/>
    <mergeCell ref="E1634:R1634"/>
    <mergeCell ref="P1635:U1635"/>
    <mergeCell ref="E1636:R1636"/>
    <mergeCell ref="E1637:R1637"/>
    <mergeCell ref="M1638:O1638"/>
    <mergeCell ref="P1638:R1638"/>
    <mergeCell ref="P1640:S1640"/>
    <mergeCell ref="A1642:U1643"/>
    <mergeCell ref="A1644:U1644"/>
    <mergeCell ref="A1645:U1645"/>
    <mergeCell ref="A1647:A1649"/>
    <mergeCell ref="B1647:B1649"/>
    <mergeCell ref="C1647:C1649"/>
    <mergeCell ref="D1647:D1649"/>
    <mergeCell ref="E1647:E1649"/>
    <mergeCell ref="F1647:O1648"/>
    <mergeCell ref="P1647:U1648"/>
    <mergeCell ref="K1649:O1649"/>
    <mergeCell ref="R1649:S1649"/>
    <mergeCell ref="K1650:O1650"/>
    <mergeCell ref="R1650:S1650"/>
    <mergeCell ref="U1650:U1659"/>
    <mergeCell ref="K1651:O1651"/>
    <mergeCell ref="R1651:S1651"/>
    <mergeCell ref="K1652:O1652"/>
    <mergeCell ref="R1652:S1652"/>
    <mergeCell ref="K1653:O1653"/>
    <mergeCell ref="R1653:S1653"/>
    <mergeCell ref="K1654:O1654"/>
    <mergeCell ref="R1654:S1654"/>
    <mergeCell ref="K1655:O1655"/>
    <mergeCell ref="R1655:S1655"/>
    <mergeCell ref="K1656:O1656"/>
    <mergeCell ref="R1656:S1656"/>
    <mergeCell ref="K1657:O1657"/>
    <mergeCell ref="R1657:S1657"/>
    <mergeCell ref="K1658:O1658"/>
    <mergeCell ref="R1658:S1658"/>
    <mergeCell ref="K1659:O1659"/>
    <mergeCell ref="R1659:S1659"/>
    <mergeCell ref="P1661:U1661"/>
    <mergeCell ref="A1662:B1662"/>
    <mergeCell ref="P1666:U1666"/>
    <mergeCell ref="A1667:C1667"/>
    <mergeCell ref="E1667:R1667"/>
    <mergeCell ref="T1667:U1667"/>
    <mergeCell ref="E1668:R1668"/>
    <mergeCell ref="P1669:U1669"/>
    <mergeCell ref="E1670:R1670"/>
    <mergeCell ref="E1671:R1671"/>
    <mergeCell ref="M1672:O1672"/>
    <mergeCell ref="P1672:R1672"/>
    <mergeCell ref="P1674:S1674"/>
    <mergeCell ref="A1676:U1677"/>
    <mergeCell ref="A1678:U1678"/>
    <mergeCell ref="A1679:U1679"/>
    <mergeCell ref="A1681:A1683"/>
    <mergeCell ref="B1681:B1683"/>
    <mergeCell ref="C1681:C1683"/>
    <mergeCell ref="D1681:D1683"/>
    <mergeCell ref="E1681:E1683"/>
    <mergeCell ref="F1681:O1682"/>
    <mergeCell ref="P1681:U1682"/>
    <mergeCell ref="K1683:O1683"/>
    <mergeCell ref="R1683:S1683"/>
    <mergeCell ref="K1684:O1684"/>
    <mergeCell ref="R1684:S1684"/>
    <mergeCell ref="U1684:U1693"/>
    <mergeCell ref="K1685:O1685"/>
    <mergeCell ref="R1685:S1685"/>
    <mergeCell ref="K1686:O1686"/>
    <mergeCell ref="R1686:S1686"/>
    <mergeCell ref="K1687:O1687"/>
    <mergeCell ref="R1687:S1687"/>
    <mergeCell ref="K1688:O1688"/>
    <mergeCell ref="R1688:S1688"/>
    <mergeCell ref="K1689:O1689"/>
    <mergeCell ref="R1689:S1689"/>
    <mergeCell ref="K1690:O1690"/>
    <mergeCell ref="R1690:S1690"/>
    <mergeCell ref="K1691:O1691"/>
    <mergeCell ref="R1691:S1691"/>
    <mergeCell ref="K1692:O1692"/>
    <mergeCell ref="R1692:S1692"/>
    <mergeCell ref="K1693:O1693"/>
    <mergeCell ref="R1693:S1693"/>
    <mergeCell ref="P1695:U1695"/>
    <mergeCell ref="A1696:B1696"/>
    <mergeCell ref="P1700:U1700"/>
    <mergeCell ref="A1701:C1701"/>
    <mergeCell ref="E1701:R1701"/>
    <mergeCell ref="T1701:U1701"/>
    <mergeCell ref="E1702:R1702"/>
    <mergeCell ref="P1703:U1703"/>
    <mergeCell ref="E1704:R1704"/>
    <mergeCell ref="E1705:R1705"/>
    <mergeCell ref="M1706:O1706"/>
    <mergeCell ref="P1706:R1706"/>
    <mergeCell ref="P1708:S1708"/>
    <mergeCell ref="A1710:U1711"/>
    <mergeCell ref="A1712:U1712"/>
    <mergeCell ref="A1713:U1713"/>
    <mergeCell ref="A1715:A1717"/>
    <mergeCell ref="B1715:B1717"/>
    <mergeCell ref="C1715:C1717"/>
    <mergeCell ref="D1715:D1717"/>
    <mergeCell ref="E1715:E1717"/>
    <mergeCell ref="F1715:O1716"/>
    <mergeCell ref="P1715:U1716"/>
    <mergeCell ref="K1717:O1717"/>
    <mergeCell ref="R1717:S1717"/>
    <mergeCell ref="K1718:O1718"/>
    <mergeCell ref="R1718:S1718"/>
    <mergeCell ref="U1718:U1727"/>
    <mergeCell ref="K1719:O1719"/>
    <mergeCell ref="R1719:S1719"/>
    <mergeCell ref="K1720:O1720"/>
    <mergeCell ref="R1720:S1720"/>
    <mergeCell ref="K1721:O1721"/>
    <mergeCell ref="R1721:S1721"/>
    <mergeCell ref="K1722:O1722"/>
    <mergeCell ref="R1722:S1722"/>
    <mergeCell ref="K1723:O1723"/>
    <mergeCell ref="R1723:S1723"/>
    <mergeCell ref="K1724:O1724"/>
    <mergeCell ref="R1724:S1724"/>
    <mergeCell ref="K1725:O1725"/>
    <mergeCell ref="R1725:S1725"/>
    <mergeCell ref="K1726:O1726"/>
    <mergeCell ref="R1726:S1726"/>
    <mergeCell ref="K1727:O1727"/>
    <mergeCell ref="R1727:S1727"/>
    <mergeCell ref="P1729:U1729"/>
    <mergeCell ref="A1730:B1730"/>
    <mergeCell ref="P1734:U1734"/>
    <mergeCell ref="A1735:C1735"/>
    <mergeCell ref="E1735:R1735"/>
    <mergeCell ref="T1735:U1735"/>
    <mergeCell ref="E1736:R1736"/>
    <mergeCell ref="P1737:U1737"/>
    <mergeCell ref="E1738:R1738"/>
    <mergeCell ref="E1739:R1739"/>
    <mergeCell ref="M1740:O1740"/>
    <mergeCell ref="P1740:R1740"/>
    <mergeCell ref="P1742:S1742"/>
    <mergeCell ref="A1744:U1745"/>
    <mergeCell ref="A1746:U1746"/>
    <mergeCell ref="A1747:U1747"/>
    <mergeCell ref="A1749:A1751"/>
    <mergeCell ref="B1749:B1751"/>
    <mergeCell ref="C1749:C1751"/>
    <mergeCell ref="D1749:D1751"/>
    <mergeCell ref="E1749:E1751"/>
    <mergeCell ref="F1749:O1750"/>
    <mergeCell ref="P1749:U1750"/>
    <mergeCell ref="K1751:O1751"/>
    <mergeCell ref="R1751:S1751"/>
    <mergeCell ref="K1752:O1752"/>
    <mergeCell ref="R1752:S1752"/>
    <mergeCell ref="U1752:U1761"/>
    <mergeCell ref="K1753:O1753"/>
    <mergeCell ref="R1753:S1753"/>
    <mergeCell ref="K1754:O1754"/>
    <mergeCell ref="R1754:S1754"/>
    <mergeCell ref="K1755:O1755"/>
    <mergeCell ref="R1755:S1755"/>
    <mergeCell ref="K1756:O1756"/>
    <mergeCell ref="R1756:S1756"/>
    <mergeCell ref="K1757:O1757"/>
    <mergeCell ref="R1757:S1757"/>
    <mergeCell ref="K1758:O1758"/>
    <mergeCell ref="R1758:S1758"/>
    <mergeCell ref="K1759:O1759"/>
    <mergeCell ref="R1759:S1759"/>
    <mergeCell ref="K1760:O1760"/>
    <mergeCell ref="R1760:S1760"/>
    <mergeCell ref="K1761:O1761"/>
    <mergeCell ref="R1761:S1761"/>
    <mergeCell ref="P1763:U1763"/>
    <mergeCell ref="A1764:B1764"/>
    <mergeCell ref="P1768:U1768"/>
    <mergeCell ref="A1769:C1769"/>
    <mergeCell ref="E1769:R1769"/>
    <mergeCell ref="T1769:U1769"/>
    <mergeCell ref="E1770:R1770"/>
    <mergeCell ref="P1771:U1771"/>
    <mergeCell ref="E1772:R1772"/>
    <mergeCell ref="E1773:R1773"/>
    <mergeCell ref="M1774:O1774"/>
    <mergeCell ref="P1774:R1774"/>
    <mergeCell ref="P1776:S1776"/>
    <mergeCell ref="A1778:U1779"/>
    <mergeCell ref="A1780:U1780"/>
    <mergeCell ref="A1781:U1781"/>
    <mergeCell ref="A1783:A1785"/>
    <mergeCell ref="B1783:B1785"/>
    <mergeCell ref="C1783:C1785"/>
    <mergeCell ref="D1783:D1785"/>
    <mergeCell ref="E1783:E1785"/>
    <mergeCell ref="F1783:O1784"/>
    <mergeCell ref="P1783:U1784"/>
    <mergeCell ref="K1785:O1785"/>
    <mergeCell ref="R1785:S1785"/>
    <mergeCell ref="K1786:O1786"/>
    <mergeCell ref="R1786:S1786"/>
    <mergeCell ref="U1786:U1795"/>
    <mergeCell ref="K1787:O1787"/>
    <mergeCell ref="R1787:S1787"/>
    <mergeCell ref="K1788:O1788"/>
    <mergeCell ref="R1788:S1788"/>
    <mergeCell ref="K1789:O1789"/>
    <mergeCell ref="R1789:S1789"/>
    <mergeCell ref="K1790:O1790"/>
    <mergeCell ref="R1790:S1790"/>
    <mergeCell ref="K1791:O1791"/>
    <mergeCell ref="R1791:S1791"/>
    <mergeCell ref="K1792:O1792"/>
    <mergeCell ref="R1792:S1792"/>
    <mergeCell ref="K1793:O1793"/>
    <mergeCell ref="R1793:S1793"/>
    <mergeCell ref="K1794:O1794"/>
    <mergeCell ref="R1794:S1794"/>
    <mergeCell ref="K1795:O1795"/>
    <mergeCell ref="R1795:S1795"/>
    <mergeCell ref="P1797:U1797"/>
    <mergeCell ref="A1798:B1798"/>
    <mergeCell ref="P1802:U1802"/>
    <mergeCell ref="A1803:C1803"/>
    <mergeCell ref="E1803:R1803"/>
    <mergeCell ref="T1803:U1803"/>
    <mergeCell ref="E1804:R1804"/>
    <mergeCell ref="P1805:U1805"/>
    <mergeCell ref="E1806:R1806"/>
    <mergeCell ref="E1807:R1807"/>
    <mergeCell ref="M1808:O1808"/>
    <mergeCell ref="P1808:R1808"/>
    <mergeCell ref="P1810:S1810"/>
    <mergeCell ref="A1812:U1813"/>
    <mergeCell ref="A1814:U1814"/>
    <mergeCell ref="A1815:U1815"/>
    <mergeCell ref="A1817:A1819"/>
    <mergeCell ref="B1817:B1819"/>
    <mergeCell ref="C1817:C1819"/>
    <mergeCell ref="D1817:D1819"/>
    <mergeCell ref="E1817:E1819"/>
    <mergeCell ref="F1817:O1818"/>
    <mergeCell ref="P1817:U1818"/>
    <mergeCell ref="K1819:O1819"/>
    <mergeCell ref="R1819:S1819"/>
    <mergeCell ref="K1820:O1820"/>
    <mergeCell ref="R1820:S1820"/>
    <mergeCell ref="U1820:U1829"/>
    <mergeCell ref="K1821:O1821"/>
    <mergeCell ref="R1821:S1821"/>
    <mergeCell ref="K1822:O1822"/>
    <mergeCell ref="R1822:S1822"/>
    <mergeCell ref="K1823:O1823"/>
    <mergeCell ref="R1823:S1823"/>
    <mergeCell ref="K1824:O1824"/>
    <mergeCell ref="R1824:S1824"/>
    <mergeCell ref="K1825:O1825"/>
    <mergeCell ref="R1825:S1825"/>
    <mergeCell ref="K1826:O1826"/>
    <mergeCell ref="R1826:S1826"/>
    <mergeCell ref="K1827:O1827"/>
    <mergeCell ref="R1827:S1827"/>
    <mergeCell ref="K1828:O1828"/>
    <mergeCell ref="R1828:S1828"/>
    <mergeCell ref="K1829:O1829"/>
    <mergeCell ref="R1829:S1829"/>
    <mergeCell ref="P1831:U1831"/>
    <mergeCell ref="A1832:B1832"/>
    <mergeCell ref="P1836:U1836"/>
    <mergeCell ref="A1837:C1837"/>
    <mergeCell ref="E1837:R1837"/>
    <mergeCell ref="T1837:U1837"/>
    <mergeCell ref="E1838:R1838"/>
    <mergeCell ref="P1839:U1839"/>
    <mergeCell ref="E1840:R1840"/>
    <mergeCell ref="E1841:R1841"/>
    <mergeCell ref="M1842:O1842"/>
    <mergeCell ref="P1842:R1842"/>
    <mergeCell ref="P1844:S1844"/>
    <mergeCell ref="A1846:U1847"/>
    <mergeCell ref="A1848:U1848"/>
    <mergeCell ref="A1849:U1849"/>
    <mergeCell ref="A1851:A1853"/>
    <mergeCell ref="B1851:B1853"/>
    <mergeCell ref="C1851:C1853"/>
    <mergeCell ref="D1851:D1853"/>
    <mergeCell ref="E1851:E1853"/>
    <mergeCell ref="F1851:O1852"/>
    <mergeCell ref="P1851:U1852"/>
    <mergeCell ref="K1853:O1853"/>
    <mergeCell ref="R1853:S1853"/>
    <mergeCell ref="K1854:O1854"/>
    <mergeCell ref="R1854:S1854"/>
    <mergeCell ref="U1854:U1863"/>
    <mergeCell ref="K1855:O1855"/>
    <mergeCell ref="R1855:S1855"/>
    <mergeCell ref="K1856:O1856"/>
    <mergeCell ref="R1856:S1856"/>
    <mergeCell ref="K1857:O1857"/>
    <mergeCell ref="R1857:S1857"/>
    <mergeCell ref="K1858:O1858"/>
    <mergeCell ref="R1858:S1858"/>
    <mergeCell ref="K1859:O1859"/>
    <mergeCell ref="R1859:S1859"/>
    <mergeCell ref="K1860:O1860"/>
    <mergeCell ref="R1860:S1860"/>
    <mergeCell ref="K1861:O1861"/>
    <mergeCell ref="R1861:S1861"/>
    <mergeCell ref="K1862:O1862"/>
    <mergeCell ref="R1862:S1862"/>
    <mergeCell ref="K1863:O1863"/>
    <mergeCell ref="R1863:S1863"/>
    <mergeCell ref="P1865:U1865"/>
    <mergeCell ref="A1866:B1866"/>
    <mergeCell ref="P1870:U1870"/>
    <mergeCell ref="A1871:C1871"/>
    <mergeCell ref="E1871:R1871"/>
    <mergeCell ref="T1871:U1871"/>
    <mergeCell ref="E1872:R1872"/>
    <mergeCell ref="P1873:U1873"/>
    <mergeCell ref="E1874:R1874"/>
    <mergeCell ref="E1875:R1875"/>
    <mergeCell ref="M1876:O1876"/>
    <mergeCell ref="P1876:R1876"/>
    <mergeCell ref="P1878:S1878"/>
    <mergeCell ref="A1880:U1881"/>
    <mergeCell ref="A1882:U1882"/>
    <mergeCell ref="A1883:U1883"/>
    <mergeCell ref="A1885:A1887"/>
    <mergeCell ref="B1885:B1887"/>
    <mergeCell ref="C1885:C1887"/>
    <mergeCell ref="D1885:D1887"/>
    <mergeCell ref="E1885:E1887"/>
    <mergeCell ref="F1885:O1886"/>
    <mergeCell ref="P1885:U1886"/>
    <mergeCell ref="K1887:O1887"/>
    <mergeCell ref="R1887:S1887"/>
    <mergeCell ref="K1888:O1888"/>
    <mergeCell ref="R1888:S1888"/>
    <mergeCell ref="U1888:U1897"/>
    <mergeCell ref="K1889:O1889"/>
    <mergeCell ref="R1889:S1889"/>
    <mergeCell ref="K1890:O1890"/>
    <mergeCell ref="R1890:S1890"/>
    <mergeCell ref="K1891:O1891"/>
    <mergeCell ref="R1891:S1891"/>
    <mergeCell ref="K1892:O1892"/>
    <mergeCell ref="R1892:S1892"/>
    <mergeCell ref="K1893:O1893"/>
    <mergeCell ref="R1893:S1893"/>
    <mergeCell ref="K1894:O1894"/>
    <mergeCell ref="R1894:S1894"/>
    <mergeCell ref="K1895:O1895"/>
    <mergeCell ref="R1895:S1895"/>
    <mergeCell ref="K1896:O1896"/>
    <mergeCell ref="R1896:S1896"/>
    <mergeCell ref="K1897:O1897"/>
    <mergeCell ref="R1897:S1897"/>
    <mergeCell ref="P1899:U1899"/>
    <mergeCell ref="A1900:B1900"/>
    <mergeCell ref="P1904:U1904"/>
    <mergeCell ref="A1905:C1905"/>
    <mergeCell ref="E1905:R1905"/>
    <mergeCell ref="T1905:U1905"/>
    <mergeCell ref="E1906:R1906"/>
    <mergeCell ref="P1907:U1907"/>
    <mergeCell ref="E1908:R1908"/>
    <mergeCell ref="E1909:R1909"/>
    <mergeCell ref="M1910:O1910"/>
    <mergeCell ref="P1910:R1910"/>
    <mergeCell ref="P1912:S1912"/>
    <mergeCell ref="A1914:U1915"/>
    <mergeCell ref="A1916:U1916"/>
    <mergeCell ref="A1917:U1917"/>
    <mergeCell ref="A1919:A1921"/>
    <mergeCell ref="B1919:B1921"/>
    <mergeCell ref="C1919:C1921"/>
    <mergeCell ref="D1919:D1921"/>
    <mergeCell ref="E1919:E1921"/>
    <mergeCell ref="F1919:O1920"/>
    <mergeCell ref="P1919:U1920"/>
    <mergeCell ref="K1921:O1921"/>
    <mergeCell ref="R1921:S1921"/>
    <mergeCell ref="K1922:O1922"/>
    <mergeCell ref="R1922:S1922"/>
    <mergeCell ref="U1922:U1931"/>
    <mergeCell ref="K1923:O1923"/>
    <mergeCell ref="R1923:S1923"/>
    <mergeCell ref="K1924:O1924"/>
    <mergeCell ref="R1924:S1924"/>
    <mergeCell ref="K1925:O1925"/>
    <mergeCell ref="R1925:S1925"/>
    <mergeCell ref="K1926:O1926"/>
    <mergeCell ref="R1926:S1926"/>
    <mergeCell ref="K1927:O1927"/>
    <mergeCell ref="R1927:S1927"/>
    <mergeCell ref="K1928:O1928"/>
    <mergeCell ref="R1928:S1928"/>
    <mergeCell ref="K1929:O1929"/>
    <mergeCell ref="R1929:S1929"/>
    <mergeCell ref="K1930:O1930"/>
    <mergeCell ref="R1930:S1930"/>
    <mergeCell ref="K1931:O1931"/>
    <mergeCell ref="R1931:S1931"/>
    <mergeCell ref="P1933:U1933"/>
    <mergeCell ref="A1934:B1934"/>
    <mergeCell ref="P1938:U1938"/>
    <mergeCell ref="A1939:C1939"/>
    <mergeCell ref="E1939:R1939"/>
    <mergeCell ref="T1939:U1939"/>
    <mergeCell ref="E1940:R1940"/>
    <mergeCell ref="P1941:U1941"/>
    <mergeCell ref="E1942:R1942"/>
    <mergeCell ref="E1943:R1943"/>
    <mergeCell ref="M1944:O1944"/>
    <mergeCell ref="P1944:R1944"/>
    <mergeCell ref="P1946:S1946"/>
    <mergeCell ref="A1948:U1949"/>
    <mergeCell ref="A1950:U1950"/>
    <mergeCell ref="A1951:U1951"/>
    <mergeCell ref="A1953:A1955"/>
    <mergeCell ref="B1953:B1955"/>
    <mergeCell ref="C1953:C1955"/>
    <mergeCell ref="D1953:D1955"/>
    <mergeCell ref="E1953:E1955"/>
    <mergeCell ref="F1953:O1954"/>
    <mergeCell ref="P1953:U1954"/>
    <mergeCell ref="K1955:O1955"/>
    <mergeCell ref="R1955:S1955"/>
    <mergeCell ref="K1956:O1956"/>
    <mergeCell ref="R1956:S1956"/>
    <mergeCell ref="U1956:U1965"/>
    <mergeCell ref="K1957:O1957"/>
    <mergeCell ref="R1957:S1957"/>
    <mergeCell ref="K1958:O1958"/>
    <mergeCell ref="R1958:S1958"/>
    <mergeCell ref="K1959:O1959"/>
    <mergeCell ref="R1959:S1959"/>
    <mergeCell ref="K1960:O1960"/>
    <mergeCell ref="R1960:S1960"/>
    <mergeCell ref="K1961:O1961"/>
    <mergeCell ref="R1961:S1961"/>
    <mergeCell ref="K1962:O1962"/>
    <mergeCell ref="R1962:S1962"/>
    <mergeCell ref="K1963:O1963"/>
    <mergeCell ref="R1963:S1963"/>
    <mergeCell ref="K1964:O1964"/>
    <mergeCell ref="R1964:S1964"/>
    <mergeCell ref="K1965:O1965"/>
    <mergeCell ref="R1965:S1965"/>
    <mergeCell ref="P1967:U1967"/>
    <mergeCell ref="A1968:B1968"/>
    <mergeCell ref="P1972:U1972"/>
    <mergeCell ref="A1973:C1973"/>
    <mergeCell ref="E1973:R1973"/>
    <mergeCell ref="T1973:U1973"/>
    <mergeCell ref="E1974:R1974"/>
    <mergeCell ref="P1975:U1975"/>
    <mergeCell ref="E1976:R1976"/>
    <mergeCell ref="E1977:R1977"/>
    <mergeCell ref="M1978:O1978"/>
    <mergeCell ref="P1978:R1978"/>
    <mergeCell ref="P1980:S1980"/>
    <mergeCell ref="A1982:U1983"/>
    <mergeCell ref="A1984:U1984"/>
    <mergeCell ref="A1985:U1985"/>
    <mergeCell ref="A1987:A1989"/>
    <mergeCell ref="B1987:B1989"/>
    <mergeCell ref="C1987:C1989"/>
    <mergeCell ref="D1987:D1989"/>
    <mergeCell ref="E1987:E1989"/>
    <mergeCell ref="F1987:O1988"/>
    <mergeCell ref="P1987:U1988"/>
    <mergeCell ref="K1989:O1989"/>
    <mergeCell ref="R1989:S1989"/>
    <mergeCell ref="K1990:O1990"/>
    <mergeCell ref="R1990:S1990"/>
    <mergeCell ref="U1990:U1999"/>
    <mergeCell ref="K1991:O1991"/>
    <mergeCell ref="R1991:S1991"/>
    <mergeCell ref="K1992:O1992"/>
    <mergeCell ref="R1992:S1992"/>
    <mergeCell ref="K1993:O1993"/>
    <mergeCell ref="R1993:S1993"/>
    <mergeCell ref="K1994:O1994"/>
    <mergeCell ref="R1994:S1994"/>
    <mergeCell ref="K1995:O1995"/>
    <mergeCell ref="R1995:S1995"/>
    <mergeCell ref="K1996:O1996"/>
    <mergeCell ref="R1996:S1996"/>
    <mergeCell ref="K1997:O1997"/>
    <mergeCell ref="R1997:S1997"/>
    <mergeCell ref="K1998:O1998"/>
    <mergeCell ref="R1998:S1998"/>
    <mergeCell ref="K1999:O1999"/>
    <mergeCell ref="R1999:S1999"/>
    <mergeCell ref="P2001:U2001"/>
    <mergeCell ref="A2002:B2002"/>
    <mergeCell ref="P2006:U2006"/>
    <mergeCell ref="A2007:C2007"/>
    <mergeCell ref="E2007:R2007"/>
    <mergeCell ref="T2007:U2007"/>
    <mergeCell ref="E2008:R2008"/>
    <mergeCell ref="P2009:U2009"/>
    <mergeCell ref="E2010:R2010"/>
    <mergeCell ref="E2011:R2011"/>
    <mergeCell ref="M2012:O2012"/>
    <mergeCell ref="P2012:R2012"/>
    <mergeCell ref="P2014:S2014"/>
    <mergeCell ref="A2016:U2017"/>
    <mergeCell ref="A2018:U2018"/>
    <mergeCell ref="A2019:U2019"/>
    <mergeCell ref="A2021:A2023"/>
    <mergeCell ref="B2021:B2023"/>
    <mergeCell ref="C2021:C2023"/>
    <mergeCell ref="D2021:D2023"/>
    <mergeCell ref="E2021:E2023"/>
    <mergeCell ref="F2021:O2022"/>
    <mergeCell ref="P2021:U2022"/>
    <mergeCell ref="K2023:O2023"/>
    <mergeCell ref="R2023:S2023"/>
    <mergeCell ref="K2024:O2024"/>
    <mergeCell ref="R2024:S2024"/>
    <mergeCell ref="U2024:U2033"/>
    <mergeCell ref="K2025:O2025"/>
    <mergeCell ref="R2025:S2025"/>
    <mergeCell ref="K2026:O2026"/>
    <mergeCell ref="R2026:S2026"/>
    <mergeCell ref="K2027:O2027"/>
    <mergeCell ref="R2027:S2027"/>
    <mergeCell ref="K2028:O2028"/>
    <mergeCell ref="R2028:S2028"/>
    <mergeCell ref="K2029:O2029"/>
    <mergeCell ref="R2029:S2029"/>
    <mergeCell ref="K2030:O2030"/>
    <mergeCell ref="R2030:S2030"/>
    <mergeCell ref="K2031:O2031"/>
    <mergeCell ref="R2031:S2031"/>
    <mergeCell ref="K2032:O2032"/>
    <mergeCell ref="R2032:S2032"/>
    <mergeCell ref="K2033:O2033"/>
    <mergeCell ref="R2033:S2033"/>
    <mergeCell ref="P2035:U2035"/>
    <mergeCell ref="A2036:B2036"/>
    <mergeCell ref="P2040:U2040"/>
    <mergeCell ref="A2041:C2041"/>
    <mergeCell ref="E2041:R2041"/>
    <mergeCell ref="T2041:U2041"/>
    <mergeCell ref="E2042:R2042"/>
    <mergeCell ref="P2043:U2043"/>
    <mergeCell ref="E2044:R2044"/>
    <mergeCell ref="E2045:R2045"/>
    <mergeCell ref="M2046:O2046"/>
    <mergeCell ref="P2046:R2046"/>
    <mergeCell ref="P2048:S2048"/>
    <mergeCell ref="A2050:U2051"/>
    <mergeCell ref="A2052:U2052"/>
    <mergeCell ref="A2053:U2053"/>
    <mergeCell ref="A2055:A2057"/>
    <mergeCell ref="B2055:B2057"/>
    <mergeCell ref="C2055:C2057"/>
    <mergeCell ref="D2055:D2057"/>
    <mergeCell ref="E2055:E2057"/>
    <mergeCell ref="F2055:O2056"/>
    <mergeCell ref="P2055:U2056"/>
    <mergeCell ref="K2057:O2057"/>
    <mergeCell ref="R2057:S2057"/>
    <mergeCell ref="K2058:O2058"/>
    <mergeCell ref="R2058:S2058"/>
    <mergeCell ref="U2058:U2067"/>
    <mergeCell ref="K2059:O2059"/>
    <mergeCell ref="R2059:S2059"/>
    <mergeCell ref="K2060:O2060"/>
    <mergeCell ref="R2060:S2060"/>
    <mergeCell ref="K2061:O2061"/>
    <mergeCell ref="R2061:S2061"/>
    <mergeCell ref="K2062:O2062"/>
    <mergeCell ref="R2062:S2062"/>
    <mergeCell ref="K2063:O2063"/>
    <mergeCell ref="R2063:S2063"/>
    <mergeCell ref="K2064:O2064"/>
    <mergeCell ref="R2064:S2064"/>
    <mergeCell ref="K2065:O2065"/>
    <mergeCell ref="R2065:S2065"/>
    <mergeCell ref="K2066:O2066"/>
    <mergeCell ref="R2066:S2066"/>
    <mergeCell ref="K2067:O2067"/>
    <mergeCell ref="R2067:S2067"/>
    <mergeCell ref="P2069:U2069"/>
    <mergeCell ref="A2070:B2070"/>
    <mergeCell ref="P2074:U2074"/>
    <mergeCell ref="A2075:C2075"/>
    <mergeCell ref="E2075:R2075"/>
    <mergeCell ref="T2075:U2075"/>
    <mergeCell ref="E2076:R2076"/>
    <mergeCell ref="P2077:U2077"/>
    <mergeCell ref="E2078:R2078"/>
    <mergeCell ref="E2079:R2079"/>
    <mergeCell ref="M2080:O2080"/>
    <mergeCell ref="P2080:R2080"/>
    <mergeCell ref="P2082:S2082"/>
    <mergeCell ref="A2084:U2085"/>
    <mergeCell ref="A2086:U2086"/>
    <mergeCell ref="A2087:U2087"/>
    <mergeCell ref="A2089:A2091"/>
    <mergeCell ref="B2089:B2091"/>
    <mergeCell ref="C2089:C2091"/>
    <mergeCell ref="D2089:D2091"/>
    <mergeCell ref="E2089:E2091"/>
    <mergeCell ref="F2089:O2090"/>
    <mergeCell ref="P2089:U2090"/>
    <mergeCell ref="K2091:O2091"/>
    <mergeCell ref="R2091:S2091"/>
    <mergeCell ref="P2103:U2103"/>
    <mergeCell ref="A2104:B2104"/>
    <mergeCell ref="P2108:U2108"/>
    <mergeCell ref="K2092:O2092"/>
    <mergeCell ref="R2092:S2092"/>
    <mergeCell ref="U2092:U2101"/>
    <mergeCell ref="K2093:O2093"/>
    <mergeCell ref="R2093:S2093"/>
    <mergeCell ref="K2094:O2094"/>
    <mergeCell ref="R2094:S2094"/>
    <mergeCell ref="K2095:O2095"/>
    <mergeCell ref="R2095:S2095"/>
    <mergeCell ref="K2096:O2096"/>
    <mergeCell ref="R2096:S2096"/>
    <mergeCell ref="K2097:O2097"/>
    <mergeCell ref="R2097:S2097"/>
    <mergeCell ref="K2098:O2098"/>
    <mergeCell ref="R2098:S2098"/>
    <mergeCell ref="K2099:O2099"/>
    <mergeCell ref="R2099:S2099"/>
    <mergeCell ref="K2100:O2100"/>
    <mergeCell ref="R2100:S2100"/>
    <mergeCell ref="K2101:O2101"/>
    <mergeCell ref="R2101:S2101"/>
  </mergeCells>
  <conditionalFormatting sqref="A1:XFD1048576">
    <cfRule type="cellIs" dxfId="1" priority="2" operator="equal">
      <formula>0</formula>
    </cfRule>
  </conditionalFormatting>
  <pageMargins left="0.70833333333333304" right="0.70833333333333304" top="0.74791666666666701" bottom="0.74791666666666701" header="0.511811023622047" footer="0.511811023622047"/>
  <pageSetup paperSize="9" scale="10" orientation="landscape" horizontalDpi="300" verticalDpi="300"/>
  <rowBreaks count="61" manualBreakCount="61">
    <brk id="34" max="16383" man="1"/>
    <brk id="68" max="16383" man="1"/>
    <brk id="102" max="16383" man="1"/>
    <brk id="136" max="16383" man="1"/>
    <brk id="170" max="16383" man="1"/>
    <brk id="204" max="16383" man="1"/>
    <brk id="238" max="16383" man="1"/>
    <brk id="272" max="16383" man="1"/>
    <brk id="306" max="16383" man="1"/>
    <brk id="340" max="16383" man="1"/>
    <brk id="374" max="16383" man="1"/>
    <brk id="408" max="16383" man="1"/>
    <brk id="442" max="16383" man="1"/>
    <brk id="476" max="16383" man="1"/>
    <brk id="510" max="16383" man="1"/>
    <brk id="544" max="16383" man="1"/>
    <brk id="578" max="16383" man="1"/>
    <brk id="612" max="16383" man="1"/>
    <brk id="646" max="16383" man="1"/>
    <brk id="680" max="16383" man="1"/>
    <brk id="714" max="16383" man="1"/>
    <brk id="748" max="16383" man="1"/>
    <brk id="782" max="16383" man="1"/>
    <brk id="816" max="16383" man="1"/>
    <brk id="850" max="16383" man="1"/>
    <brk id="884" max="16383" man="1"/>
    <brk id="918" max="16383" man="1"/>
    <brk id="952" max="16383" man="1"/>
    <brk id="986" max="16383" man="1"/>
    <brk id="1020" max="16383" man="1"/>
    <brk id="1054" max="16383" man="1"/>
    <brk id="1088" max="16383" man="1"/>
    <brk id="1122" max="16383" man="1"/>
    <brk id="1156" max="16383" man="1"/>
    <brk id="1190" max="16383" man="1"/>
    <brk id="1224" max="16383" man="1"/>
    <brk id="1258" max="16383" man="1"/>
    <brk id="1292" max="16383" man="1"/>
    <brk id="1326" max="16383" man="1"/>
    <brk id="1360" max="16383" man="1"/>
    <brk id="1394" max="16383" man="1"/>
    <brk id="1428" max="16383" man="1"/>
    <brk id="1462" max="16383" man="1"/>
    <brk id="1496" max="16383" man="1"/>
    <brk id="1530" max="16383" man="1"/>
    <brk id="1564" max="16383" man="1"/>
    <brk id="1598" max="16383" man="1"/>
    <brk id="1632" max="16383" man="1"/>
    <brk id="1666" max="16383" man="1"/>
    <brk id="1700" max="16383" man="1"/>
    <brk id="1734" max="16383" man="1"/>
    <brk id="1768" max="16383" man="1"/>
    <brk id="1802" max="16383" man="1"/>
    <brk id="1836" max="16383" man="1"/>
    <brk id="1870" max="16383" man="1"/>
    <brk id="1904" max="16383" man="1"/>
    <brk id="1938" max="16383" man="1"/>
    <brk id="1972" max="16383" man="1"/>
    <brk id="2006" max="16383" man="1"/>
    <brk id="2040" max="16383" man="1"/>
    <brk id="2074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5"/>
  <sheetViews>
    <sheetView zoomScaleNormal="100" workbookViewId="0">
      <selection activeCell="B6" sqref="B6:E11"/>
    </sheetView>
  </sheetViews>
  <sheetFormatPr defaultColWidth="8.7109375" defaultRowHeight="15" customHeight="1"/>
  <cols>
    <col min="1" max="1" width="36.28515625" customWidth="1"/>
    <col min="2" max="2" width="12.28515625" customWidth="1"/>
    <col min="3" max="3" width="19" customWidth="1"/>
    <col min="4" max="4" width="7.140625" customWidth="1"/>
    <col min="5" max="5" width="10" customWidth="1"/>
    <col min="8" max="8" width="14.5703125" customWidth="1"/>
    <col min="10" max="10" width="10.28515625" customWidth="1"/>
    <col min="11" max="11" width="12.28515625" customWidth="1"/>
  </cols>
  <sheetData>
    <row r="1" spans="1:16" ht="15.75" customHeight="1">
      <c r="A1" s="942" t="s">
        <v>808</v>
      </c>
      <c r="B1" s="943" t="s">
        <v>809</v>
      </c>
      <c r="C1" s="943" t="s">
        <v>810</v>
      </c>
      <c r="D1" s="286"/>
      <c r="F1" s="942" t="s">
        <v>811</v>
      </c>
      <c r="G1" s="943" t="s">
        <v>812</v>
      </c>
      <c r="H1" s="943" t="s">
        <v>811</v>
      </c>
      <c r="I1" s="943" t="s">
        <v>812</v>
      </c>
      <c r="K1" s="1472" t="s">
        <v>813</v>
      </c>
      <c r="L1" s="1472"/>
      <c r="M1" s="1472"/>
    </row>
    <row r="2" spans="1:16" ht="15.75" customHeight="1">
      <c r="A2" s="944">
        <v>50.21</v>
      </c>
      <c r="B2" s="945">
        <f>A2*0.4672</f>
        <v>23.458112</v>
      </c>
      <c r="C2" s="945">
        <f>A2-B2</f>
        <v>26.751888000000001</v>
      </c>
      <c r="D2" s="946"/>
      <c r="F2" s="947">
        <v>25</v>
      </c>
      <c r="G2" s="948">
        <f>F2+(F2*47.06%)</f>
        <v>36.765000000000001</v>
      </c>
      <c r="H2" s="945">
        <f>I2-(I2*32.0054%)</f>
        <v>40.796759999999999</v>
      </c>
      <c r="I2" s="949">
        <v>60</v>
      </c>
      <c r="K2" s="950">
        <v>45261</v>
      </c>
      <c r="L2" s="1472">
        <v>11957.643</v>
      </c>
      <c r="M2" s="1472"/>
    </row>
    <row r="3" spans="1:16" ht="15" customHeight="1">
      <c r="K3" s="950">
        <v>45292</v>
      </c>
      <c r="L3" s="1472">
        <v>12153.749</v>
      </c>
      <c r="M3" s="1472"/>
    </row>
    <row r="4" spans="1:16" ht="15" customHeight="1">
      <c r="K4" s="950">
        <v>45323</v>
      </c>
      <c r="L4" s="1472">
        <v>11460.696</v>
      </c>
      <c r="M4" s="1472"/>
    </row>
    <row r="5" spans="1:16" ht="15.75" customHeight="1">
      <c r="K5" s="950">
        <v>45352</v>
      </c>
      <c r="L5" s="1472">
        <v>11924.933000000001</v>
      </c>
      <c r="M5" s="1472"/>
    </row>
    <row r="6" spans="1:16" ht="20.25" customHeight="1">
      <c r="B6" s="1471" t="str">
        <f ca="1">"SPONGE IRON REQUIRED AS ON         "&amp;TEXT(TODAY(),"dd-mm-yyyy")</f>
        <v>SPONGE IRON REQUIRED AS ON         14-10-2026</v>
      </c>
      <c r="C6" s="1471"/>
      <c r="D6" s="1471"/>
      <c r="E6" s="1471"/>
      <c r="K6" s="950">
        <v>45383</v>
      </c>
      <c r="L6" s="1472">
        <v>11811.271000000001</v>
      </c>
      <c r="M6" s="1472"/>
    </row>
    <row r="7" spans="1:16" ht="20.25" customHeight="1">
      <c r="B7" s="1471"/>
      <c r="C7" s="1471"/>
      <c r="D7" s="1471"/>
      <c r="E7" s="1471"/>
      <c r="G7" s="379"/>
      <c r="H7" s="379"/>
      <c r="I7" s="379"/>
      <c r="K7" s="950">
        <v>45413</v>
      </c>
      <c r="L7" s="1472">
        <v>10001.124</v>
      </c>
      <c r="M7" s="1472"/>
    </row>
    <row r="8" spans="1:16" ht="21" customHeight="1">
      <c r="B8" s="971" t="s">
        <v>814</v>
      </c>
      <c r="C8" s="973" t="s">
        <v>815</v>
      </c>
      <c r="D8" s="974" t="s">
        <v>816</v>
      </c>
      <c r="E8" s="456"/>
      <c r="G8" s="379"/>
      <c r="H8" s="379"/>
      <c r="I8" s="379"/>
      <c r="K8" s="950">
        <v>45444</v>
      </c>
      <c r="L8" s="1473">
        <v>10855.69</v>
      </c>
      <c r="M8" s="1473"/>
    </row>
    <row r="9" spans="1:16" ht="21" customHeight="1">
      <c r="B9" s="971"/>
      <c r="C9" s="951"/>
      <c r="D9" s="951"/>
      <c r="E9" s="456"/>
      <c r="G9" s="379"/>
      <c r="H9" s="379"/>
      <c r="I9" s="379"/>
      <c r="K9" s="950">
        <v>45474</v>
      </c>
      <c r="L9" s="1472">
        <v>12270.986000000001</v>
      </c>
      <c r="M9" s="1472"/>
    </row>
    <row r="10" spans="1:16" ht="21" customHeight="1">
      <c r="B10" s="971" t="s">
        <v>817</v>
      </c>
      <c r="C10" s="973" t="s">
        <v>818</v>
      </c>
      <c r="D10" s="951" t="s">
        <v>819</v>
      </c>
      <c r="E10" s="952"/>
      <c r="G10" s="379"/>
      <c r="H10" s="379"/>
      <c r="I10" s="379"/>
    </row>
    <row r="11" spans="1:16" ht="21.75" customHeight="1">
      <c r="B11" s="972" t="s">
        <v>820</v>
      </c>
      <c r="C11" s="953"/>
      <c r="D11" s="953" t="s">
        <v>821</v>
      </c>
      <c r="E11" s="454"/>
      <c r="G11" s="379"/>
      <c r="H11" s="379"/>
      <c r="I11" s="379"/>
    </row>
    <row r="12" spans="1:16" ht="15" customHeight="1">
      <c r="G12" s="379"/>
      <c r="H12" s="379"/>
      <c r="I12" s="379"/>
    </row>
    <row r="13" spans="1:16" ht="21" customHeight="1">
      <c r="K13" t="s">
        <v>822</v>
      </c>
    </row>
    <row r="14" spans="1:16" ht="15" customHeight="1">
      <c r="A14">
        <v>545000</v>
      </c>
    </row>
    <row r="15" spans="1:16" ht="15" customHeight="1">
      <c r="A15">
        <v>320000</v>
      </c>
      <c r="B15">
        <v>5</v>
      </c>
      <c r="C15">
        <v>5000000</v>
      </c>
      <c r="D15">
        <f t="shared" ref="D15:D20" si="0">C15/10</f>
        <v>500000</v>
      </c>
      <c r="I15">
        <v>0.22</v>
      </c>
      <c r="J15">
        <v>0.56000000000000005</v>
      </c>
      <c r="K15">
        <v>0.2</v>
      </c>
      <c r="L15">
        <v>0.1</v>
      </c>
      <c r="M15">
        <v>0.1</v>
      </c>
      <c r="N15">
        <v>0.2</v>
      </c>
      <c r="O15">
        <v>0.2</v>
      </c>
      <c r="P15">
        <f>I15+(J15/6)+((K15+L15+M15)/5)+((N15+O15)/15)</f>
        <v>0.42000000000000004</v>
      </c>
    </row>
    <row r="16" spans="1:16" ht="15" customHeight="1">
      <c r="A16">
        <v>130000</v>
      </c>
      <c r="B16">
        <v>10</v>
      </c>
      <c r="C16">
        <f>C15*4</f>
        <v>20000000</v>
      </c>
      <c r="D16">
        <f t="shared" si="0"/>
        <v>2000000</v>
      </c>
    </row>
    <row r="17" spans="1:12" ht="15" customHeight="1">
      <c r="A17">
        <v>123000</v>
      </c>
      <c r="B17">
        <v>15</v>
      </c>
      <c r="C17">
        <f>C16*4</f>
        <v>80000000</v>
      </c>
      <c r="D17">
        <f t="shared" si="0"/>
        <v>8000000</v>
      </c>
      <c r="E17" s="160"/>
      <c r="F17" s="160"/>
      <c r="G17" s="293"/>
    </row>
    <row r="18" spans="1:12" ht="15" customHeight="1">
      <c r="B18" s="293">
        <v>20</v>
      </c>
      <c r="C18">
        <f>C17*4</f>
        <v>320000000</v>
      </c>
      <c r="D18">
        <f t="shared" si="0"/>
        <v>32000000</v>
      </c>
      <c r="E18" s="160"/>
      <c r="F18" s="160"/>
      <c r="G18" s="293"/>
      <c r="L18" s="954"/>
    </row>
    <row r="19" spans="1:12" ht="15" customHeight="1">
      <c r="B19" s="293">
        <v>25</v>
      </c>
      <c r="C19">
        <f>C18*4</f>
        <v>1280000000</v>
      </c>
      <c r="D19">
        <f t="shared" si="0"/>
        <v>128000000</v>
      </c>
      <c r="E19" s="160"/>
      <c r="F19" s="160"/>
      <c r="G19" s="293"/>
      <c r="K19" s="954"/>
      <c r="L19" s="954"/>
    </row>
    <row r="20" spans="1:12" ht="15" customHeight="1">
      <c r="B20" s="293">
        <v>30</v>
      </c>
      <c r="C20">
        <f>C19*4</f>
        <v>5120000000</v>
      </c>
      <c r="D20">
        <f t="shared" si="0"/>
        <v>512000000</v>
      </c>
      <c r="E20" s="160"/>
      <c r="F20" s="160"/>
      <c r="G20" s="293"/>
      <c r="L20" s="955"/>
    </row>
    <row r="21" spans="1:12" ht="15" customHeight="1">
      <c r="B21" s="160"/>
      <c r="E21" s="160"/>
      <c r="F21" s="160"/>
      <c r="G21" s="293"/>
      <c r="L21" s="955"/>
    </row>
    <row r="22" spans="1:12" ht="15" customHeight="1">
      <c r="B22" s="160"/>
      <c r="E22" s="160"/>
      <c r="F22" s="160"/>
      <c r="G22" s="293"/>
      <c r="L22" s="955"/>
    </row>
    <row r="23" spans="1:12" ht="15" customHeight="1">
      <c r="B23" s="160"/>
      <c r="E23" s="160"/>
      <c r="F23" s="160"/>
      <c r="G23" s="293"/>
      <c r="L23" s="955"/>
    </row>
    <row r="24" spans="1:12" ht="15" customHeight="1">
      <c r="B24" s="160"/>
      <c r="E24" s="160"/>
      <c r="F24" s="160"/>
      <c r="G24" s="293"/>
    </row>
    <row r="25" spans="1:12" ht="15" customHeight="1">
      <c r="G25" s="160"/>
    </row>
  </sheetData>
  <mergeCells count="10">
    <mergeCell ref="K1:M1"/>
    <mergeCell ref="L2:M2"/>
    <mergeCell ref="L3:M3"/>
    <mergeCell ref="L4:M4"/>
    <mergeCell ref="L5:M5"/>
    <mergeCell ref="B6:E7"/>
    <mergeCell ref="L6:M6"/>
    <mergeCell ref="L7:M7"/>
    <mergeCell ref="L8:M8"/>
    <mergeCell ref="L9:M9"/>
  </mergeCells>
  <conditionalFormatting sqref="B6 B8:D11">
    <cfRule type="cellIs" dxfId="0" priority="2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Daily Stock</vt:lpstr>
      <vt:lpstr>Prod.</vt:lpstr>
      <vt:lpstr>Strip Mill</vt:lpstr>
      <vt:lpstr>Monthly Prod</vt:lpstr>
      <vt:lpstr>Billet Stock Format</vt:lpstr>
      <vt:lpstr>Cumulative Stock</vt:lpstr>
      <vt:lpstr>Daily Prod Format</vt:lpstr>
      <vt:lpstr>Former Calculation</vt:lpstr>
      <vt:lpstr>RM Report</vt:lpstr>
      <vt:lpstr>FC Report</vt:lpstr>
      <vt:lpstr>Durgesh</vt:lpstr>
      <vt:lpstr>M2M</vt:lpstr>
      <vt:lpstr>SCRAP</vt:lpstr>
      <vt:lpstr>BIS Doc</vt:lpstr>
      <vt:lpstr>T.C.</vt:lpstr>
      <vt:lpstr>CALCULATION</vt:lpstr>
      <vt:lpstr>DISPATCH</vt:lpstr>
      <vt:lpstr>T.C.!Print_Area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Durgesh Mishra</cp:lastModifiedBy>
  <cp:revision/>
  <dcterms:created xsi:type="dcterms:W3CDTF">2026-09-27T01:34:22Z</dcterms:created>
  <dcterms:modified xsi:type="dcterms:W3CDTF">2026-10-14T06:57:04Z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2024-01-20T13:16:05Z</dcterms:created>
  <dc:creator>durgesh.mishra@marutisteel.in</dc:creator>
  <dc:description/>
  <dc:language>en-US</dc:language>
  <cp:lastModifiedBy>Durgesh Mishra</cp:lastModifiedBy>
  <dcterms:modified xsi:type="dcterms:W3CDTF">2026-09-26T14:24:32Z</dcterms:modified>
  <cp:revision>0</cp:revision>
  <dc:subject/>
  <dc:title/>
</cp:coreProperties>
</file>